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hidePivotFieldList="1" defaultThemeVersion="166925"/>
  <mc:AlternateContent xmlns:mc="http://schemas.openxmlformats.org/markup-compatibility/2006">
    <mc:Choice Requires="x15">
      <x15ac:absPath xmlns:x15ac="http://schemas.microsoft.com/office/spreadsheetml/2010/11/ac" url="https://birminghamcitycouncil-my.sharepoint.com/personal/mike_ewins_birmingham_gov_uk/Documents/Desktop/"/>
    </mc:Choice>
  </mc:AlternateContent>
  <bookViews>
    <workbookView xWindow="-105" yWindow="-105" windowWidth="19425" windowHeight="10425"/>
  </bookViews>
  <sheets>
    <sheet name="Report" sheetId="19" r:id="rId1"/>
    <sheet name="  " sheetId="1" state="veryHidden" r:id="rId2"/>
    <sheet name="Cost Groupings Lookup" sheetId="18" state="veryHidden" r:id="rId3"/>
    <sheet name="Min &amp; Max Wages" sheetId="20" state="veryHidden" r:id="rId4"/>
  </sheets>
  <definedNames>
    <definedName name="HOME_CHARGES">Report!$CF$1</definedName>
    <definedName name="HOME_CLIENTS">Report!$AN$1</definedName>
    <definedName name="HOME_COSTS">Report!$CJ$1</definedName>
    <definedName name="HOME_DMAL">Report!$V$1</definedName>
    <definedName name="HOME_EMPLOYEES">Report!$BW$1</definedName>
    <definedName name="HOME_MENU">Report!$B$6</definedName>
    <definedName name="HOME_NLW">Report!$BO$1</definedName>
    <definedName name="HOME_OCCUPANCY">Report!$CB$1</definedName>
    <definedName name="HOME_RESPONSES">Report!$AB$1</definedName>
    <definedName name="HOME_WAGE_RATES">Report!$BD$1</definedName>
    <definedName name="HOME_WAGES">Report!#REF!</definedName>
    <definedName name="LIVING_WAGE_22_23">'Min &amp; Max Wages'!$B$4</definedName>
    <definedName name="MAX_WAGE">'Min &amp; Max Wages'!$B$3</definedName>
    <definedName name="MIN_PENSION_CONTRIB">'Min &amp; Max Wages'!$B$6</definedName>
    <definedName name="MIN_WAGE_20_21">'Min &amp; Max Wages'!$B$1</definedName>
    <definedName name="MIN_WAGE_21_22">'Min &amp; Max Wages'!$B$2</definedName>
    <definedName name="REAL_LIVING_WAGE_22_23">'Min &amp; Max Wages'!$B$5</definedName>
    <definedName name="Slicer_Contract_Status">#N/A</definedName>
    <definedName name="Slicer_Contract_Status1">#N/A</definedName>
    <definedName name="Slicer_Contract_Status3">#N/A</definedName>
    <definedName name="Slicer_Contract_Status4">#N/A</definedName>
    <definedName name="Slicer_Contract_Status5">#N/A</definedName>
    <definedName name="Slicer_Contract_Status6">#N/A</definedName>
    <definedName name="Slicer_Contract_Status7">#N/A</definedName>
    <definedName name="Slicer_Contract_Status8">#N/A</definedName>
    <definedName name="Slicer_Majority_Service_Type">#N/A</definedName>
    <definedName name="Slicer_Majority_Service_Type2">#N/A</definedName>
    <definedName name="Slicer_Majority_Service_Type3">#N/A</definedName>
    <definedName name="Slicer_Majority_Service_Type4">#N/A</definedName>
    <definedName name="Slicer_Majority_Service_Type5">#N/A</definedName>
    <definedName name="Slicer_Majority_Service_Type6">#N/A</definedName>
    <definedName name="Slicer_Majority_Service_Type7">#N/A</definedName>
    <definedName name="Slicer_Majority_Service_Type8">#N/A</definedName>
    <definedName name="Slicer_Number_of_clients__banded">#N/A</definedName>
    <definedName name="Slicer_Number_of_clients__banded2">#N/A</definedName>
    <definedName name="Slicer_Number_of_clients__banded3">#N/A</definedName>
    <definedName name="Slicer_Number_of_clients__banded4">#N/A</definedName>
    <definedName name="Slicer_Number_of_clients__banded5">#N/A</definedName>
    <definedName name="Slicer_Number_of_clients__banded6">#N/A</definedName>
    <definedName name="Slicer_Number_of_clients__banded7">#N/A</definedName>
    <definedName name="Slicer_Number_of_clients__banded8">#N/A</definedName>
    <definedName name="Slicer_Region">#N/A</definedName>
    <definedName name="Slicer_Region2">#N/A</definedName>
    <definedName name="Slicer_Region3">#N/A</definedName>
    <definedName name="Slicer_Region4">#N/A</definedName>
    <definedName name="Slicer_Region5">#N/A</definedName>
    <definedName name="Slicer_Region6">#N/A</definedName>
    <definedName name="Slicer_Region7">#N/A</definedName>
    <definedName name="Slicer_Region8">#N/A</definedName>
  </definedNames>
  <calcPr calcId="191029"/>
  <pivotCaches>
    <pivotCache cacheId="6" r:id="rId5"/>
  </pivotCaches>
  <extLst>
    <ext xmlns:x14="http://schemas.microsoft.com/office/spreadsheetml/2009/9/main" uri="{BBE1A952-AA13-448e-AADC-164F8A28A991}">
      <x14:slicerCaches>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13" i="19" l="1"/>
  <c r="RA88" i="1"/>
  <c r="QZ88" i="1"/>
  <c r="QY88" i="1"/>
  <c r="QX88" i="1"/>
  <c r="QW88" i="1"/>
  <c r="QV88" i="1"/>
  <c r="QU88" i="1"/>
  <c r="QT88" i="1"/>
  <c r="QS88" i="1"/>
  <c r="QR88" i="1"/>
  <c r="QQ88" i="1"/>
  <c r="QP88" i="1"/>
  <c r="QO88" i="1"/>
  <c r="QN88" i="1"/>
  <c r="QM88" i="1"/>
  <c r="QL88" i="1"/>
  <c r="QK88" i="1"/>
  <c r="QJ88" i="1"/>
  <c r="QI88" i="1"/>
  <c r="QH88" i="1"/>
  <c r="QG88" i="1"/>
  <c r="QF88" i="1"/>
  <c r="QE88" i="1"/>
  <c r="QD88" i="1"/>
  <c r="PM88" i="1"/>
  <c r="PL88" i="1"/>
  <c r="PK88" i="1"/>
  <c r="PJ88" i="1"/>
  <c r="PI88" i="1"/>
  <c r="PH88" i="1"/>
  <c r="PG88" i="1"/>
  <c r="PF88" i="1"/>
  <c r="QO87" i="1"/>
  <c r="QN87" i="1"/>
  <c r="QM87" i="1"/>
  <c r="QL87" i="1"/>
  <c r="QK87" i="1"/>
  <c r="QJ87" i="1"/>
  <c r="QI87" i="1"/>
  <c r="QH87" i="1"/>
  <c r="QG87" i="1"/>
  <c r="QF87" i="1"/>
  <c r="QE87" i="1"/>
  <c r="QD87" i="1"/>
  <c r="QC87" i="1"/>
  <c r="QB87" i="1"/>
  <c r="QA87" i="1"/>
  <c r="PZ87" i="1"/>
  <c r="PY87" i="1"/>
  <c r="PX87" i="1"/>
  <c r="PW87" i="1"/>
  <c r="PV87" i="1"/>
  <c r="PM87" i="1"/>
  <c r="PL87" i="1"/>
  <c r="PK87" i="1"/>
  <c r="PJ87" i="1"/>
  <c r="PI87" i="1"/>
  <c r="PH87" i="1"/>
  <c r="PG87" i="1"/>
  <c r="PF87" i="1"/>
  <c r="PE87" i="1"/>
  <c r="PD87" i="1"/>
  <c r="PC87" i="1"/>
  <c r="PB87" i="1"/>
  <c r="RA86" i="1"/>
  <c r="QZ86" i="1"/>
  <c r="QY86" i="1"/>
  <c r="QX86" i="1"/>
  <c r="QW86" i="1"/>
  <c r="QV86" i="1"/>
  <c r="QU86" i="1"/>
  <c r="QT86" i="1"/>
  <c r="QO86" i="1"/>
  <c r="QN86" i="1"/>
  <c r="QM86" i="1"/>
  <c r="QL86" i="1"/>
  <c r="QK86" i="1"/>
  <c r="QJ86" i="1"/>
  <c r="QI86" i="1"/>
  <c r="QH86" i="1"/>
  <c r="QC86" i="1"/>
  <c r="QB86" i="1"/>
  <c r="QA86" i="1"/>
  <c r="PZ86" i="1"/>
  <c r="PY86" i="1"/>
  <c r="PX86" i="1"/>
  <c r="PW86" i="1"/>
  <c r="PV86" i="1"/>
  <c r="PU86" i="1"/>
  <c r="PT86" i="1"/>
  <c r="PS86" i="1"/>
  <c r="PR86" i="1"/>
  <c r="PM86" i="1"/>
  <c r="PL86" i="1"/>
  <c r="PK86" i="1"/>
  <c r="PJ86" i="1"/>
  <c r="PI86" i="1"/>
  <c r="PH86" i="1"/>
  <c r="PG86" i="1"/>
  <c r="PF86" i="1"/>
  <c r="PA86" i="1"/>
  <c r="OZ86" i="1"/>
  <c r="OY86" i="1"/>
  <c r="OX86" i="1"/>
  <c r="RA85" i="1"/>
  <c r="QZ85" i="1"/>
  <c r="QY85" i="1"/>
  <c r="QX85" i="1"/>
  <c r="QW85" i="1"/>
  <c r="QV85" i="1"/>
  <c r="QU85" i="1"/>
  <c r="QT85" i="1"/>
  <c r="QS85" i="1"/>
  <c r="QR85" i="1"/>
  <c r="QQ85" i="1"/>
  <c r="QP85" i="1"/>
  <c r="QO85" i="1"/>
  <c r="QN85" i="1"/>
  <c r="QM85" i="1"/>
  <c r="QL85" i="1"/>
  <c r="QK85" i="1"/>
  <c r="QJ85" i="1"/>
  <c r="QI85" i="1"/>
  <c r="QH85" i="1"/>
  <c r="QG85" i="1"/>
  <c r="QF85" i="1"/>
  <c r="QE85" i="1"/>
  <c r="QD85" i="1"/>
  <c r="QC85" i="1"/>
  <c r="QB85" i="1"/>
  <c r="QA85" i="1"/>
  <c r="PZ85" i="1"/>
  <c r="PY85" i="1"/>
  <c r="PX85" i="1"/>
  <c r="PW85" i="1"/>
  <c r="PV85" i="1"/>
  <c r="PU85" i="1"/>
  <c r="PT85" i="1"/>
  <c r="PS85" i="1"/>
  <c r="PR85" i="1"/>
  <c r="PQ85" i="1"/>
  <c r="PP85" i="1"/>
  <c r="PO85" i="1"/>
  <c r="PN85" i="1"/>
  <c r="PM85" i="1"/>
  <c r="PL85" i="1"/>
  <c r="PK85" i="1"/>
  <c r="PJ85" i="1"/>
  <c r="PI85" i="1"/>
  <c r="PH85" i="1"/>
  <c r="PG85" i="1"/>
  <c r="PF85" i="1"/>
  <c r="PE85" i="1"/>
  <c r="PD85" i="1"/>
  <c r="PC85" i="1"/>
  <c r="PB85" i="1"/>
  <c r="PA85" i="1"/>
  <c r="OZ85" i="1"/>
  <c r="OY85" i="1"/>
  <c r="OX85" i="1"/>
  <c r="OW85" i="1"/>
  <c r="OV85" i="1"/>
  <c r="OU85" i="1"/>
  <c r="OT85" i="1"/>
  <c r="RA84" i="1"/>
  <c r="QZ84" i="1"/>
  <c r="QY84" i="1"/>
  <c r="QX84" i="1"/>
  <c r="QW84" i="1"/>
  <c r="QV84" i="1"/>
  <c r="QU84" i="1"/>
  <c r="QT84" i="1"/>
  <c r="QS84" i="1"/>
  <c r="QR84" i="1"/>
  <c r="QQ84" i="1"/>
  <c r="QP84" i="1"/>
  <c r="QO84" i="1"/>
  <c r="QN84" i="1"/>
  <c r="QM84" i="1"/>
  <c r="QL84" i="1"/>
  <c r="QK84" i="1"/>
  <c r="QJ84" i="1"/>
  <c r="QI84" i="1"/>
  <c r="QH84" i="1"/>
  <c r="QC84" i="1"/>
  <c r="QB84" i="1"/>
  <c r="QA84" i="1"/>
  <c r="PZ84" i="1"/>
  <c r="PY84" i="1"/>
  <c r="PX84" i="1"/>
  <c r="PW84" i="1"/>
  <c r="PV84" i="1"/>
  <c r="PM84" i="1"/>
  <c r="PL84" i="1"/>
  <c r="PK84" i="1"/>
  <c r="PJ84" i="1"/>
  <c r="RA83" i="1"/>
  <c r="QZ83" i="1"/>
  <c r="QY83" i="1"/>
  <c r="QX83" i="1"/>
  <c r="QW83" i="1"/>
  <c r="QV83" i="1"/>
  <c r="QU83" i="1"/>
  <c r="QT83" i="1"/>
  <c r="QS83" i="1"/>
  <c r="QR83" i="1"/>
  <c r="QQ83" i="1"/>
  <c r="QP83" i="1"/>
  <c r="PM83" i="1"/>
  <c r="PL83" i="1"/>
  <c r="PK83" i="1"/>
  <c r="PJ83" i="1"/>
  <c r="RA82" i="1"/>
  <c r="QZ82" i="1"/>
  <c r="QY82" i="1"/>
  <c r="QX82" i="1"/>
  <c r="QW82" i="1"/>
  <c r="QV82" i="1"/>
  <c r="QU82" i="1"/>
  <c r="QT82" i="1"/>
  <c r="QS82" i="1"/>
  <c r="QR82" i="1"/>
  <c r="QQ82" i="1"/>
  <c r="QP82" i="1"/>
  <c r="QO82" i="1"/>
  <c r="QN82" i="1"/>
  <c r="QM82" i="1"/>
  <c r="QL82" i="1"/>
  <c r="QK82" i="1"/>
  <c r="QJ82" i="1"/>
  <c r="QI82" i="1"/>
  <c r="QH82" i="1"/>
  <c r="QG82" i="1"/>
  <c r="QF82" i="1"/>
  <c r="QE82" i="1"/>
  <c r="QD82" i="1"/>
  <c r="QC82" i="1"/>
  <c r="QB82" i="1"/>
  <c r="QA82" i="1"/>
  <c r="PZ82" i="1"/>
  <c r="RA81" i="1"/>
  <c r="QZ81" i="1"/>
  <c r="QY81" i="1"/>
  <c r="QX81" i="1"/>
  <c r="QW81" i="1"/>
  <c r="QV81" i="1"/>
  <c r="QU81" i="1"/>
  <c r="QT81" i="1"/>
  <c r="QS81" i="1"/>
  <c r="QR81" i="1"/>
  <c r="QQ81" i="1"/>
  <c r="QP81" i="1"/>
  <c r="QO81" i="1"/>
  <c r="QN81" i="1"/>
  <c r="QM81" i="1"/>
  <c r="QL81" i="1"/>
  <c r="QK81" i="1"/>
  <c r="QJ81" i="1"/>
  <c r="QI81" i="1"/>
  <c r="QH81" i="1"/>
  <c r="QG81" i="1"/>
  <c r="QF81" i="1"/>
  <c r="QE81" i="1"/>
  <c r="QD81" i="1"/>
  <c r="QC81" i="1"/>
  <c r="QB81" i="1"/>
  <c r="QA81" i="1"/>
  <c r="PZ81" i="1"/>
  <c r="PY81" i="1"/>
  <c r="PX81" i="1"/>
  <c r="PW81" i="1"/>
  <c r="PV81" i="1"/>
  <c r="PU81" i="1"/>
  <c r="PT81" i="1"/>
  <c r="PS81" i="1"/>
  <c r="PR81" i="1"/>
  <c r="PM81" i="1"/>
  <c r="PL81" i="1"/>
  <c r="PK81" i="1"/>
  <c r="PJ81" i="1"/>
  <c r="PI81" i="1"/>
  <c r="PH81" i="1"/>
  <c r="PG81" i="1"/>
  <c r="PF81" i="1"/>
  <c r="PE81" i="1"/>
  <c r="PD81" i="1"/>
  <c r="PC81" i="1"/>
  <c r="PB81" i="1"/>
  <c r="RA80" i="1"/>
  <c r="QZ80" i="1"/>
  <c r="QY80" i="1"/>
  <c r="QX80" i="1"/>
  <c r="QW80" i="1"/>
  <c r="QV80" i="1"/>
  <c r="QU80" i="1"/>
  <c r="QT80" i="1"/>
  <c r="QS80" i="1"/>
  <c r="QR80" i="1"/>
  <c r="QQ80" i="1"/>
  <c r="QP80" i="1"/>
  <c r="QO80" i="1"/>
  <c r="QN80" i="1"/>
  <c r="QM80" i="1"/>
  <c r="QL80" i="1"/>
  <c r="QK80" i="1"/>
  <c r="QJ80" i="1"/>
  <c r="QI80" i="1"/>
  <c r="QH80" i="1"/>
  <c r="QC80" i="1"/>
  <c r="QB80" i="1"/>
  <c r="QA80" i="1"/>
  <c r="PZ80" i="1"/>
  <c r="PY80" i="1"/>
  <c r="PX80" i="1"/>
  <c r="PW80" i="1"/>
  <c r="PV80" i="1"/>
  <c r="PM80" i="1"/>
  <c r="PL80" i="1"/>
  <c r="PK80" i="1"/>
  <c r="PJ80" i="1"/>
  <c r="PI80" i="1"/>
  <c r="PH80" i="1"/>
  <c r="PG80" i="1"/>
  <c r="PF80" i="1"/>
  <c r="PE80" i="1"/>
  <c r="PD80" i="1"/>
  <c r="PC80" i="1"/>
  <c r="PB80" i="1"/>
  <c r="RA79" i="1"/>
  <c r="QZ79" i="1"/>
  <c r="QY79" i="1"/>
  <c r="QX79" i="1"/>
  <c r="QW79" i="1"/>
  <c r="QV79" i="1"/>
  <c r="QU79" i="1"/>
  <c r="QT79" i="1"/>
  <c r="QS79" i="1"/>
  <c r="QR79" i="1"/>
  <c r="QQ79" i="1"/>
  <c r="QP79" i="1"/>
  <c r="QO79" i="1"/>
  <c r="QN79" i="1"/>
  <c r="QM79" i="1"/>
  <c r="QL79" i="1"/>
  <c r="QK79" i="1"/>
  <c r="QJ79" i="1"/>
  <c r="QI79" i="1"/>
  <c r="QH79" i="1"/>
  <c r="QG79" i="1"/>
  <c r="QF79" i="1"/>
  <c r="QE79" i="1"/>
  <c r="QD79" i="1"/>
  <c r="QC79" i="1"/>
  <c r="QB79" i="1"/>
  <c r="QA79" i="1"/>
  <c r="PZ79" i="1"/>
  <c r="PY79" i="1"/>
  <c r="PX79" i="1"/>
  <c r="PW79" i="1"/>
  <c r="PV79" i="1"/>
  <c r="PU79" i="1"/>
  <c r="PT79" i="1"/>
  <c r="PS79" i="1"/>
  <c r="PR79" i="1"/>
  <c r="PQ79" i="1"/>
  <c r="PP79" i="1"/>
  <c r="PO79" i="1"/>
  <c r="PN79" i="1"/>
  <c r="PM79" i="1"/>
  <c r="PL79" i="1"/>
  <c r="PK79" i="1"/>
  <c r="PJ79" i="1"/>
  <c r="PI79" i="1"/>
  <c r="PH79" i="1"/>
  <c r="PG79" i="1"/>
  <c r="PF79" i="1"/>
  <c r="PE79" i="1"/>
  <c r="PD79" i="1"/>
  <c r="PC79" i="1"/>
  <c r="PB79" i="1"/>
  <c r="PA79" i="1"/>
  <c r="OZ79" i="1"/>
  <c r="OY79" i="1"/>
  <c r="OX79" i="1"/>
  <c r="OW79" i="1"/>
  <c r="OV79" i="1"/>
  <c r="OU79" i="1"/>
  <c r="OT79" i="1"/>
  <c r="RA78" i="1"/>
  <c r="QZ78" i="1"/>
  <c r="QY78" i="1"/>
  <c r="QX78" i="1"/>
  <c r="QW78" i="1"/>
  <c r="QV78" i="1"/>
  <c r="QU78" i="1"/>
  <c r="QT78" i="1"/>
  <c r="QS78" i="1"/>
  <c r="QR78" i="1"/>
  <c r="QQ78" i="1"/>
  <c r="QP78" i="1"/>
  <c r="QO78" i="1"/>
  <c r="QN78" i="1"/>
  <c r="QM78" i="1"/>
  <c r="QL78" i="1"/>
  <c r="QK78" i="1"/>
  <c r="QJ78" i="1"/>
  <c r="QI78" i="1"/>
  <c r="QH78" i="1"/>
  <c r="QC78" i="1"/>
  <c r="QB78" i="1"/>
  <c r="QA78" i="1"/>
  <c r="PZ78" i="1"/>
  <c r="PY78" i="1"/>
  <c r="PX78" i="1"/>
  <c r="PW78" i="1"/>
  <c r="PV78" i="1"/>
  <c r="PM78" i="1"/>
  <c r="PL78" i="1"/>
  <c r="PK78" i="1"/>
  <c r="PJ78" i="1"/>
  <c r="PA78" i="1"/>
  <c r="OZ78" i="1"/>
  <c r="OY78" i="1"/>
  <c r="OX78" i="1"/>
  <c r="RA77" i="1"/>
  <c r="QZ77" i="1"/>
  <c r="QY77" i="1"/>
  <c r="QX77" i="1"/>
  <c r="QW77" i="1"/>
  <c r="QV77" i="1"/>
  <c r="QU77" i="1"/>
  <c r="QT77" i="1"/>
  <c r="QS77" i="1"/>
  <c r="QR77" i="1"/>
  <c r="QQ77" i="1"/>
  <c r="QP77" i="1"/>
  <c r="QO77" i="1"/>
  <c r="QN77" i="1"/>
  <c r="QM77" i="1"/>
  <c r="QL77" i="1"/>
  <c r="QK77" i="1"/>
  <c r="QJ77" i="1"/>
  <c r="QI77" i="1"/>
  <c r="QH77" i="1"/>
  <c r="PM77" i="1"/>
  <c r="PL77" i="1"/>
  <c r="PK77" i="1"/>
  <c r="PJ77" i="1"/>
  <c r="PI77" i="1"/>
  <c r="PH77" i="1"/>
  <c r="PG77" i="1"/>
  <c r="PF77" i="1"/>
  <c r="RA76" i="1"/>
  <c r="QZ76" i="1"/>
  <c r="QY76" i="1"/>
  <c r="QX76" i="1"/>
  <c r="QW76" i="1"/>
  <c r="QV76" i="1"/>
  <c r="QU76" i="1"/>
  <c r="QT76" i="1"/>
  <c r="QS76" i="1"/>
  <c r="QR76" i="1"/>
  <c r="QQ76" i="1"/>
  <c r="QP76" i="1"/>
  <c r="QO76" i="1"/>
  <c r="QN76" i="1"/>
  <c r="QM76" i="1"/>
  <c r="QL76" i="1"/>
  <c r="QK76" i="1"/>
  <c r="QJ76" i="1"/>
  <c r="QI76" i="1"/>
  <c r="QH76" i="1"/>
  <c r="QC76" i="1"/>
  <c r="QB76" i="1"/>
  <c r="QA76" i="1"/>
  <c r="PZ76" i="1"/>
  <c r="PY76" i="1"/>
  <c r="PX76" i="1"/>
  <c r="PW76" i="1"/>
  <c r="PV76" i="1"/>
  <c r="PM76" i="1"/>
  <c r="PL76" i="1"/>
  <c r="PK76" i="1"/>
  <c r="PJ76" i="1"/>
  <c r="PA76" i="1"/>
  <c r="OZ76" i="1"/>
  <c r="OY76" i="1"/>
  <c r="OX76" i="1"/>
  <c r="OW76" i="1"/>
  <c r="OV76" i="1"/>
  <c r="OU76" i="1"/>
  <c r="OT76" i="1"/>
  <c r="RA75" i="1"/>
  <c r="QZ75" i="1"/>
  <c r="QY75" i="1"/>
  <c r="QX75" i="1"/>
  <c r="QW75" i="1"/>
  <c r="QV75" i="1"/>
  <c r="QU75" i="1"/>
  <c r="QT75" i="1"/>
  <c r="QS75" i="1"/>
  <c r="QR75" i="1"/>
  <c r="QQ75" i="1"/>
  <c r="QP75" i="1"/>
  <c r="QO75" i="1"/>
  <c r="QN75" i="1"/>
  <c r="QM75" i="1"/>
  <c r="QL75" i="1"/>
  <c r="QK75" i="1"/>
  <c r="QJ75" i="1"/>
  <c r="QI75" i="1"/>
  <c r="QH75" i="1"/>
  <c r="QG75" i="1"/>
  <c r="QF75" i="1"/>
  <c r="QE75" i="1"/>
  <c r="QD75" i="1"/>
  <c r="QC75" i="1"/>
  <c r="QB75" i="1"/>
  <c r="QA75" i="1"/>
  <c r="PZ75" i="1"/>
  <c r="PY75" i="1"/>
  <c r="PX75" i="1"/>
  <c r="PW75" i="1"/>
  <c r="PV75" i="1"/>
  <c r="PM75" i="1"/>
  <c r="PL75" i="1"/>
  <c r="PK75" i="1"/>
  <c r="PJ75" i="1"/>
  <c r="PA75" i="1"/>
  <c r="OZ75" i="1"/>
  <c r="OY75" i="1"/>
  <c r="OX75" i="1"/>
  <c r="OW75" i="1"/>
  <c r="OV75" i="1"/>
  <c r="OU75" i="1"/>
  <c r="OT75" i="1"/>
  <c r="RA74" i="1"/>
  <c r="QZ74" i="1"/>
  <c r="QY74" i="1"/>
  <c r="QX74" i="1"/>
  <c r="QW74" i="1"/>
  <c r="QV74" i="1"/>
  <c r="QU74" i="1"/>
  <c r="QT74" i="1"/>
  <c r="QS74" i="1"/>
  <c r="QR74" i="1"/>
  <c r="QQ74" i="1"/>
  <c r="QP74" i="1"/>
  <c r="QO74" i="1"/>
  <c r="QN74" i="1"/>
  <c r="QM74" i="1"/>
  <c r="QL74" i="1"/>
  <c r="QK74" i="1"/>
  <c r="QJ74" i="1"/>
  <c r="QI74" i="1"/>
  <c r="QH74" i="1"/>
  <c r="QG74" i="1"/>
  <c r="QF74" i="1"/>
  <c r="QE74" i="1"/>
  <c r="QD74" i="1"/>
  <c r="QC74" i="1"/>
  <c r="QB74" i="1"/>
  <c r="QA74" i="1"/>
  <c r="PZ74" i="1"/>
  <c r="PY74" i="1"/>
  <c r="PX74" i="1"/>
  <c r="PW74" i="1"/>
  <c r="PV74" i="1"/>
  <c r="PM74" i="1"/>
  <c r="PL74" i="1"/>
  <c r="PK74" i="1"/>
  <c r="PJ74" i="1"/>
  <c r="PA74" i="1"/>
  <c r="OZ74" i="1"/>
  <c r="OY74" i="1"/>
  <c r="OX74" i="1"/>
  <c r="OW74" i="1"/>
  <c r="OV74" i="1"/>
  <c r="OU74" i="1"/>
  <c r="OT74" i="1"/>
  <c r="RA73" i="1"/>
  <c r="QZ73" i="1"/>
  <c r="QY73" i="1"/>
  <c r="QX73" i="1"/>
  <c r="QW73" i="1"/>
  <c r="QV73" i="1"/>
  <c r="QU73" i="1"/>
  <c r="QT73" i="1"/>
  <c r="QO73" i="1"/>
  <c r="QN73" i="1"/>
  <c r="QM73" i="1"/>
  <c r="QL73" i="1"/>
  <c r="QK73" i="1"/>
  <c r="QJ73" i="1"/>
  <c r="QI73" i="1"/>
  <c r="QH73" i="1"/>
  <c r="QC73" i="1"/>
  <c r="QB73" i="1"/>
  <c r="QA73" i="1"/>
  <c r="PZ73" i="1"/>
  <c r="PY73" i="1"/>
  <c r="PX73" i="1"/>
  <c r="PW73" i="1"/>
  <c r="PV73" i="1"/>
  <c r="PU73" i="1"/>
  <c r="PT73" i="1"/>
  <c r="PS73" i="1"/>
  <c r="PR73" i="1"/>
  <c r="PM73" i="1"/>
  <c r="PL73" i="1"/>
  <c r="PK73" i="1"/>
  <c r="PJ73" i="1"/>
  <c r="PA73" i="1"/>
  <c r="OZ73" i="1"/>
  <c r="OY73" i="1"/>
  <c r="OX73" i="1"/>
  <c r="OW73" i="1"/>
  <c r="OV73" i="1"/>
  <c r="OU73" i="1"/>
  <c r="OT73" i="1"/>
  <c r="RA72" i="1"/>
  <c r="QZ72" i="1"/>
  <c r="QY72" i="1"/>
  <c r="QX72" i="1"/>
  <c r="QW72" i="1"/>
  <c r="QV72" i="1"/>
  <c r="QU72" i="1"/>
  <c r="QT72" i="1"/>
  <c r="QS72" i="1"/>
  <c r="QR72" i="1"/>
  <c r="QQ72" i="1"/>
  <c r="QP72" i="1"/>
  <c r="QO72" i="1"/>
  <c r="QN72" i="1"/>
  <c r="QM72" i="1"/>
  <c r="QL72" i="1"/>
  <c r="QK72" i="1"/>
  <c r="QJ72" i="1"/>
  <c r="QI72" i="1"/>
  <c r="QH72" i="1"/>
  <c r="QG72" i="1"/>
  <c r="QF72" i="1"/>
  <c r="QE72" i="1"/>
  <c r="QD72" i="1"/>
  <c r="QC72" i="1"/>
  <c r="QB72" i="1"/>
  <c r="QA72" i="1"/>
  <c r="PZ72" i="1"/>
  <c r="PY72" i="1"/>
  <c r="PX72" i="1"/>
  <c r="PW72" i="1"/>
  <c r="PV72" i="1"/>
  <c r="PM72" i="1"/>
  <c r="PL72" i="1"/>
  <c r="PK72" i="1"/>
  <c r="PJ72" i="1"/>
  <c r="PI72" i="1"/>
  <c r="PH72" i="1"/>
  <c r="PG72" i="1"/>
  <c r="PF72" i="1"/>
  <c r="PA72" i="1"/>
  <c r="OZ72" i="1"/>
  <c r="OY72" i="1"/>
  <c r="OX72" i="1"/>
  <c r="OW72" i="1"/>
  <c r="OV72" i="1"/>
  <c r="OU72" i="1"/>
  <c r="OT72" i="1"/>
  <c r="RA71" i="1"/>
  <c r="QZ71" i="1"/>
  <c r="QY71" i="1"/>
  <c r="QX71" i="1"/>
  <c r="QW71" i="1"/>
  <c r="QV71" i="1"/>
  <c r="QU71" i="1"/>
  <c r="QT71" i="1"/>
  <c r="QS71" i="1"/>
  <c r="QR71" i="1"/>
  <c r="QQ71" i="1"/>
  <c r="QP71" i="1"/>
  <c r="QO71" i="1"/>
  <c r="QN71" i="1"/>
  <c r="QM71" i="1"/>
  <c r="QL71" i="1"/>
  <c r="QK71" i="1"/>
  <c r="QJ71" i="1"/>
  <c r="QI71" i="1"/>
  <c r="QH71" i="1"/>
  <c r="QG71" i="1"/>
  <c r="QF71" i="1"/>
  <c r="QE71" i="1"/>
  <c r="QD71" i="1"/>
  <c r="QC71" i="1"/>
  <c r="QB71" i="1"/>
  <c r="QA71" i="1"/>
  <c r="PZ71" i="1"/>
  <c r="PY71" i="1"/>
  <c r="PX71" i="1"/>
  <c r="PW71" i="1"/>
  <c r="PV71" i="1"/>
  <c r="PU71" i="1"/>
  <c r="PT71" i="1"/>
  <c r="PS71" i="1"/>
  <c r="PR71" i="1"/>
  <c r="PM71" i="1"/>
  <c r="PL71" i="1"/>
  <c r="PK71" i="1"/>
  <c r="PJ71" i="1"/>
  <c r="PI71" i="1"/>
  <c r="PH71" i="1"/>
  <c r="PG71" i="1"/>
  <c r="PF71" i="1"/>
  <c r="PE71" i="1"/>
  <c r="PD71" i="1"/>
  <c r="PC71" i="1"/>
  <c r="PB71" i="1"/>
  <c r="PA71" i="1"/>
  <c r="OZ71" i="1"/>
  <c r="OY71" i="1"/>
  <c r="OX71" i="1"/>
  <c r="RA70" i="1"/>
  <c r="QZ70" i="1"/>
  <c r="QY70" i="1"/>
  <c r="QX70" i="1"/>
  <c r="QW70" i="1"/>
  <c r="QV70" i="1"/>
  <c r="QU70" i="1"/>
  <c r="QT70" i="1"/>
  <c r="QS70" i="1"/>
  <c r="QR70" i="1"/>
  <c r="QQ70" i="1"/>
  <c r="QP70" i="1"/>
  <c r="QO70" i="1"/>
  <c r="QN70" i="1"/>
  <c r="QM70" i="1"/>
  <c r="QL70" i="1"/>
  <c r="QK70" i="1"/>
  <c r="QJ70" i="1"/>
  <c r="QI70" i="1"/>
  <c r="QH70" i="1"/>
  <c r="QC70" i="1"/>
  <c r="QB70" i="1"/>
  <c r="QA70" i="1"/>
  <c r="PZ70" i="1"/>
  <c r="PY70" i="1"/>
  <c r="PX70" i="1"/>
  <c r="PW70" i="1"/>
  <c r="PV70" i="1"/>
  <c r="PU70" i="1"/>
  <c r="PT70" i="1"/>
  <c r="PS70" i="1"/>
  <c r="PR70" i="1"/>
  <c r="PM70" i="1"/>
  <c r="PL70" i="1"/>
  <c r="PK70" i="1"/>
  <c r="PJ70" i="1"/>
  <c r="PI70" i="1"/>
  <c r="PH70" i="1"/>
  <c r="PG70" i="1"/>
  <c r="PF70" i="1"/>
  <c r="RA69" i="1"/>
  <c r="QZ69" i="1"/>
  <c r="QY69" i="1"/>
  <c r="QX69" i="1"/>
  <c r="QW69" i="1"/>
  <c r="QV69" i="1"/>
  <c r="QU69" i="1"/>
  <c r="QT69" i="1"/>
  <c r="QS69" i="1"/>
  <c r="QR69" i="1"/>
  <c r="QQ69" i="1"/>
  <c r="QP69" i="1"/>
  <c r="QO69" i="1"/>
  <c r="QN69" i="1"/>
  <c r="QM69" i="1"/>
  <c r="QL69" i="1"/>
  <c r="QK69" i="1"/>
  <c r="QJ69" i="1"/>
  <c r="QI69" i="1"/>
  <c r="QH69" i="1"/>
  <c r="QG69" i="1"/>
  <c r="QF69" i="1"/>
  <c r="QE69" i="1"/>
  <c r="QD69" i="1"/>
  <c r="QC69" i="1"/>
  <c r="QB69" i="1"/>
  <c r="QA69" i="1"/>
  <c r="PZ69" i="1"/>
  <c r="PY69" i="1"/>
  <c r="PX69" i="1"/>
  <c r="PW69" i="1"/>
  <c r="PV69" i="1"/>
  <c r="PM69" i="1"/>
  <c r="PL69" i="1"/>
  <c r="PK69" i="1"/>
  <c r="PJ69" i="1"/>
  <c r="PI69" i="1"/>
  <c r="PH69" i="1"/>
  <c r="PG69" i="1"/>
  <c r="PF69" i="1"/>
  <c r="PE69" i="1"/>
  <c r="PD69" i="1"/>
  <c r="PC69" i="1"/>
  <c r="PB69" i="1"/>
  <c r="RA68" i="1"/>
  <c r="QZ68" i="1"/>
  <c r="QY68" i="1"/>
  <c r="QX68" i="1"/>
  <c r="QW68" i="1"/>
  <c r="QV68" i="1"/>
  <c r="QU68" i="1"/>
  <c r="QT68" i="1"/>
  <c r="QS68" i="1"/>
  <c r="QR68" i="1"/>
  <c r="QQ68" i="1"/>
  <c r="QP68" i="1"/>
  <c r="QO68" i="1"/>
  <c r="QN68" i="1"/>
  <c r="QM68" i="1"/>
  <c r="QL68" i="1"/>
  <c r="QK68" i="1"/>
  <c r="QJ68" i="1"/>
  <c r="QI68" i="1"/>
  <c r="QH68" i="1"/>
  <c r="QC68" i="1"/>
  <c r="QB68" i="1"/>
  <c r="QA68" i="1"/>
  <c r="PZ68" i="1"/>
  <c r="PY68" i="1"/>
  <c r="PX68" i="1"/>
  <c r="PW68" i="1"/>
  <c r="PV68" i="1"/>
  <c r="PU68" i="1"/>
  <c r="PT68" i="1"/>
  <c r="PS68" i="1"/>
  <c r="PR68" i="1"/>
  <c r="PM68" i="1"/>
  <c r="PL68" i="1"/>
  <c r="PK68" i="1"/>
  <c r="PJ68" i="1"/>
  <c r="PI68" i="1"/>
  <c r="PH68" i="1"/>
  <c r="PG68" i="1"/>
  <c r="PF68" i="1"/>
  <c r="PE68" i="1"/>
  <c r="PD68" i="1"/>
  <c r="PC68" i="1"/>
  <c r="PB68" i="1"/>
  <c r="RA67" i="1"/>
  <c r="QZ67" i="1"/>
  <c r="QY67" i="1"/>
  <c r="QX67" i="1"/>
  <c r="QW67" i="1"/>
  <c r="QV67" i="1"/>
  <c r="QU67" i="1"/>
  <c r="QT67" i="1"/>
  <c r="QS67" i="1"/>
  <c r="QR67" i="1"/>
  <c r="QQ67" i="1"/>
  <c r="QP67" i="1"/>
  <c r="QO67" i="1"/>
  <c r="QN67" i="1"/>
  <c r="QM67" i="1"/>
  <c r="QL67" i="1"/>
  <c r="QK67" i="1"/>
  <c r="QJ67" i="1"/>
  <c r="QI67" i="1"/>
  <c r="QH67" i="1"/>
  <c r="QG67" i="1"/>
  <c r="QF67" i="1"/>
  <c r="QE67" i="1"/>
  <c r="QD67" i="1"/>
  <c r="QC67" i="1"/>
  <c r="QB67" i="1"/>
  <c r="QA67" i="1"/>
  <c r="PZ67" i="1"/>
  <c r="PY67" i="1"/>
  <c r="PX67" i="1"/>
  <c r="PW67" i="1"/>
  <c r="PV67" i="1"/>
  <c r="PM67" i="1"/>
  <c r="PL67" i="1"/>
  <c r="PK67" i="1"/>
  <c r="PJ67" i="1"/>
  <c r="PI67" i="1"/>
  <c r="PH67" i="1"/>
  <c r="PG67" i="1"/>
  <c r="PF67" i="1"/>
  <c r="PE67" i="1"/>
  <c r="PD67" i="1"/>
  <c r="PC67" i="1"/>
  <c r="PB67" i="1"/>
  <c r="PA67" i="1"/>
  <c r="OZ67" i="1"/>
  <c r="OY67" i="1"/>
  <c r="OX67" i="1"/>
  <c r="OW67" i="1"/>
  <c r="OV67" i="1"/>
  <c r="OU67" i="1"/>
  <c r="OT67" i="1"/>
  <c r="RA66" i="1"/>
  <c r="QZ66" i="1"/>
  <c r="QY66" i="1"/>
  <c r="QX66" i="1"/>
  <c r="QW66" i="1"/>
  <c r="QV66" i="1"/>
  <c r="QU66" i="1"/>
  <c r="QT66" i="1"/>
  <c r="QS66" i="1"/>
  <c r="QR66" i="1"/>
  <c r="QQ66" i="1"/>
  <c r="QP66" i="1"/>
  <c r="QO66" i="1"/>
  <c r="QN66" i="1"/>
  <c r="QM66" i="1"/>
  <c r="QL66" i="1"/>
  <c r="QC66" i="1"/>
  <c r="QB66" i="1"/>
  <c r="QA66" i="1"/>
  <c r="PZ66" i="1"/>
  <c r="PY66" i="1"/>
  <c r="PX66" i="1"/>
  <c r="PW66" i="1"/>
  <c r="PV66" i="1"/>
  <c r="PM66" i="1"/>
  <c r="PL66" i="1"/>
  <c r="PK66" i="1"/>
  <c r="PJ66" i="1"/>
  <c r="PI66" i="1"/>
  <c r="PH66" i="1"/>
  <c r="PG66" i="1"/>
  <c r="PF66" i="1"/>
  <c r="PA66" i="1"/>
  <c r="OZ66" i="1"/>
  <c r="OY66" i="1"/>
  <c r="OX66" i="1"/>
  <c r="RA65" i="1"/>
  <c r="QZ65" i="1"/>
  <c r="QY65" i="1"/>
  <c r="QX65" i="1"/>
  <c r="QW65" i="1"/>
  <c r="QV65" i="1"/>
  <c r="QU65" i="1"/>
  <c r="QT65" i="1"/>
  <c r="QS65" i="1"/>
  <c r="QR65" i="1"/>
  <c r="QQ65" i="1"/>
  <c r="QP65" i="1"/>
  <c r="QO65" i="1"/>
  <c r="QN65" i="1"/>
  <c r="QM65" i="1"/>
  <c r="QL65" i="1"/>
  <c r="QK65" i="1"/>
  <c r="QJ65" i="1"/>
  <c r="QI65" i="1"/>
  <c r="QH65" i="1"/>
  <c r="QC65" i="1"/>
  <c r="QB65" i="1"/>
  <c r="QA65" i="1"/>
  <c r="PZ65" i="1"/>
  <c r="PY65" i="1"/>
  <c r="PX65" i="1"/>
  <c r="PW65" i="1"/>
  <c r="PV65" i="1"/>
  <c r="PM65" i="1"/>
  <c r="PL65" i="1"/>
  <c r="PK65" i="1"/>
  <c r="PJ65" i="1"/>
  <c r="PI65" i="1"/>
  <c r="PH65" i="1"/>
  <c r="PG65" i="1"/>
  <c r="PF65" i="1"/>
  <c r="PE65" i="1"/>
  <c r="PD65" i="1"/>
  <c r="PC65" i="1"/>
  <c r="PB65" i="1"/>
  <c r="RA64" i="1"/>
  <c r="QZ64" i="1"/>
  <c r="QY64" i="1"/>
  <c r="QX64" i="1"/>
  <c r="QW64" i="1"/>
  <c r="QV64" i="1"/>
  <c r="QU64" i="1"/>
  <c r="QT64" i="1"/>
  <c r="QS64" i="1"/>
  <c r="QR64" i="1"/>
  <c r="QQ64" i="1"/>
  <c r="QP64" i="1"/>
  <c r="QO64" i="1"/>
  <c r="QN64" i="1"/>
  <c r="QM64" i="1"/>
  <c r="QL64" i="1"/>
  <c r="QK64" i="1"/>
  <c r="QJ64" i="1"/>
  <c r="QI64" i="1"/>
  <c r="QH64" i="1"/>
  <c r="QG64" i="1"/>
  <c r="QF64" i="1"/>
  <c r="QE64" i="1"/>
  <c r="QD64" i="1"/>
  <c r="QC64" i="1"/>
  <c r="QB64" i="1"/>
  <c r="QA64" i="1"/>
  <c r="PZ64" i="1"/>
  <c r="PM64" i="1"/>
  <c r="PL64" i="1"/>
  <c r="PK64" i="1"/>
  <c r="PJ64" i="1"/>
  <c r="PI64" i="1"/>
  <c r="PH64" i="1"/>
  <c r="PG64" i="1"/>
  <c r="PF64" i="1"/>
  <c r="PE64" i="1"/>
  <c r="PD64" i="1"/>
  <c r="PC64" i="1"/>
  <c r="PB64" i="1"/>
  <c r="RA63" i="1"/>
  <c r="QZ63" i="1"/>
  <c r="QY63" i="1"/>
  <c r="QX63" i="1"/>
  <c r="QW63" i="1"/>
  <c r="QV63" i="1"/>
  <c r="QU63" i="1"/>
  <c r="QT63" i="1"/>
  <c r="QS63" i="1"/>
  <c r="QR63" i="1"/>
  <c r="QQ63" i="1"/>
  <c r="QP63" i="1"/>
  <c r="QC63" i="1"/>
  <c r="QB63" i="1"/>
  <c r="QA63" i="1"/>
  <c r="PZ63" i="1"/>
  <c r="PY63" i="1"/>
  <c r="PX63" i="1"/>
  <c r="PW63" i="1"/>
  <c r="PV63" i="1"/>
  <c r="PM63" i="1"/>
  <c r="PL63" i="1"/>
  <c r="PK63" i="1"/>
  <c r="PJ63" i="1"/>
  <c r="RA62" i="1"/>
  <c r="QZ62" i="1"/>
  <c r="QY62" i="1"/>
  <c r="QX62" i="1"/>
  <c r="QW62" i="1"/>
  <c r="QV62" i="1"/>
  <c r="QU62" i="1"/>
  <c r="QT62" i="1"/>
  <c r="QO62" i="1"/>
  <c r="QN62" i="1"/>
  <c r="QM62" i="1"/>
  <c r="QL62" i="1"/>
  <c r="QC62" i="1"/>
  <c r="QB62" i="1"/>
  <c r="QA62" i="1"/>
  <c r="PZ62" i="1"/>
  <c r="PY62" i="1"/>
  <c r="PX62" i="1"/>
  <c r="PW62" i="1"/>
  <c r="PV62" i="1"/>
  <c r="PU62" i="1"/>
  <c r="PT62" i="1"/>
  <c r="PS62" i="1"/>
  <c r="PR62" i="1"/>
  <c r="PM62" i="1"/>
  <c r="PL62" i="1"/>
  <c r="PK62" i="1"/>
  <c r="PJ62" i="1"/>
  <c r="PA62" i="1"/>
  <c r="OZ62" i="1"/>
  <c r="OY62" i="1"/>
  <c r="OX62" i="1"/>
  <c r="RA61" i="1"/>
  <c r="QZ61" i="1"/>
  <c r="QY61" i="1"/>
  <c r="QX61" i="1"/>
  <c r="QW61" i="1"/>
  <c r="QV61" i="1"/>
  <c r="QU61" i="1"/>
  <c r="QT61" i="1"/>
  <c r="QS61" i="1"/>
  <c r="QR61" i="1"/>
  <c r="QQ61" i="1"/>
  <c r="QP61" i="1"/>
  <c r="QO61" i="1"/>
  <c r="QN61" i="1"/>
  <c r="QM61" i="1"/>
  <c r="QL61" i="1"/>
  <c r="QC61" i="1"/>
  <c r="QB61" i="1"/>
  <c r="QA61" i="1"/>
  <c r="PZ61" i="1"/>
  <c r="PM61" i="1"/>
  <c r="PL61" i="1"/>
  <c r="PK61" i="1"/>
  <c r="PJ61" i="1"/>
  <c r="RA60" i="1"/>
  <c r="QZ60" i="1"/>
  <c r="QY60" i="1"/>
  <c r="QX60" i="1"/>
  <c r="QW60" i="1"/>
  <c r="QV60" i="1"/>
  <c r="QU60" i="1"/>
  <c r="QT60" i="1"/>
  <c r="QO60" i="1"/>
  <c r="QN60" i="1"/>
  <c r="QM60" i="1"/>
  <c r="QL60" i="1"/>
  <c r="QK60" i="1"/>
  <c r="QJ60" i="1"/>
  <c r="QI60" i="1"/>
  <c r="QH60" i="1"/>
  <c r="QG60" i="1"/>
  <c r="QF60" i="1"/>
  <c r="QE60" i="1"/>
  <c r="QD60" i="1"/>
  <c r="QC60" i="1"/>
  <c r="QB60" i="1"/>
  <c r="QA60" i="1"/>
  <c r="PZ60" i="1"/>
  <c r="PY60" i="1"/>
  <c r="PX60" i="1"/>
  <c r="PW60" i="1"/>
  <c r="PV60" i="1"/>
  <c r="PM60" i="1"/>
  <c r="PL60" i="1"/>
  <c r="PK60" i="1"/>
  <c r="PJ60" i="1"/>
  <c r="PI60" i="1"/>
  <c r="PH60" i="1"/>
  <c r="PG60" i="1"/>
  <c r="PF60" i="1"/>
  <c r="PE60" i="1"/>
  <c r="PD60" i="1"/>
  <c r="PC60" i="1"/>
  <c r="PB60" i="1"/>
  <c r="RA59" i="1"/>
  <c r="QZ59" i="1"/>
  <c r="QY59" i="1"/>
  <c r="QX59" i="1"/>
  <c r="QW59" i="1"/>
  <c r="QV59" i="1"/>
  <c r="QU59" i="1"/>
  <c r="QT59" i="1"/>
  <c r="QS59" i="1"/>
  <c r="QR59" i="1"/>
  <c r="QQ59" i="1"/>
  <c r="QP59" i="1"/>
  <c r="QO59" i="1"/>
  <c r="QN59" i="1"/>
  <c r="QM59" i="1"/>
  <c r="QL59" i="1"/>
  <c r="QK59" i="1"/>
  <c r="QJ59" i="1"/>
  <c r="QI59" i="1"/>
  <c r="QH59" i="1"/>
  <c r="QC59" i="1"/>
  <c r="QB59" i="1"/>
  <c r="QA59" i="1"/>
  <c r="PZ59" i="1"/>
  <c r="PY59" i="1"/>
  <c r="PX59" i="1"/>
  <c r="PW59" i="1"/>
  <c r="PV59" i="1"/>
  <c r="PM59" i="1"/>
  <c r="PL59" i="1"/>
  <c r="PK59" i="1"/>
  <c r="PJ59" i="1"/>
  <c r="PI59" i="1"/>
  <c r="PH59" i="1"/>
  <c r="PG59" i="1"/>
  <c r="PF59" i="1"/>
  <c r="RA58" i="1"/>
  <c r="QZ58" i="1"/>
  <c r="QY58" i="1"/>
  <c r="QX58" i="1"/>
  <c r="QW58" i="1"/>
  <c r="QV58" i="1"/>
  <c r="QU58" i="1"/>
  <c r="QT58" i="1"/>
  <c r="QS58" i="1"/>
  <c r="QR58" i="1"/>
  <c r="QQ58" i="1"/>
  <c r="QP58" i="1"/>
  <c r="QO58" i="1"/>
  <c r="QN58" i="1"/>
  <c r="QM58" i="1"/>
  <c r="QL58" i="1"/>
  <c r="QK58" i="1"/>
  <c r="QJ58" i="1"/>
  <c r="QI58" i="1"/>
  <c r="QH58" i="1"/>
  <c r="QG58" i="1"/>
  <c r="QF58" i="1"/>
  <c r="QE58" i="1"/>
  <c r="QD58" i="1"/>
  <c r="QC58" i="1"/>
  <c r="QB58" i="1"/>
  <c r="QA58" i="1"/>
  <c r="PZ58" i="1"/>
  <c r="PY58" i="1"/>
  <c r="PX58" i="1"/>
  <c r="PW58" i="1"/>
  <c r="PV58" i="1"/>
  <c r="PM58" i="1"/>
  <c r="PL58" i="1"/>
  <c r="PK58" i="1"/>
  <c r="PJ58" i="1"/>
  <c r="PI58" i="1"/>
  <c r="PH58" i="1"/>
  <c r="PG58" i="1"/>
  <c r="PF58" i="1"/>
  <c r="PA58" i="1"/>
  <c r="OZ58" i="1"/>
  <c r="OY58" i="1"/>
  <c r="OX58" i="1"/>
  <c r="RA57" i="1"/>
  <c r="QZ57" i="1"/>
  <c r="QY57" i="1"/>
  <c r="QX57" i="1"/>
  <c r="QW57" i="1"/>
  <c r="QV57" i="1"/>
  <c r="QU57" i="1"/>
  <c r="QT57" i="1"/>
  <c r="QS57" i="1"/>
  <c r="QR57" i="1"/>
  <c r="QQ57" i="1"/>
  <c r="QP57" i="1"/>
  <c r="QO57" i="1"/>
  <c r="QN57" i="1"/>
  <c r="QM57" i="1"/>
  <c r="QL57" i="1"/>
  <c r="QK57" i="1"/>
  <c r="QJ57" i="1"/>
  <c r="QI57" i="1"/>
  <c r="QH57" i="1"/>
  <c r="QG57" i="1"/>
  <c r="QF57" i="1"/>
  <c r="QE57" i="1"/>
  <c r="QD57" i="1"/>
  <c r="QC57" i="1"/>
  <c r="QB57" i="1"/>
  <c r="QA57" i="1"/>
  <c r="PZ57" i="1"/>
  <c r="PM57" i="1"/>
  <c r="PL57" i="1"/>
  <c r="PK57" i="1"/>
  <c r="PJ57" i="1"/>
  <c r="PI57" i="1"/>
  <c r="PH57" i="1"/>
  <c r="PG57" i="1"/>
  <c r="PF57" i="1"/>
  <c r="PA57" i="1"/>
  <c r="OZ57" i="1"/>
  <c r="OY57" i="1"/>
  <c r="OX57" i="1"/>
  <c r="RA56" i="1"/>
  <c r="QZ56" i="1"/>
  <c r="QY56" i="1"/>
  <c r="QX56" i="1"/>
  <c r="QW56" i="1"/>
  <c r="QV56" i="1"/>
  <c r="QU56" i="1"/>
  <c r="QT56" i="1"/>
  <c r="QS56" i="1"/>
  <c r="QR56" i="1"/>
  <c r="QQ56" i="1"/>
  <c r="QP56" i="1"/>
  <c r="QO56" i="1"/>
  <c r="QN56" i="1"/>
  <c r="QM56" i="1"/>
  <c r="QL56" i="1"/>
  <c r="QK56" i="1"/>
  <c r="QJ56" i="1"/>
  <c r="QI56" i="1"/>
  <c r="QH56" i="1"/>
  <c r="QC56" i="1"/>
  <c r="QB56" i="1"/>
  <c r="QA56" i="1"/>
  <c r="PZ56" i="1"/>
  <c r="PY56" i="1"/>
  <c r="PX56" i="1"/>
  <c r="PW56" i="1"/>
  <c r="PV56" i="1"/>
  <c r="PM56" i="1"/>
  <c r="PL56" i="1"/>
  <c r="PK56" i="1"/>
  <c r="PJ56" i="1"/>
  <c r="PI56" i="1"/>
  <c r="PH56" i="1"/>
  <c r="PG56" i="1"/>
  <c r="PF56" i="1"/>
  <c r="RA55" i="1"/>
  <c r="QZ55" i="1"/>
  <c r="QY55" i="1"/>
  <c r="QX55" i="1"/>
  <c r="QC55" i="1"/>
  <c r="QB55" i="1"/>
  <c r="QA55" i="1"/>
  <c r="PZ55" i="1"/>
  <c r="PY55" i="1"/>
  <c r="PX55" i="1"/>
  <c r="PW55" i="1"/>
  <c r="PV55" i="1"/>
  <c r="RA54" i="1"/>
  <c r="QZ54" i="1"/>
  <c r="QY54" i="1"/>
  <c r="QX54" i="1"/>
  <c r="QW54" i="1"/>
  <c r="QV54" i="1"/>
  <c r="QU54" i="1"/>
  <c r="QT54" i="1"/>
  <c r="QS54" i="1"/>
  <c r="QR54" i="1"/>
  <c r="QQ54" i="1"/>
  <c r="QP54" i="1"/>
  <c r="QO54" i="1"/>
  <c r="QN54" i="1"/>
  <c r="QM54" i="1"/>
  <c r="QL54" i="1"/>
  <c r="QC54" i="1"/>
  <c r="QB54" i="1"/>
  <c r="QA54" i="1"/>
  <c r="PZ54" i="1"/>
  <c r="RA53" i="1"/>
  <c r="QZ53" i="1"/>
  <c r="QY53" i="1"/>
  <c r="QX53" i="1"/>
  <c r="QW53" i="1"/>
  <c r="QV53" i="1"/>
  <c r="QU53" i="1"/>
  <c r="QT53" i="1"/>
  <c r="QS53" i="1"/>
  <c r="QR53" i="1"/>
  <c r="QQ53" i="1"/>
  <c r="QP53" i="1"/>
  <c r="QO53" i="1"/>
  <c r="QN53" i="1"/>
  <c r="QM53" i="1"/>
  <c r="QL53" i="1"/>
  <c r="QK53" i="1"/>
  <c r="QJ53" i="1"/>
  <c r="QI53" i="1"/>
  <c r="QH53" i="1"/>
  <c r="QC53" i="1"/>
  <c r="QB53" i="1"/>
  <c r="QA53" i="1"/>
  <c r="PZ53" i="1"/>
  <c r="PY53" i="1"/>
  <c r="PX53" i="1"/>
  <c r="PW53" i="1"/>
  <c r="PV53" i="1"/>
  <c r="PU53" i="1"/>
  <c r="PT53" i="1"/>
  <c r="PS53" i="1"/>
  <c r="PR53" i="1"/>
  <c r="PA53" i="1"/>
  <c r="OZ53" i="1"/>
  <c r="OY53" i="1"/>
  <c r="OX53" i="1"/>
  <c r="RA52" i="1"/>
  <c r="QZ52" i="1"/>
  <c r="QY52" i="1"/>
  <c r="QX52" i="1"/>
  <c r="QW52" i="1"/>
  <c r="QV52" i="1"/>
  <c r="QU52" i="1"/>
  <c r="QT52" i="1"/>
  <c r="QS52" i="1"/>
  <c r="QR52" i="1"/>
  <c r="QQ52" i="1"/>
  <c r="QP52" i="1"/>
  <c r="QO52" i="1"/>
  <c r="QN52" i="1"/>
  <c r="QM52" i="1"/>
  <c r="QL52" i="1"/>
  <c r="QK52" i="1"/>
  <c r="QJ52" i="1"/>
  <c r="QI52" i="1"/>
  <c r="QH52" i="1"/>
  <c r="QC52" i="1"/>
  <c r="QB52" i="1"/>
  <c r="QA52" i="1"/>
  <c r="PZ52" i="1"/>
  <c r="PY52" i="1"/>
  <c r="PX52" i="1"/>
  <c r="PW52" i="1"/>
  <c r="PV52" i="1"/>
  <c r="PM52" i="1"/>
  <c r="PL52" i="1"/>
  <c r="PK52" i="1"/>
  <c r="PJ52" i="1"/>
  <c r="PI52" i="1"/>
  <c r="PH52" i="1"/>
  <c r="PG52" i="1"/>
  <c r="PF52" i="1"/>
  <c r="PE52" i="1"/>
  <c r="PD52" i="1"/>
  <c r="PC52" i="1"/>
  <c r="PB52" i="1"/>
  <c r="PA52" i="1"/>
  <c r="OZ52" i="1"/>
  <c r="OY52" i="1"/>
  <c r="OX52" i="1"/>
  <c r="RA51" i="1"/>
  <c r="QZ51" i="1"/>
  <c r="QY51" i="1"/>
  <c r="QX51" i="1"/>
  <c r="QW51" i="1"/>
  <c r="QV51" i="1"/>
  <c r="QU51" i="1"/>
  <c r="QT51" i="1"/>
  <c r="QS51" i="1"/>
  <c r="QR51" i="1"/>
  <c r="QQ51" i="1"/>
  <c r="QP51" i="1"/>
  <c r="QO51" i="1"/>
  <c r="QN51" i="1"/>
  <c r="QM51" i="1"/>
  <c r="QL51" i="1"/>
  <c r="QK51" i="1"/>
  <c r="QJ51" i="1"/>
  <c r="QI51" i="1"/>
  <c r="QH51" i="1"/>
  <c r="QG51" i="1"/>
  <c r="QF51" i="1"/>
  <c r="QE51" i="1"/>
  <c r="QD51" i="1"/>
  <c r="QC51" i="1"/>
  <c r="QB51" i="1"/>
  <c r="QA51" i="1"/>
  <c r="PZ51" i="1"/>
  <c r="PY51" i="1"/>
  <c r="PX51" i="1"/>
  <c r="PW51" i="1"/>
  <c r="PV51" i="1"/>
  <c r="PU51" i="1"/>
  <c r="PT51" i="1"/>
  <c r="PS51" i="1"/>
  <c r="PR51" i="1"/>
  <c r="PM51" i="1"/>
  <c r="PL51" i="1"/>
  <c r="PK51" i="1"/>
  <c r="PJ51" i="1"/>
  <c r="PA51" i="1"/>
  <c r="OZ51" i="1"/>
  <c r="OY51" i="1"/>
  <c r="OX51" i="1"/>
  <c r="RA50" i="1"/>
  <c r="QZ50" i="1"/>
  <c r="QY50" i="1"/>
  <c r="QX50" i="1"/>
  <c r="QW50" i="1"/>
  <c r="QV50" i="1"/>
  <c r="QU50" i="1"/>
  <c r="QT50" i="1"/>
  <c r="QS50" i="1"/>
  <c r="QR50" i="1"/>
  <c r="QQ50" i="1"/>
  <c r="QP50" i="1"/>
  <c r="QO50" i="1"/>
  <c r="QN50" i="1"/>
  <c r="QM50" i="1"/>
  <c r="QL50" i="1"/>
  <c r="QK50" i="1"/>
  <c r="QJ50" i="1"/>
  <c r="QI50" i="1"/>
  <c r="QH50" i="1"/>
  <c r="QG50" i="1"/>
  <c r="QF50" i="1"/>
  <c r="QE50" i="1"/>
  <c r="QD50" i="1"/>
  <c r="QC50" i="1"/>
  <c r="QB50" i="1"/>
  <c r="QA50" i="1"/>
  <c r="PZ50" i="1"/>
  <c r="PY50" i="1"/>
  <c r="PX50" i="1"/>
  <c r="PW50" i="1"/>
  <c r="PV50" i="1"/>
  <c r="PU50" i="1"/>
  <c r="PT50" i="1"/>
  <c r="PS50" i="1"/>
  <c r="PR50" i="1"/>
  <c r="PQ50" i="1"/>
  <c r="PP50" i="1"/>
  <c r="PO50" i="1"/>
  <c r="PN50" i="1"/>
  <c r="PM50" i="1"/>
  <c r="PL50" i="1"/>
  <c r="PK50" i="1"/>
  <c r="PJ50" i="1"/>
  <c r="PI50" i="1"/>
  <c r="PH50" i="1"/>
  <c r="PG50" i="1"/>
  <c r="PF50" i="1"/>
  <c r="PE50" i="1"/>
  <c r="PD50" i="1"/>
  <c r="PC50" i="1"/>
  <c r="PB50" i="1"/>
  <c r="PA50" i="1"/>
  <c r="OZ50" i="1"/>
  <c r="OY50" i="1"/>
  <c r="OX50" i="1"/>
  <c r="OW50" i="1"/>
  <c r="OV50" i="1"/>
  <c r="OU50" i="1"/>
  <c r="OT50" i="1"/>
  <c r="RA49" i="1"/>
  <c r="QZ49" i="1"/>
  <c r="QY49" i="1"/>
  <c r="QX49" i="1"/>
  <c r="QW49" i="1"/>
  <c r="QV49" i="1"/>
  <c r="QU49" i="1"/>
  <c r="QT49" i="1"/>
  <c r="QS49" i="1"/>
  <c r="QR49" i="1"/>
  <c r="QQ49" i="1"/>
  <c r="QP49" i="1"/>
  <c r="QO49" i="1"/>
  <c r="QN49" i="1"/>
  <c r="QM49" i="1"/>
  <c r="QL49" i="1"/>
  <c r="QK49" i="1"/>
  <c r="QJ49" i="1"/>
  <c r="QI49" i="1"/>
  <c r="QH49" i="1"/>
  <c r="QG49" i="1"/>
  <c r="QF49" i="1"/>
  <c r="QE49" i="1"/>
  <c r="QD49" i="1"/>
  <c r="QC49" i="1"/>
  <c r="QB49" i="1"/>
  <c r="QA49" i="1"/>
  <c r="PZ49" i="1"/>
  <c r="PY49" i="1"/>
  <c r="PX49" i="1"/>
  <c r="PW49" i="1"/>
  <c r="PV49" i="1"/>
  <c r="PU49" i="1"/>
  <c r="PT49" i="1"/>
  <c r="PS49" i="1"/>
  <c r="PR49" i="1"/>
  <c r="PM49" i="1"/>
  <c r="PL49" i="1"/>
  <c r="PK49" i="1"/>
  <c r="PJ49" i="1"/>
  <c r="PI49" i="1"/>
  <c r="PH49" i="1"/>
  <c r="PG49" i="1"/>
  <c r="PF49" i="1"/>
  <c r="RA48" i="1"/>
  <c r="QZ48" i="1"/>
  <c r="QY48" i="1"/>
  <c r="QX48" i="1"/>
  <c r="QW48" i="1"/>
  <c r="QV48" i="1"/>
  <c r="QU48" i="1"/>
  <c r="QT48" i="1"/>
  <c r="QS48" i="1"/>
  <c r="QR48" i="1"/>
  <c r="QQ48" i="1"/>
  <c r="QP48" i="1"/>
  <c r="QO48" i="1"/>
  <c r="QN48" i="1"/>
  <c r="QM48" i="1"/>
  <c r="QL48" i="1"/>
  <c r="QK48" i="1"/>
  <c r="QJ48" i="1"/>
  <c r="QI48" i="1"/>
  <c r="QH48" i="1"/>
  <c r="QG48" i="1"/>
  <c r="QF48" i="1"/>
  <c r="QE48" i="1"/>
  <c r="QD48" i="1"/>
  <c r="QC48" i="1"/>
  <c r="QB48" i="1"/>
  <c r="QA48" i="1"/>
  <c r="PZ48" i="1"/>
  <c r="PY48" i="1"/>
  <c r="PX48" i="1"/>
  <c r="PW48" i="1"/>
  <c r="PV48" i="1"/>
  <c r="PM48" i="1"/>
  <c r="PL48" i="1"/>
  <c r="PK48" i="1"/>
  <c r="PJ48" i="1"/>
  <c r="PI48" i="1"/>
  <c r="PH48" i="1"/>
  <c r="PG48" i="1"/>
  <c r="PF48" i="1"/>
  <c r="PA48" i="1"/>
  <c r="OZ48" i="1"/>
  <c r="OY48" i="1"/>
  <c r="OX48" i="1"/>
  <c r="OW48" i="1"/>
  <c r="OV48" i="1"/>
  <c r="OU48" i="1"/>
  <c r="OT48" i="1"/>
  <c r="RA47" i="1"/>
  <c r="QZ47" i="1"/>
  <c r="QY47" i="1"/>
  <c r="QX47" i="1"/>
  <c r="QW47" i="1"/>
  <c r="QV47" i="1"/>
  <c r="QU47" i="1"/>
  <c r="QT47" i="1"/>
  <c r="QS47" i="1"/>
  <c r="QR47" i="1"/>
  <c r="QQ47" i="1"/>
  <c r="QP47" i="1"/>
  <c r="QO47" i="1"/>
  <c r="QN47" i="1"/>
  <c r="QM47" i="1"/>
  <c r="QL47" i="1"/>
  <c r="QK47" i="1"/>
  <c r="QJ47" i="1"/>
  <c r="QI47" i="1"/>
  <c r="QH47" i="1"/>
  <c r="QC47" i="1"/>
  <c r="QB47" i="1"/>
  <c r="QA47" i="1"/>
  <c r="PZ47" i="1"/>
  <c r="PY47" i="1"/>
  <c r="PX47" i="1"/>
  <c r="PW47" i="1"/>
  <c r="PV47" i="1"/>
  <c r="PU47" i="1"/>
  <c r="PT47" i="1"/>
  <c r="PS47" i="1"/>
  <c r="PR47" i="1"/>
  <c r="PM47" i="1"/>
  <c r="PL47" i="1"/>
  <c r="PK47" i="1"/>
  <c r="PJ47" i="1"/>
  <c r="PI47" i="1"/>
  <c r="PH47" i="1"/>
  <c r="PG47" i="1"/>
  <c r="PF47" i="1"/>
  <c r="PE47" i="1"/>
  <c r="PD47" i="1"/>
  <c r="PC47" i="1"/>
  <c r="PB47" i="1"/>
  <c r="RA46" i="1"/>
  <c r="QZ46" i="1"/>
  <c r="QY46" i="1"/>
  <c r="QX46" i="1"/>
  <c r="QW46" i="1"/>
  <c r="QV46" i="1"/>
  <c r="QU46" i="1"/>
  <c r="QT46" i="1"/>
  <c r="QO46" i="1"/>
  <c r="QN46" i="1"/>
  <c r="QM46" i="1"/>
  <c r="QL46" i="1"/>
  <c r="QK46" i="1"/>
  <c r="QJ46" i="1"/>
  <c r="QI46" i="1"/>
  <c r="QH46" i="1"/>
  <c r="QC46" i="1"/>
  <c r="QB46" i="1"/>
  <c r="QA46" i="1"/>
  <c r="PZ46" i="1"/>
  <c r="PY46" i="1"/>
  <c r="PX46" i="1"/>
  <c r="PW46" i="1"/>
  <c r="PV46" i="1"/>
  <c r="PU46" i="1"/>
  <c r="PT46" i="1"/>
  <c r="PS46" i="1"/>
  <c r="PR46" i="1"/>
  <c r="PM46" i="1"/>
  <c r="PL46" i="1"/>
  <c r="PK46" i="1"/>
  <c r="PJ46" i="1"/>
  <c r="PI46" i="1"/>
  <c r="PH46" i="1"/>
  <c r="PG46" i="1"/>
  <c r="PF46" i="1"/>
  <c r="RA45" i="1"/>
  <c r="QZ45" i="1"/>
  <c r="QY45" i="1"/>
  <c r="QX45" i="1"/>
  <c r="QW45" i="1"/>
  <c r="QV45" i="1"/>
  <c r="QU45" i="1"/>
  <c r="QT45" i="1"/>
  <c r="QO45" i="1"/>
  <c r="QN45" i="1"/>
  <c r="QM45" i="1"/>
  <c r="QL45" i="1"/>
  <c r="QK45" i="1"/>
  <c r="QJ45" i="1"/>
  <c r="QI45" i="1"/>
  <c r="QH45" i="1"/>
  <c r="QC45" i="1"/>
  <c r="QB45" i="1"/>
  <c r="QA45" i="1"/>
  <c r="PZ45" i="1"/>
  <c r="PY45" i="1"/>
  <c r="PX45" i="1"/>
  <c r="PW45" i="1"/>
  <c r="PV45" i="1"/>
  <c r="PU45" i="1"/>
  <c r="PT45" i="1"/>
  <c r="PS45" i="1"/>
  <c r="PR45" i="1"/>
  <c r="PM45" i="1"/>
  <c r="PL45" i="1"/>
  <c r="PK45" i="1"/>
  <c r="PJ45" i="1"/>
  <c r="PI45" i="1"/>
  <c r="PH45" i="1"/>
  <c r="PG45" i="1"/>
  <c r="PF45" i="1"/>
  <c r="RA44" i="1"/>
  <c r="QZ44" i="1"/>
  <c r="QY44" i="1"/>
  <c r="QX44" i="1"/>
  <c r="QO44" i="1"/>
  <c r="QN44" i="1"/>
  <c r="QM44" i="1"/>
  <c r="QL44" i="1"/>
  <c r="QK44" i="1"/>
  <c r="QJ44" i="1"/>
  <c r="QI44" i="1"/>
  <c r="QH44" i="1"/>
  <c r="QC44" i="1"/>
  <c r="QB44" i="1"/>
  <c r="QA44" i="1"/>
  <c r="PZ44" i="1"/>
  <c r="PY44" i="1"/>
  <c r="PX44" i="1"/>
  <c r="PW44" i="1"/>
  <c r="PV44" i="1"/>
  <c r="PM44" i="1"/>
  <c r="PL44" i="1"/>
  <c r="PK44" i="1"/>
  <c r="PJ44" i="1"/>
  <c r="PI44" i="1"/>
  <c r="PH44" i="1"/>
  <c r="PG44" i="1"/>
  <c r="PF44" i="1"/>
  <c r="PE44" i="1"/>
  <c r="PD44" i="1"/>
  <c r="PC44" i="1"/>
  <c r="PB44" i="1"/>
  <c r="PA44" i="1"/>
  <c r="OZ44" i="1"/>
  <c r="OY44" i="1"/>
  <c r="OX44" i="1"/>
  <c r="RA43" i="1"/>
  <c r="QZ43" i="1"/>
  <c r="QY43" i="1"/>
  <c r="QX43" i="1"/>
  <c r="QW43" i="1"/>
  <c r="QV43" i="1"/>
  <c r="QU43" i="1"/>
  <c r="QT43" i="1"/>
  <c r="QS43" i="1"/>
  <c r="QR43" i="1"/>
  <c r="QQ43" i="1"/>
  <c r="QP43" i="1"/>
  <c r="QO43" i="1"/>
  <c r="QN43" i="1"/>
  <c r="QM43" i="1"/>
  <c r="QL43" i="1"/>
  <c r="QK43" i="1"/>
  <c r="QJ43" i="1"/>
  <c r="QI43" i="1"/>
  <c r="QH43" i="1"/>
  <c r="QC43" i="1"/>
  <c r="QB43" i="1"/>
  <c r="QA43" i="1"/>
  <c r="PZ43" i="1"/>
  <c r="PM43" i="1"/>
  <c r="PL43" i="1"/>
  <c r="PK43" i="1"/>
  <c r="PJ43" i="1"/>
  <c r="PI43" i="1"/>
  <c r="PH43" i="1"/>
  <c r="PG43" i="1"/>
  <c r="PF43" i="1"/>
  <c r="PE43" i="1"/>
  <c r="PD43" i="1"/>
  <c r="PC43" i="1"/>
  <c r="PB43" i="1"/>
  <c r="RA42" i="1"/>
  <c r="QZ42" i="1"/>
  <c r="QY42" i="1"/>
  <c r="QX42" i="1"/>
  <c r="QW42" i="1"/>
  <c r="QV42" i="1"/>
  <c r="QU42" i="1"/>
  <c r="QT42" i="1"/>
  <c r="QS42" i="1"/>
  <c r="QR42" i="1"/>
  <c r="QQ42" i="1"/>
  <c r="QP42" i="1"/>
  <c r="QO42" i="1"/>
  <c r="QN42" i="1"/>
  <c r="QM42" i="1"/>
  <c r="QL42" i="1"/>
  <c r="QC42" i="1"/>
  <c r="QB42" i="1"/>
  <c r="QA42" i="1"/>
  <c r="PZ42" i="1"/>
  <c r="PY42" i="1"/>
  <c r="PX42" i="1"/>
  <c r="PW42" i="1"/>
  <c r="PV42" i="1"/>
  <c r="PU42" i="1"/>
  <c r="PT42" i="1"/>
  <c r="PS42" i="1"/>
  <c r="PR42" i="1"/>
  <c r="PQ42" i="1"/>
  <c r="PP42" i="1"/>
  <c r="PO42" i="1"/>
  <c r="PN42" i="1"/>
  <c r="PM42" i="1"/>
  <c r="PL42" i="1"/>
  <c r="PK42" i="1"/>
  <c r="PJ42" i="1"/>
  <c r="PI42" i="1"/>
  <c r="PH42" i="1"/>
  <c r="PG42" i="1"/>
  <c r="PF42" i="1"/>
  <c r="RA41" i="1"/>
  <c r="QZ41" i="1"/>
  <c r="QY41" i="1"/>
  <c r="QX41" i="1"/>
  <c r="QW41" i="1"/>
  <c r="QV41" i="1"/>
  <c r="QU41" i="1"/>
  <c r="QT41" i="1"/>
  <c r="QS41" i="1"/>
  <c r="QR41" i="1"/>
  <c r="QQ41" i="1"/>
  <c r="QP41" i="1"/>
  <c r="QO41" i="1"/>
  <c r="QN41" i="1"/>
  <c r="QM41" i="1"/>
  <c r="QL41" i="1"/>
  <c r="QK41" i="1"/>
  <c r="QJ41" i="1"/>
  <c r="QI41" i="1"/>
  <c r="QH41" i="1"/>
  <c r="QC41" i="1"/>
  <c r="QB41" i="1"/>
  <c r="QA41" i="1"/>
  <c r="PZ41" i="1"/>
  <c r="PY41" i="1"/>
  <c r="PX41" i="1"/>
  <c r="PW41" i="1"/>
  <c r="PV41" i="1"/>
  <c r="PM41" i="1"/>
  <c r="PL41" i="1"/>
  <c r="PK41" i="1"/>
  <c r="PJ41" i="1"/>
  <c r="PI41" i="1"/>
  <c r="PH41" i="1"/>
  <c r="PG41" i="1"/>
  <c r="PF41" i="1"/>
  <c r="RA40" i="1"/>
  <c r="QZ40" i="1"/>
  <c r="QY40" i="1"/>
  <c r="QX40" i="1"/>
  <c r="QS40" i="1"/>
  <c r="QR40" i="1"/>
  <c r="QQ40" i="1"/>
  <c r="QP40" i="1"/>
  <c r="QO40" i="1"/>
  <c r="QN40" i="1"/>
  <c r="QM40" i="1"/>
  <c r="QL40" i="1"/>
  <c r="QK40" i="1"/>
  <c r="QJ40" i="1"/>
  <c r="QI40" i="1"/>
  <c r="QH40" i="1"/>
  <c r="QC40" i="1"/>
  <c r="QB40" i="1"/>
  <c r="QA40" i="1"/>
  <c r="PZ40" i="1"/>
  <c r="PY40" i="1"/>
  <c r="PX40" i="1"/>
  <c r="PW40" i="1"/>
  <c r="PV40" i="1"/>
  <c r="PU40" i="1"/>
  <c r="PT40" i="1"/>
  <c r="PS40" i="1"/>
  <c r="PR40" i="1"/>
  <c r="PQ40" i="1"/>
  <c r="PP40" i="1"/>
  <c r="PO40" i="1"/>
  <c r="PN40" i="1"/>
  <c r="PM40" i="1"/>
  <c r="PL40" i="1"/>
  <c r="PK40" i="1"/>
  <c r="PJ40" i="1"/>
  <c r="PI40" i="1"/>
  <c r="PH40" i="1"/>
  <c r="PG40" i="1"/>
  <c r="PF40" i="1"/>
  <c r="PE40" i="1"/>
  <c r="PD40" i="1"/>
  <c r="PC40" i="1"/>
  <c r="PB40" i="1"/>
  <c r="PA40" i="1"/>
  <c r="OZ40" i="1"/>
  <c r="OY40" i="1"/>
  <c r="OX40" i="1"/>
  <c r="RA39" i="1"/>
  <c r="QZ39" i="1"/>
  <c r="QY39" i="1"/>
  <c r="QX39" i="1"/>
  <c r="RA38" i="1"/>
  <c r="QZ38" i="1"/>
  <c r="QY38" i="1"/>
  <c r="QX38" i="1"/>
  <c r="QW38" i="1"/>
  <c r="QV38" i="1"/>
  <c r="QU38" i="1"/>
  <c r="QT38" i="1"/>
  <c r="QS38" i="1"/>
  <c r="QR38" i="1"/>
  <c r="QQ38" i="1"/>
  <c r="QP38" i="1"/>
  <c r="QO38" i="1"/>
  <c r="QN38" i="1"/>
  <c r="QM38" i="1"/>
  <c r="QL38" i="1"/>
  <c r="QK38" i="1"/>
  <c r="QJ38" i="1"/>
  <c r="QI38" i="1"/>
  <c r="QH38" i="1"/>
  <c r="QG38" i="1"/>
  <c r="QF38" i="1"/>
  <c r="QE38" i="1"/>
  <c r="QD38" i="1"/>
  <c r="QC38" i="1"/>
  <c r="QB38" i="1"/>
  <c r="QA38" i="1"/>
  <c r="PZ38" i="1"/>
  <c r="PY38" i="1"/>
  <c r="PX38" i="1"/>
  <c r="PW38" i="1"/>
  <c r="PV38" i="1"/>
  <c r="PU38" i="1"/>
  <c r="PT38" i="1"/>
  <c r="PS38" i="1"/>
  <c r="PR38" i="1"/>
  <c r="PM38" i="1"/>
  <c r="PL38" i="1"/>
  <c r="PK38" i="1"/>
  <c r="PJ38" i="1"/>
  <c r="PI38" i="1"/>
  <c r="PH38" i="1"/>
  <c r="PG38" i="1"/>
  <c r="PF38" i="1"/>
  <c r="PE38" i="1"/>
  <c r="PD38" i="1"/>
  <c r="PC38" i="1"/>
  <c r="PB38" i="1"/>
  <c r="RA37" i="1"/>
  <c r="QZ37" i="1"/>
  <c r="QY37" i="1"/>
  <c r="QX37" i="1"/>
  <c r="QW37" i="1"/>
  <c r="QV37" i="1"/>
  <c r="QU37" i="1"/>
  <c r="QT37" i="1"/>
  <c r="QS37" i="1"/>
  <c r="QR37" i="1"/>
  <c r="QQ37" i="1"/>
  <c r="QP37" i="1"/>
  <c r="QO37" i="1"/>
  <c r="QN37" i="1"/>
  <c r="QM37" i="1"/>
  <c r="QL37" i="1"/>
  <c r="QK37" i="1"/>
  <c r="QJ37" i="1"/>
  <c r="QI37" i="1"/>
  <c r="QH37" i="1"/>
  <c r="QG37" i="1"/>
  <c r="QF37" i="1"/>
  <c r="QE37" i="1"/>
  <c r="QD37" i="1"/>
  <c r="QC37" i="1"/>
  <c r="QB37" i="1"/>
  <c r="QA37" i="1"/>
  <c r="PZ37" i="1"/>
  <c r="PY37" i="1"/>
  <c r="PX37" i="1"/>
  <c r="PW37" i="1"/>
  <c r="PV37" i="1"/>
  <c r="PU37" i="1"/>
  <c r="PT37" i="1"/>
  <c r="PS37" i="1"/>
  <c r="PR37" i="1"/>
  <c r="PM37" i="1"/>
  <c r="PL37" i="1"/>
  <c r="PK37" i="1"/>
  <c r="PJ37" i="1"/>
  <c r="PI37" i="1"/>
  <c r="PH37" i="1"/>
  <c r="PG37" i="1"/>
  <c r="PF37" i="1"/>
  <c r="PE37" i="1"/>
  <c r="PD37" i="1"/>
  <c r="PC37" i="1"/>
  <c r="PB37" i="1"/>
  <c r="PA37" i="1"/>
  <c r="OZ37" i="1"/>
  <c r="OY37" i="1"/>
  <c r="OX37" i="1"/>
  <c r="RA36" i="1"/>
  <c r="QZ36" i="1"/>
  <c r="QY36" i="1"/>
  <c r="QX36" i="1"/>
  <c r="QC36" i="1"/>
  <c r="QB36" i="1"/>
  <c r="QA36" i="1"/>
  <c r="PZ36" i="1"/>
  <c r="PY36" i="1"/>
  <c r="PX36" i="1"/>
  <c r="PW36" i="1"/>
  <c r="PV36" i="1"/>
  <c r="PM36" i="1"/>
  <c r="PL36" i="1"/>
  <c r="PK36" i="1"/>
  <c r="PJ36" i="1"/>
  <c r="PI36" i="1"/>
  <c r="PH36" i="1"/>
  <c r="PG36" i="1"/>
  <c r="PF36" i="1"/>
  <c r="RA35" i="1"/>
  <c r="QZ35" i="1"/>
  <c r="QY35" i="1"/>
  <c r="QX35" i="1"/>
  <c r="QW35" i="1"/>
  <c r="QV35" i="1"/>
  <c r="QU35" i="1"/>
  <c r="QT35" i="1"/>
  <c r="QS35" i="1"/>
  <c r="QR35" i="1"/>
  <c r="QQ35" i="1"/>
  <c r="QP35" i="1"/>
  <c r="QO35" i="1"/>
  <c r="QN35" i="1"/>
  <c r="QM35" i="1"/>
  <c r="QL35" i="1"/>
  <c r="QC35" i="1"/>
  <c r="QB35" i="1"/>
  <c r="QA35" i="1"/>
  <c r="PZ35" i="1"/>
  <c r="PY35" i="1"/>
  <c r="PX35" i="1"/>
  <c r="PW35" i="1"/>
  <c r="PV35" i="1"/>
  <c r="PM35" i="1"/>
  <c r="PL35" i="1"/>
  <c r="PK35" i="1"/>
  <c r="PJ35" i="1"/>
  <c r="PI35" i="1"/>
  <c r="PH35" i="1"/>
  <c r="PG35" i="1"/>
  <c r="PF35" i="1"/>
  <c r="PE35" i="1"/>
  <c r="PD35" i="1"/>
  <c r="PC35" i="1"/>
  <c r="PB35" i="1"/>
  <c r="PA35" i="1"/>
  <c r="OZ35" i="1"/>
  <c r="OY35" i="1"/>
  <c r="OX35" i="1"/>
  <c r="RA34" i="1"/>
  <c r="QZ34" i="1"/>
  <c r="QY34" i="1"/>
  <c r="QX34" i="1"/>
  <c r="QW34" i="1"/>
  <c r="QV34" i="1"/>
  <c r="QU34" i="1"/>
  <c r="QT34" i="1"/>
  <c r="QS34" i="1"/>
  <c r="QR34" i="1"/>
  <c r="QQ34" i="1"/>
  <c r="QP34" i="1"/>
  <c r="QO34" i="1"/>
  <c r="QN34" i="1"/>
  <c r="QM34" i="1"/>
  <c r="QL34" i="1"/>
  <c r="QK34" i="1"/>
  <c r="QJ34" i="1"/>
  <c r="QI34" i="1"/>
  <c r="QH34" i="1"/>
  <c r="QG34" i="1"/>
  <c r="QF34" i="1"/>
  <c r="QE34" i="1"/>
  <c r="QD34" i="1"/>
  <c r="QC34" i="1"/>
  <c r="QB34" i="1"/>
  <c r="QA34" i="1"/>
  <c r="PZ34" i="1"/>
  <c r="PY34" i="1"/>
  <c r="PX34" i="1"/>
  <c r="PW34" i="1"/>
  <c r="PV34" i="1"/>
  <c r="PU34" i="1"/>
  <c r="PT34" i="1"/>
  <c r="PS34" i="1"/>
  <c r="PR34" i="1"/>
  <c r="PM34" i="1"/>
  <c r="PL34" i="1"/>
  <c r="PK34" i="1"/>
  <c r="PJ34" i="1"/>
  <c r="PI34" i="1"/>
  <c r="PH34" i="1"/>
  <c r="PG34" i="1"/>
  <c r="PF34" i="1"/>
  <c r="PE34" i="1"/>
  <c r="PD34" i="1"/>
  <c r="PC34" i="1"/>
  <c r="PB34" i="1"/>
  <c r="RA33" i="1"/>
  <c r="QZ33" i="1"/>
  <c r="QY33" i="1"/>
  <c r="QX33" i="1"/>
  <c r="QW33" i="1"/>
  <c r="QV33" i="1"/>
  <c r="QU33" i="1"/>
  <c r="QT33" i="1"/>
  <c r="QS33" i="1"/>
  <c r="QR33" i="1"/>
  <c r="QQ33" i="1"/>
  <c r="QP33" i="1"/>
  <c r="QO33" i="1"/>
  <c r="QN33" i="1"/>
  <c r="QM33" i="1"/>
  <c r="QL33" i="1"/>
  <c r="QK33" i="1"/>
  <c r="QJ33" i="1"/>
  <c r="QI33" i="1"/>
  <c r="QH33" i="1"/>
  <c r="QG33" i="1"/>
  <c r="QF33" i="1"/>
  <c r="QE33" i="1"/>
  <c r="QD33" i="1"/>
  <c r="QC33" i="1"/>
  <c r="QB33" i="1"/>
  <c r="QA33" i="1"/>
  <c r="PZ33" i="1"/>
  <c r="PM33" i="1"/>
  <c r="PL33" i="1"/>
  <c r="PK33" i="1"/>
  <c r="PJ33" i="1"/>
  <c r="PI33" i="1"/>
  <c r="PH33" i="1"/>
  <c r="PG33" i="1"/>
  <c r="PF33" i="1"/>
  <c r="PE33" i="1"/>
  <c r="PD33" i="1"/>
  <c r="PC33" i="1"/>
  <c r="PB33" i="1"/>
  <c r="PA33" i="1"/>
  <c r="OZ33" i="1"/>
  <c r="OY33" i="1"/>
  <c r="OX33" i="1"/>
  <c r="RA32" i="1"/>
  <c r="QZ32" i="1"/>
  <c r="QY32" i="1"/>
  <c r="QX32" i="1"/>
  <c r="QC32" i="1"/>
  <c r="QB32" i="1"/>
  <c r="QA32" i="1"/>
  <c r="PZ32" i="1"/>
  <c r="PY32" i="1"/>
  <c r="PX32" i="1"/>
  <c r="PW32" i="1"/>
  <c r="PV32" i="1"/>
  <c r="RA31" i="1"/>
  <c r="QZ31" i="1"/>
  <c r="QY31" i="1"/>
  <c r="QX31" i="1"/>
  <c r="QW31" i="1"/>
  <c r="QV31" i="1"/>
  <c r="QU31" i="1"/>
  <c r="QT31" i="1"/>
  <c r="QS31" i="1"/>
  <c r="QR31" i="1"/>
  <c r="QQ31" i="1"/>
  <c r="QP31" i="1"/>
  <c r="QO31" i="1"/>
  <c r="QN31" i="1"/>
  <c r="QM31" i="1"/>
  <c r="QL31" i="1"/>
  <c r="QK31" i="1"/>
  <c r="QJ31" i="1"/>
  <c r="QI31" i="1"/>
  <c r="QH31" i="1"/>
  <c r="PM31" i="1"/>
  <c r="PL31" i="1"/>
  <c r="PK31" i="1"/>
  <c r="PJ31" i="1"/>
  <c r="PI31" i="1"/>
  <c r="PH31" i="1"/>
  <c r="PG31" i="1"/>
  <c r="PF31" i="1"/>
  <c r="RA30" i="1"/>
  <c r="QZ30" i="1"/>
  <c r="QY30" i="1"/>
  <c r="QX30" i="1"/>
  <c r="RA29" i="1"/>
  <c r="QZ29" i="1"/>
  <c r="QY29" i="1"/>
  <c r="QX29" i="1"/>
  <c r="QW29" i="1"/>
  <c r="QV29" i="1"/>
  <c r="QU29" i="1"/>
  <c r="QT29" i="1"/>
  <c r="QO29" i="1"/>
  <c r="QN29" i="1"/>
  <c r="QM29" i="1"/>
  <c r="QL29" i="1"/>
  <c r="QK29" i="1"/>
  <c r="QJ29" i="1"/>
  <c r="QI29" i="1"/>
  <c r="QH29" i="1"/>
  <c r="QC29" i="1"/>
  <c r="QB29" i="1"/>
  <c r="QA29" i="1"/>
  <c r="PZ29" i="1"/>
  <c r="PY29" i="1"/>
  <c r="PX29" i="1"/>
  <c r="PW29" i="1"/>
  <c r="PV29" i="1"/>
  <c r="PU29" i="1"/>
  <c r="PT29" i="1"/>
  <c r="PS29" i="1"/>
  <c r="PR29" i="1"/>
  <c r="PM29" i="1"/>
  <c r="PL29" i="1"/>
  <c r="PK29" i="1"/>
  <c r="PJ29" i="1"/>
  <c r="PI29" i="1"/>
  <c r="PH29" i="1"/>
  <c r="PG29" i="1"/>
  <c r="PF29" i="1"/>
  <c r="PE29" i="1"/>
  <c r="PD29" i="1"/>
  <c r="PC29" i="1"/>
  <c r="PB29" i="1"/>
  <c r="OW29" i="1"/>
  <c r="OV29" i="1"/>
  <c r="OU29" i="1"/>
  <c r="OT29" i="1"/>
  <c r="RA28" i="1"/>
  <c r="QZ28" i="1"/>
  <c r="QY28" i="1"/>
  <c r="QX28" i="1"/>
  <c r="QW28" i="1"/>
  <c r="QV28" i="1"/>
  <c r="QU28" i="1"/>
  <c r="QT28" i="1"/>
  <c r="QS28" i="1"/>
  <c r="QR28" i="1"/>
  <c r="QQ28" i="1"/>
  <c r="QP28" i="1"/>
  <c r="QO28" i="1"/>
  <c r="QN28" i="1"/>
  <c r="QM28" i="1"/>
  <c r="QL28" i="1"/>
  <c r="QC28" i="1"/>
  <c r="QB28" i="1"/>
  <c r="QA28" i="1"/>
  <c r="PZ28" i="1"/>
  <c r="PY28" i="1"/>
  <c r="PX28" i="1"/>
  <c r="PW28" i="1"/>
  <c r="PV28" i="1"/>
  <c r="PU28" i="1"/>
  <c r="PT28" i="1"/>
  <c r="PS28" i="1"/>
  <c r="PR28" i="1"/>
  <c r="PQ28" i="1"/>
  <c r="PP28" i="1"/>
  <c r="PO28" i="1"/>
  <c r="PN28" i="1"/>
  <c r="RA27" i="1"/>
  <c r="QZ27" i="1"/>
  <c r="QY27" i="1"/>
  <c r="QX27" i="1"/>
  <c r="QW27" i="1"/>
  <c r="QV27" i="1"/>
  <c r="QU27" i="1"/>
  <c r="QT27" i="1"/>
  <c r="QS27" i="1"/>
  <c r="QR27" i="1"/>
  <c r="QQ27" i="1"/>
  <c r="QP27" i="1"/>
  <c r="QO27" i="1"/>
  <c r="QN27" i="1"/>
  <c r="QM27" i="1"/>
  <c r="QL27" i="1"/>
  <c r="QC27" i="1"/>
  <c r="QB27" i="1"/>
  <c r="QA27" i="1"/>
  <c r="PZ27" i="1"/>
  <c r="PY27" i="1"/>
  <c r="PX27" i="1"/>
  <c r="PW27" i="1"/>
  <c r="PV27" i="1"/>
  <c r="PU27" i="1"/>
  <c r="PT27" i="1"/>
  <c r="PS27" i="1"/>
  <c r="PR27" i="1"/>
  <c r="PQ27" i="1"/>
  <c r="PP27" i="1"/>
  <c r="PO27" i="1"/>
  <c r="PN27" i="1"/>
  <c r="RA26" i="1"/>
  <c r="QZ26" i="1"/>
  <c r="QY26" i="1"/>
  <c r="QX26" i="1"/>
  <c r="QW26" i="1"/>
  <c r="QV26" i="1"/>
  <c r="QU26" i="1"/>
  <c r="QT26" i="1"/>
  <c r="QS26" i="1"/>
  <c r="QR26" i="1"/>
  <c r="QQ26" i="1"/>
  <c r="QP26" i="1"/>
  <c r="QO26" i="1"/>
  <c r="QN26" i="1"/>
  <c r="QM26" i="1"/>
  <c r="QL26" i="1"/>
  <c r="RA25" i="1"/>
  <c r="QZ25" i="1"/>
  <c r="QY25" i="1"/>
  <c r="QX25" i="1"/>
  <c r="QW25" i="1"/>
  <c r="QV25" i="1"/>
  <c r="QU25" i="1"/>
  <c r="QT25" i="1"/>
  <c r="QS25" i="1"/>
  <c r="QR25" i="1"/>
  <c r="QQ25" i="1"/>
  <c r="QP25" i="1"/>
  <c r="QO25" i="1"/>
  <c r="QN25" i="1"/>
  <c r="QM25" i="1"/>
  <c r="QL25" i="1"/>
  <c r="QK25" i="1"/>
  <c r="QJ25" i="1"/>
  <c r="QI25" i="1"/>
  <c r="QH25" i="1"/>
  <c r="QG25" i="1"/>
  <c r="QF25" i="1"/>
  <c r="QE25" i="1"/>
  <c r="QD25" i="1"/>
  <c r="QC25" i="1"/>
  <c r="QB25" i="1"/>
  <c r="QA25" i="1"/>
  <c r="PZ25" i="1"/>
  <c r="PY25" i="1"/>
  <c r="PX25" i="1"/>
  <c r="PW25" i="1"/>
  <c r="PV25" i="1"/>
  <c r="PU25" i="1"/>
  <c r="PT25" i="1"/>
  <c r="PS25" i="1"/>
  <c r="PR25" i="1"/>
  <c r="PM25" i="1"/>
  <c r="PL25" i="1"/>
  <c r="PK25" i="1"/>
  <c r="PJ25" i="1"/>
  <c r="PI25" i="1"/>
  <c r="PH25" i="1"/>
  <c r="PG25" i="1"/>
  <c r="PF25" i="1"/>
  <c r="PE25" i="1"/>
  <c r="PD25" i="1"/>
  <c r="PC25" i="1"/>
  <c r="PB25" i="1"/>
  <c r="RA24" i="1"/>
  <c r="QZ24" i="1"/>
  <c r="QY24" i="1"/>
  <c r="QX24" i="1"/>
  <c r="QW24" i="1"/>
  <c r="QV24" i="1"/>
  <c r="QU24" i="1"/>
  <c r="QT24" i="1"/>
  <c r="QS24" i="1"/>
  <c r="QR24" i="1"/>
  <c r="QQ24" i="1"/>
  <c r="QP24" i="1"/>
  <c r="QO24" i="1"/>
  <c r="QN24" i="1"/>
  <c r="QM24" i="1"/>
  <c r="QL24" i="1"/>
  <c r="QC24" i="1"/>
  <c r="QB24" i="1"/>
  <c r="QA24" i="1"/>
  <c r="PZ24" i="1"/>
  <c r="PY24" i="1"/>
  <c r="PX24" i="1"/>
  <c r="PW24" i="1"/>
  <c r="PV24" i="1"/>
  <c r="PM24" i="1"/>
  <c r="PL24" i="1"/>
  <c r="PK24" i="1"/>
  <c r="PJ24" i="1"/>
  <c r="RA23" i="1"/>
  <c r="QZ23" i="1"/>
  <c r="QY23" i="1"/>
  <c r="QX23" i="1"/>
  <c r="QW23" i="1"/>
  <c r="QV23" i="1"/>
  <c r="QU23" i="1"/>
  <c r="QT23" i="1"/>
  <c r="QS23" i="1"/>
  <c r="QR23" i="1"/>
  <c r="QQ23" i="1"/>
  <c r="QP23" i="1"/>
  <c r="QO23" i="1"/>
  <c r="QN23" i="1"/>
  <c r="QM23" i="1"/>
  <c r="QL23" i="1"/>
  <c r="QK23" i="1"/>
  <c r="QJ23" i="1"/>
  <c r="QI23" i="1"/>
  <c r="QH23" i="1"/>
  <c r="QG23" i="1"/>
  <c r="QF23" i="1"/>
  <c r="QE23" i="1"/>
  <c r="QD23" i="1"/>
  <c r="PM23" i="1"/>
  <c r="PL23" i="1"/>
  <c r="PK23" i="1"/>
  <c r="PJ23" i="1"/>
  <c r="PI23" i="1"/>
  <c r="PH23" i="1"/>
  <c r="PG23" i="1"/>
  <c r="PF23" i="1"/>
  <c r="PA23" i="1"/>
  <c r="OZ23" i="1"/>
  <c r="OY23" i="1"/>
  <c r="OX23" i="1"/>
  <c r="RA22" i="1"/>
  <c r="QZ22" i="1"/>
  <c r="QY22" i="1"/>
  <c r="QX22" i="1"/>
  <c r="QW22" i="1"/>
  <c r="QV22" i="1"/>
  <c r="QU22" i="1"/>
  <c r="QT22" i="1"/>
  <c r="QC22" i="1"/>
  <c r="QB22" i="1"/>
  <c r="QA22" i="1"/>
  <c r="PZ22" i="1"/>
  <c r="PM22" i="1"/>
  <c r="PL22" i="1"/>
  <c r="PK22" i="1"/>
  <c r="PJ22" i="1"/>
  <c r="PI22" i="1"/>
  <c r="PH22" i="1"/>
  <c r="PG22" i="1"/>
  <c r="PF22" i="1"/>
  <c r="PE22" i="1"/>
  <c r="PD22" i="1"/>
  <c r="PC22" i="1"/>
  <c r="PB22" i="1"/>
  <c r="RA21" i="1"/>
  <c r="QZ21" i="1"/>
  <c r="QY21" i="1"/>
  <c r="QX21" i="1"/>
  <c r="QO21" i="1"/>
  <c r="QN21" i="1"/>
  <c r="QM21" i="1"/>
  <c r="QL21" i="1"/>
  <c r="QK21" i="1"/>
  <c r="QJ21" i="1"/>
  <c r="QI21" i="1"/>
  <c r="QH21" i="1"/>
  <c r="QG21" i="1"/>
  <c r="QF21" i="1"/>
  <c r="QE21" i="1"/>
  <c r="QD21" i="1"/>
  <c r="PM21" i="1"/>
  <c r="PL21" i="1"/>
  <c r="PK21" i="1"/>
  <c r="PJ21" i="1"/>
  <c r="PI21" i="1"/>
  <c r="PH21" i="1"/>
  <c r="PG21" i="1"/>
  <c r="PF21" i="1"/>
  <c r="PE21" i="1"/>
  <c r="PD21" i="1"/>
  <c r="PC21" i="1"/>
  <c r="PB21" i="1"/>
  <c r="RA20" i="1"/>
  <c r="QZ20" i="1"/>
  <c r="QY20" i="1"/>
  <c r="QX20" i="1"/>
  <c r="QW20" i="1"/>
  <c r="QV20" i="1"/>
  <c r="QU20" i="1"/>
  <c r="QT20" i="1"/>
  <c r="QO20" i="1"/>
  <c r="QN20" i="1"/>
  <c r="QM20" i="1"/>
  <c r="QL20" i="1"/>
  <c r="QC20" i="1"/>
  <c r="QB20" i="1"/>
  <c r="QA20" i="1"/>
  <c r="PZ20" i="1"/>
  <c r="PY20" i="1"/>
  <c r="PX20" i="1"/>
  <c r="PW20" i="1"/>
  <c r="PV20" i="1"/>
  <c r="PM20" i="1"/>
  <c r="PL20" i="1"/>
  <c r="PK20" i="1"/>
  <c r="PJ20" i="1"/>
  <c r="RA19" i="1"/>
  <c r="QZ19" i="1"/>
  <c r="QY19" i="1"/>
  <c r="QX19" i="1"/>
  <c r="QW19" i="1"/>
  <c r="QV19" i="1"/>
  <c r="QU19" i="1"/>
  <c r="QT19" i="1"/>
  <c r="QS19" i="1"/>
  <c r="QR19" i="1"/>
  <c r="QQ19" i="1"/>
  <c r="QP19" i="1"/>
  <c r="QO19" i="1"/>
  <c r="QN19" i="1"/>
  <c r="QM19" i="1"/>
  <c r="QL19" i="1"/>
  <c r="QK19" i="1"/>
  <c r="QJ19" i="1"/>
  <c r="QI19" i="1"/>
  <c r="QH19" i="1"/>
  <c r="QG19" i="1"/>
  <c r="QF19" i="1"/>
  <c r="QE19" i="1"/>
  <c r="QD19" i="1"/>
  <c r="QC19" i="1"/>
  <c r="QB19" i="1"/>
  <c r="QA19" i="1"/>
  <c r="PZ19" i="1"/>
  <c r="PY19" i="1"/>
  <c r="PX19" i="1"/>
  <c r="PW19" i="1"/>
  <c r="PV19" i="1"/>
  <c r="PU19" i="1"/>
  <c r="PT19" i="1"/>
  <c r="PS19" i="1"/>
  <c r="PR19" i="1"/>
  <c r="PM19" i="1"/>
  <c r="PL19" i="1"/>
  <c r="PK19" i="1"/>
  <c r="PJ19" i="1"/>
  <c r="PI19" i="1"/>
  <c r="PH19" i="1"/>
  <c r="PG19" i="1"/>
  <c r="PF19" i="1"/>
  <c r="PE19" i="1"/>
  <c r="PD19" i="1"/>
  <c r="PC19" i="1"/>
  <c r="PB19" i="1"/>
  <c r="PA19" i="1"/>
  <c r="OZ19" i="1"/>
  <c r="OY19" i="1"/>
  <c r="OX19" i="1"/>
  <c r="QO18" i="1"/>
  <c r="QN18" i="1"/>
  <c r="QM18" i="1"/>
  <c r="QL18" i="1"/>
  <c r="QK18" i="1"/>
  <c r="QJ18" i="1"/>
  <c r="QI18" i="1"/>
  <c r="QH18" i="1"/>
  <c r="QC18" i="1"/>
  <c r="QB18" i="1"/>
  <c r="QA18" i="1"/>
  <c r="PZ18" i="1"/>
  <c r="PY18" i="1"/>
  <c r="PX18" i="1"/>
  <c r="PW18" i="1"/>
  <c r="PV18" i="1"/>
  <c r="PU18" i="1"/>
  <c r="PT18" i="1"/>
  <c r="PS18" i="1"/>
  <c r="PR18" i="1"/>
  <c r="PM18" i="1"/>
  <c r="PL18" i="1"/>
  <c r="PK18" i="1"/>
  <c r="PJ18" i="1"/>
  <c r="PI18" i="1"/>
  <c r="PH18" i="1"/>
  <c r="PG18" i="1"/>
  <c r="PF18" i="1"/>
  <c r="PE18" i="1"/>
  <c r="PD18" i="1"/>
  <c r="PC18" i="1"/>
  <c r="PB18" i="1"/>
  <c r="PA18" i="1"/>
  <c r="OZ18" i="1"/>
  <c r="OY18" i="1"/>
  <c r="OX18" i="1"/>
  <c r="RA17" i="1"/>
  <c r="QZ17" i="1"/>
  <c r="QY17" i="1"/>
  <c r="QX17" i="1"/>
  <c r="QW17" i="1"/>
  <c r="QV17" i="1"/>
  <c r="QU17" i="1"/>
  <c r="QT17" i="1"/>
  <c r="QS17" i="1"/>
  <c r="QR17" i="1"/>
  <c r="QQ17" i="1"/>
  <c r="QP17" i="1"/>
  <c r="QO17" i="1"/>
  <c r="QN17" i="1"/>
  <c r="QM17" i="1"/>
  <c r="QL17" i="1"/>
  <c r="QK17" i="1"/>
  <c r="QJ17" i="1"/>
  <c r="QI17" i="1"/>
  <c r="QH17" i="1"/>
  <c r="QG17" i="1"/>
  <c r="QF17" i="1"/>
  <c r="QE17" i="1"/>
  <c r="QD17" i="1"/>
  <c r="QC17" i="1"/>
  <c r="QB17" i="1"/>
  <c r="QA17" i="1"/>
  <c r="PZ17" i="1"/>
  <c r="PY17" i="1"/>
  <c r="PX17" i="1"/>
  <c r="PW17" i="1"/>
  <c r="PV17" i="1"/>
  <c r="PU17" i="1"/>
  <c r="PT17" i="1"/>
  <c r="PS17" i="1"/>
  <c r="PR17" i="1"/>
  <c r="PQ17" i="1"/>
  <c r="PP17" i="1"/>
  <c r="PO17" i="1"/>
  <c r="PN17" i="1"/>
  <c r="PM17" i="1"/>
  <c r="PL17" i="1"/>
  <c r="PK17" i="1"/>
  <c r="PJ17" i="1"/>
  <c r="PI17" i="1"/>
  <c r="PH17" i="1"/>
  <c r="PG17" i="1"/>
  <c r="PF17" i="1"/>
  <c r="PE17" i="1"/>
  <c r="PD17" i="1"/>
  <c r="PC17" i="1"/>
  <c r="PB17" i="1"/>
  <c r="PA17" i="1"/>
  <c r="OZ17" i="1"/>
  <c r="OY17" i="1"/>
  <c r="OX17" i="1"/>
  <c r="OW17" i="1"/>
  <c r="OV17" i="1"/>
  <c r="OU17" i="1"/>
  <c r="OT17" i="1"/>
  <c r="RA16" i="1"/>
  <c r="QZ16" i="1"/>
  <c r="QY16" i="1"/>
  <c r="QX16" i="1"/>
  <c r="QW16" i="1"/>
  <c r="QV16" i="1"/>
  <c r="QU16" i="1"/>
  <c r="QT16" i="1"/>
  <c r="QO16" i="1"/>
  <c r="QN16" i="1"/>
  <c r="QM16" i="1"/>
  <c r="QL16" i="1"/>
  <c r="QK16" i="1"/>
  <c r="QJ16" i="1"/>
  <c r="QI16" i="1"/>
  <c r="QH16" i="1"/>
  <c r="QG16" i="1"/>
  <c r="QF16" i="1"/>
  <c r="QE16" i="1"/>
  <c r="QD16" i="1"/>
  <c r="PM16" i="1"/>
  <c r="PL16" i="1"/>
  <c r="PK16" i="1"/>
  <c r="PJ16" i="1"/>
  <c r="PI16" i="1"/>
  <c r="PH16" i="1"/>
  <c r="PG16" i="1"/>
  <c r="PF16" i="1"/>
  <c r="RA15" i="1"/>
  <c r="QZ15" i="1"/>
  <c r="QY15" i="1"/>
  <c r="QX15" i="1"/>
  <c r="QW15" i="1"/>
  <c r="QV15" i="1"/>
  <c r="QU15" i="1"/>
  <c r="QT15" i="1"/>
  <c r="QS15" i="1"/>
  <c r="QR15" i="1"/>
  <c r="QQ15" i="1"/>
  <c r="QP15" i="1"/>
  <c r="QO15" i="1"/>
  <c r="QN15" i="1"/>
  <c r="QM15" i="1"/>
  <c r="QL15" i="1"/>
  <c r="QK15" i="1"/>
  <c r="QJ15" i="1"/>
  <c r="QI15" i="1"/>
  <c r="QH15" i="1"/>
  <c r="QG15" i="1"/>
  <c r="QF15" i="1"/>
  <c r="QE15" i="1"/>
  <c r="QD15" i="1"/>
  <c r="PM15" i="1"/>
  <c r="PL15" i="1"/>
  <c r="PK15" i="1"/>
  <c r="PJ15" i="1"/>
  <c r="PA15" i="1"/>
  <c r="OZ15" i="1"/>
  <c r="OY15" i="1"/>
  <c r="OX15" i="1"/>
  <c r="RA14" i="1"/>
  <c r="QZ14" i="1"/>
  <c r="QY14" i="1"/>
  <c r="QX14" i="1"/>
  <c r="QW14" i="1"/>
  <c r="QV14" i="1"/>
  <c r="QU14" i="1"/>
  <c r="QT14" i="1"/>
  <c r="QS14" i="1"/>
  <c r="QR14" i="1"/>
  <c r="QQ14" i="1"/>
  <c r="QP14" i="1"/>
  <c r="QO14" i="1"/>
  <c r="QN14" i="1"/>
  <c r="QM14" i="1"/>
  <c r="QL14" i="1"/>
  <c r="QK14" i="1"/>
  <c r="QJ14" i="1"/>
  <c r="QI14" i="1"/>
  <c r="QH14" i="1"/>
  <c r="QG14" i="1"/>
  <c r="QF14" i="1"/>
  <c r="QE14" i="1"/>
  <c r="QD14" i="1"/>
  <c r="QC14" i="1"/>
  <c r="QB14" i="1"/>
  <c r="QA14" i="1"/>
  <c r="PZ14" i="1"/>
  <c r="PM14" i="1"/>
  <c r="PL14" i="1"/>
  <c r="PK14" i="1"/>
  <c r="PJ14" i="1"/>
  <c r="RA12" i="1"/>
  <c r="QZ12" i="1"/>
  <c r="QY12" i="1"/>
  <c r="QX12" i="1"/>
  <c r="QW12" i="1"/>
  <c r="QV12" i="1"/>
  <c r="QU12" i="1"/>
  <c r="QT12" i="1"/>
  <c r="QS12" i="1"/>
  <c r="QR12" i="1"/>
  <c r="QQ12" i="1"/>
  <c r="QP12" i="1"/>
  <c r="QO12" i="1"/>
  <c r="QN12" i="1"/>
  <c r="QM12" i="1"/>
  <c r="QL12" i="1"/>
  <c r="QK12" i="1"/>
  <c r="QJ12" i="1"/>
  <c r="QI12" i="1"/>
  <c r="QH12" i="1"/>
  <c r="QG12" i="1"/>
  <c r="QF12" i="1"/>
  <c r="QE12" i="1"/>
  <c r="QD12" i="1"/>
  <c r="QC12" i="1"/>
  <c r="QB12" i="1"/>
  <c r="QA12" i="1"/>
  <c r="PZ12" i="1"/>
  <c r="PY12" i="1"/>
  <c r="PX12" i="1"/>
  <c r="PW12" i="1"/>
  <c r="PV12" i="1"/>
  <c r="PU12" i="1"/>
  <c r="PT12" i="1"/>
  <c r="PS12" i="1"/>
  <c r="PR12" i="1"/>
  <c r="PM12" i="1"/>
  <c r="PL12" i="1"/>
  <c r="PK12" i="1"/>
  <c r="PJ12" i="1"/>
  <c r="PI12" i="1"/>
  <c r="PH12" i="1"/>
  <c r="PG12" i="1"/>
  <c r="PF12" i="1"/>
  <c r="PE12" i="1"/>
  <c r="PD12" i="1"/>
  <c r="PC12" i="1"/>
  <c r="PB12" i="1"/>
  <c r="RA11" i="1"/>
  <c r="QZ11" i="1"/>
  <c r="QY11" i="1"/>
  <c r="QX11" i="1"/>
  <c r="QW11" i="1"/>
  <c r="QV11" i="1"/>
  <c r="QU11" i="1"/>
  <c r="QT11" i="1"/>
  <c r="QS11" i="1"/>
  <c r="QR11" i="1"/>
  <c r="QQ11" i="1"/>
  <c r="QP11" i="1"/>
  <c r="QO11" i="1"/>
  <c r="QN11" i="1"/>
  <c r="QM11" i="1"/>
  <c r="QL11" i="1"/>
  <c r="QK11" i="1"/>
  <c r="QJ11" i="1"/>
  <c r="QI11" i="1"/>
  <c r="QH11" i="1"/>
  <c r="QC11" i="1"/>
  <c r="QB11" i="1"/>
  <c r="QA11" i="1"/>
  <c r="PZ11" i="1"/>
  <c r="PY11" i="1"/>
  <c r="PX11" i="1"/>
  <c r="PW11" i="1"/>
  <c r="PV11" i="1"/>
  <c r="PU11" i="1"/>
  <c r="PT11" i="1"/>
  <c r="PS11" i="1"/>
  <c r="PR11" i="1"/>
  <c r="PM11" i="1"/>
  <c r="PL11" i="1"/>
  <c r="PK11" i="1"/>
  <c r="PJ11" i="1"/>
  <c r="PI11" i="1"/>
  <c r="PH11" i="1"/>
  <c r="PG11" i="1"/>
  <c r="PF11" i="1"/>
  <c r="PE11" i="1"/>
  <c r="PD11" i="1"/>
  <c r="PC11" i="1"/>
  <c r="PB11" i="1"/>
  <c r="PA11" i="1"/>
  <c r="OZ11" i="1"/>
  <c r="OY11" i="1"/>
  <c r="OX11" i="1"/>
  <c r="RA10" i="1"/>
  <c r="QZ10" i="1"/>
  <c r="QY10" i="1"/>
  <c r="QX10" i="1"/>
  <c r="QW10" i="1"/>
  <c r="QV10" i="1"/>
  <c r="QU10" i="1"/>
  <c r="QT10" i="1"/>
  <c r="QS10" i="1"/>
  <c r="QR10" i="1"/>
  <c r="QQ10" i="1"/>
  <c r="QP10" i="1"/>
  <c r="QO10" i="1"/>
  <c r="QN10" i="1"/>
  <c r="QM10" i="1"/>
  <c r="QL10" i="1"/>
  <c r="QK10" i="1"/>
  <c r="QJ10" i="1"/>
  <c r="QI10" i="1"/>
  <c r="QH10" i="1"/>
  <c r="QC10" i="1"/>
  <c r="QB10" i="1"/>
  <c r="QA10" i="1"/>
  <c r="PZ10" i="1"/>
  <c r="PY10" i="1"/>
  <c r="PX10" i="1"/>
  <c r="PW10" i="1"/>
  <c r="PV10" i="1"/>
  <c r="PU10" i="1"/>
  <c r="PT10" i="1"/>
  <c r="PS10" i="1"/>
  <c r="PR10" i="1"/>
  <c r="PM10" i="1"/>
  <c r="PL10" i="1"/>
  <c r="PK10" i="1"/>
  <c r="PJ10" i="1"/>
  <c r="PI10" i="1"/>
  <c r="PH10" i="1"/>
  <c r="PG10" i="1"/>
  <c r="PF10" i="1"/>
  <c r="PA10" i="1"/>
  <c r="OZ10" i="1"/>
  <c r="OY10" i="1"/>
  <c r="OX10" i="1"/>
  <c r="RA9" i="1"/>
  <c r="QZ9" i="1"/>
  <c r="QY9" i="1"/>
  <c r="QX9" i="1"/>
  <c r="QW9" i="1"/>
  <c r="QV9" i="1"/>
  <c r="QU9" i="1"/>
  <c r="QT9" i="1"/>
  <c r="QS9" i="1"/>
  <c r="QR9" i="1"/>
  <c r="QQ9" i="1"/>
  <c r="QP9" i="1"/>
  <c r="QO9" i="1"/>
  <c r="QN9" i="1"/>
  <c r="QM9" i="1"/>
  <c r="QL9" i="1"/>
  <c r="QK9" i="1"/>
  <c r="QJ9" i="1"/>
  <c r="QI9" i="1"/>
  <c r="QH9" i="1"/>
  <c r="QC9" i="1"/>
  <c r="QB9" i="1"/>
  <c r="QA9" i="1"/>
  <c r="PZ9" i="1"/>
  <c r="PY9" i="1"/>
  <c r="PX9" i="1"/>
  <c r="PW9" i="1"/>
  <c r="PV9" i="1"/>
  <c r="PM9" i="1"/>
  <c r="PL9" i="1"/>
  <c r="PK9" i="1"/>
  <c r="PJ9" i="1"/>
  <c r="PI9" i="1"/>
  <c r="PH9" i="1"/>
  <c r="PG9" i="1"/>
  <c r="PF9" i="1"/>
  <c r="RA8" i="1"/>
  <c r="QZ8" i="1"/>
  <c r="QY8" i="1"/>
  <c r="QX8" i="1"/>
  <c r="QW8" i="1"/>
  <c r="QV8" i="1"/>
  <c r="QU8" i="1"/>
  <c r="QT8" i="1"/>
  <c r="QS8" i="1"/>
  <c r="QR8" i="1"/>
  <c r="QQ8" i="1"/>
  <c r="QP8" i="1"/>
  <c r="QO8" i="1"/>
  <c r="QN8" i="1"/>
  <c r="QM8" i="1"/>
  <c r="QL8" i="1"/>
  <c r="QK8" i="1"/>
  <c r="QJ8" i="1"/>
  <c r="QI8" i="1"/>
  <c r="QH8" i="1"/>
  <c r="QG8" i="1"/>
  <c r="QF8" i="1"/>
  <c r="QE8" i="1"/>
  <c r="QD8" i="1"/>
  <c r="QC8" i="1"/>
  <c r="QB8" i="1"/>
  <c r="QA8" i="1"/>
  <c r="PZ8" i="1"/>
  <c r="PM8" i="1"/>
  <c r="PL8" i="1"/>
  <c r="PK8" i="1"/>
  <c r="PJ8" i="1"/>
  <c r="PI8" i="1"/>
  <c r="PH8" i="1"/>
  <c r="PG8" i="1"/>
  <c r="PF8" i="1"/>
  <c r="PE8" i="1"/>
  <c r="PD8" i="1"/>
  <c r="PC8" i="1"/>
  <c r="PB8" i="1"/>
  <c r="RA7" i="1"/>
  <c r="QZ7" i="1"/>
  <c r="QY7" i="1"/>
  <c r="QX7" i="1"/>
  <c r="QW7" i="1"/>
  <c r="QV7" i="1"/>
  <c r="QU7" i="1"/>
  <c r="QT7" i="1"/>
  <c r="QS7" i="1"/>
  <c r="QR7" i="1"/>
  <c r="QQ7" i="1"/>
  <c r="QP7" i="1"/>
  <c r="QO7" i="1"/>
  <c r="QN7" i="1"/>
  <c r="QM7" i="1"/>
  <c r="QL7" i="1"/>
  <c r="QK7" i="1"/>
  <c r="QJ7" i="1"/>
  <c r="QI7" i="1"/>
  <c r="QH7" i="1"/>
  <c r="QG7" i="1"/>
  <c r="QF7" i="1"/>
  <c r="QE7" i="1"/>
  <c r="QD7" i="1"/>
  <c r="QC7" i="1"/>
  <c r="QB7" i="1"/>
  <c r="QA7" i="1"/>
  <c r="PZ7" i="1"/>
  <c r="PY7" i="1"/>
  <c r="PX7" i="1"/>
  <c r="PW7" i="1"/>
  <c r="PV7" i="1"/>
  <c r="PU7" i="1"/>
  <c r="PT7" i="1"/>
  <c r="PS7" i="1"/>
  <c r="PR7" i="1"/>
  <c r="PM7" i="1"/>
  <c r="PL7" i="1"/>
  <c r="PK7" i="1"/>
  <c r="PJ7" i="1"/>
  <c r="PI7" i="1"/>
  <c r="PH7" i="1"/>
  <c r="PG7" i="1"/>
  <c r="PF7" i="1"/>
  <c r="PE7" i="1"/>
  <c r="PD7" i="1"/>
  <c r="PC7" i="1"/>
  <c r="PB7" i="1"/>
  <c r="PA7" i="1"/>
  <c r="OZ7" i="1"/>
  <c r="OY7" i="1"/>
  <c r="OX7" i="1"/>
  <c r="BC28" i="19" l="1"/>
  <c r="BB28" i="19"/>
  <c r="BA28" i="19"/>
  <c r="AZ28" i="19"/>
  <c r="BC27" i="19"/>
  <c r="BB27" i="19"/>
  <c r="BA27" i="19"/>
  <c r="AZ27" i="19"/>
  <c r="AZ26" i="19"/>
  <c r="BC26" i="19"/>
  <c r="BB26" i="19"/>
  <c r="BA26" i="19"/>
  <c r="BC25" i="19"/>
  <c r="BB25" i="19"/>
  <c r="BA25" i="19"/>
  <c r="AZ25" i="19"/>
  <c r="BC20" i="19"/>
  <c r="BC19" i="19"/>
  <c r="BC18" i="19"/>
  <c r="BC17" i="19"/>
  <c r="BC16" i="19"/>
  <c r="BC15" i="19"/>
  <c r="BC14" i="19"/>
  <c r="BC13" i="19"/>
  <c r="BC12" i="19"/>
  <c r="BC11" i="19"/>
  <c r="BC10" i="19"/>
  <c r="BC9" i="19"/>
  <c r="BC8" i="19"/>
  <c r="BC7" i="19"/>
  <c r="BC6" i="19"/>
  <c r="BB20" i="19"/>
  <c r="BB19" i="19"/>
  <c r="BB18" i="19"/>
  <c r="BB17" i="19"/>
  <c r="BB16" i="19"/>
  <c r="BB15" i="19"/>
  <c r="BB14" i="19"/>
  <c r="BB13" i="19"/>
  <c r="BB12" i="19"/>
  <c r="BB11" i="19"/>
  <c r="BB10" i="19"/>
  <c r="BB9" i="19"/>
  <c r="BB8" i="19"/>
  <c r="BB7" i="19"/>
  <c r="BB6" i="19"/>
  <c r="BA20" i="19"/>
  <c r="BA19" i="19"/>
  <c r="BA18" i="19"/>
  <c r="BA17" i="19"/>
  <c r="BA16" i="19"/>
  <c r="BA15" i="19"/>
  <c r="BA14" i="19"/>
  <c r="BA13" i="19"/>
  <c r="BA12" i="19"/>
  <c r="BA11" i="19"/>
  <c r="BA10" i="19"/>
  <c r="BA9" i="19"/>
  <c r="BA8" i="19"/>
  <c r="BA7" i="19"/>
  <c r="BA6" i="19"/>
  <c r="AZ20" i="19"/>
  <c r="AZ19" i="19"/>
  <c r="AZ18" i="19"/>
  <c r="AZ17" i="19"/>
  <c r="AZ16" i="19"/>
  <c r="AZ15" i="19"/>
  <c r="AZ14" i="19"/>
  <c r="AZ12" i="19"/>
  <c r="AZ11" i="19"/>
  <c r="AZ10" i="19"/>
  <c r="AZ9" i="19"/>
  <c r="AZ8" i="19"/>
  <c r="AZ7" i="19"/>
  <c r="AZ6" i="19"/>
  <c r="KO7" i="1" l="1"/>
  <c r="BM26" i="19" l="1"/>
  <c r="BK26" i="19"/>
  <c r="BM25" i="19"/>
  <c r="BK25" i="19"/>
  <c r="BM24" i="19"/>
  <c r="BK24" i="19"/>
  <c r="BM23" i="19"/>
  <c r="BK23" i="19"/>
  <c r="BN18" i="19"/>
  <c r="BN17" i="19"/>
  <c r="BN16" i="19"/>
  <c r="BN15" i="19"/>
  <c r="BN14" i="19"/>
  <c r="BN13" i="19"/>
  <c r="BN12" i="19"/>
  <c r="BN11" i="19"/>
  <c r="BN10" i="19"/>
  <c r="BN9" i="19"/>
  <c r="BN8" i="19"/>
  <c r="BN7" i="19"/>
  <c r="BN6" i="19"/>
  <c r="BN5" i="19"/>
  <c r="BI6" i="19"/>
  <c r="BI7" i="19"/>
  <c r="BI8" i="19"/>
  <c r="BI9" i="19"/>
  <c r="BI10" i="19"/>
  <c r="BI11" i="19"/>
  <c r="BI12" i="19"/>
  <c r="BI13" i="19"/>
  <c r="BI14" i="19"/>
  <c r="BI15" i="19"/>
  <c r="BI16" i="19"/>
  <c r="BI17" i="19"/>
  <c r="BI18" i="19"/>
  <c r="BI5" i="19"/>
  <c r="FN7" i="1"/>
  <c r="FL8" i="1"/>
  <c r="FL7" i="1"/>
  <c r="HT8" i="1" l="1"/>
  <c r="OT8" i="1" s="1"/>
  <c r="HV7" i="1"/>
  <c r="OV7" i="1" s="1"/>
  <c r="HT7" i="1"/>
  <c r="OT7" i="1" s="1"/>
  <c r="BN25" i="19"/>
  <c r="BN26" i="19"/>
  <c r="BK27" i="19"/>
  <c r="BN24" i="19"/>
  <c r="BN23" i="19"/>
  <c r="CH50" i="19"/>
  <c r="CH49" i="19"/>
  <c r="CH48" i="19"/>
  <c r="CH47" i="19"/>
  <c r="CM53" i="19"/>
  <c r="CH36" i="19" l="1"/>
  <c r="LW7" i="1"/>
  <c r="LW8" i="1"/>
  <c r="LW9" i="1"/>
  <c r="LW10" i="1"/>
  <c r="LW11" i="1"/>
  <c r="LW12" i="1"/>
  <c r="LW13" i="1"/>
  <c r="LW14" i="1"/>
  <c r="LW15" i="1"/>
  <c r="LW16" i="1"/>
  <c r="LW17" i="1"/>
  <c r="LW18" i="1"/>
  <c r="LW19" i="1"/>
  <c r="LW20" i="1"/>
  <c r="LW21" i="1"/>
  <c r="LW22" i="1"/>
  <c r="LW23" i="1"/>
  <c r="LW24" i="1"/>
  <c r="LW25" i="1"/>
  <c r="LW26" i="1"/>
  <c r="LW27" i="1"/>
  <c r="LW28" i="1"/>
  <c r="LW29" i="1"/>
  <c r="LW30" i="1"/>
  <c r="LW31" i="1"/>
  <c r="LW32" i="1"/>
  <c r="LW33" i="1"/>
  <c r="LW34" i="1"/>
  <c r="LW35" i="1"/>
  <c r="LW36" i="1"/>
  <c r="LW37" i="1"/>
  <c r="LW38" i="1"/>
  <c r="LW39" i="1"/>
  <c r="LW40" i="1"/>
  <c r="LW41" i="1"/>
  <c r="LW42" i="1"/>
  <c r="LW43" i="1"/>
  <c r="LW44" i="1"/>
  <c r="LW45" i="1"/>
  <c r="LW46" i="1"/>
  <c r="LW47" i="1"/>
  <c r="LW48" i="1"/>
  <c r="LW49" i="1"/>
  <c r="LW50" i="1"/>
  <c r="LW51" i="1"/>
  <c r="LW52" i="1"/>
  <c r="LW53" i="1"/>
  <c r="LW54" i="1"/>
  <c r="LW55" i="1"/>
  <c r="LW56" i="1"/>
  <c r="LW57" i="1"/>
  <c r="LW58" i="1"/>
  <c r="LW59" i="1"/>
  <c r="LW60" i="1"/>
  <c r="LW61" i="1"/>
  <c r="LW62" i="1"/>
  <c r="LW63" i="1"/>
  <c r="LW64" i="1"/>
  <c r="LW65" i="1"/>
  <c r="LW66" i="1"/>
  <c r="LW67" i="1"/>
  <c r="LW68" i="1"/>
  <c r="LW69" i="1"/>
  <c r="LW70" i="1"/>
  <c r="LW71" i="1"/>
  <c r="LW72" i="1"/>
  <c r="LW73" i="1"/>
  <c r="LW74" i="1"/>
  <c r="LW75" i="1"/>
  <c r="LW76" i="1"/>
  <c r="LW77" i="1"/>
  <c r="LW78" i="1"/>
  <c r="LW79" i="1"/>
  <c r="LW80" i="1"/>
  <c r="LW81" i="1"/>
  <c r="LW82" i="1"/>
  <c r="LW83" i="1"/>
  <c r="LW84" i="1"/>
  <c r="LW85" i="1"/>
  <c r="LW86" i="1"/>
  <c r="LW87" i="1"/>
  <c r="LW88" i="1"/>
  <c r="KG7" i="1" l="1"/>
  <c r="KG8" i="1"/>
  <c r="KG9" i="1"/>
  <c r="KG10" i="1"/>
  <c r="KG11" i="1"/>
  <c r="KG12" i="1"/>
  <c r="KG13" i="1"/>
  <c r="KG14" i="1"/>
  <c r="KG15" i="1"/>
  <c r="KG16" i="1"/>
  <c r="KG17" i="1"/>
  <c r="KG18" i="1"/>
  <c r="KG19" i="1"/>
  <c r="KG20" i="1"/>
  <c r="KG21" i="1"/>
  <c r="KG22" i="1"/>
  <c r="KG23" i="1"/>
  <c r="KG24" i="1"/>
  <c r="KG25" i="1"/>
  <c r="KG26" i="1"/>
  <c r="KG27" i="1"/>
  <c r="KG28" i="1"/>
  <c r="KG29" i="1"/>
  <c r="KG30" i="1"/>
  <c r="KG31" i="1"/>
  <c r="KG32" i="1"/>
  <c r="KG33" i="1"/>
  <c r="KG34" i="1"/>
  <c r="KG35" i="1"/>
  <c r="KG36" i="1"/>
  <c r="KG37" i="1"/>
  <c r="KG38" i="1"/>
  <c r="KG39" i="1"/>
  <c r="KG40" i="1"/>
  <c r="KG41" i="1"/>
  <c r="KG42" i="1"/>
  <c r="KG43" i="1"/>
  <c r="KG44" i="1"/>
  <c r="KG45" i="1"/>
  <c r="KG46" i="1"/>
  <c r="KG47" i="1"/>
  <c r="KG48" i="1"/>
  <c r="KG49" i="1"/>
  <c r="KG50" i="1"/>
  <c r="KG51" i="1"/>
  <c r="KG52" i="1"/>
  <c r="KG53" i="1"/>
  <c r="KG54" i="1"/>
  <c r="KG55" i="1"/>
  <c r="KG56" i="1"/>
  <c r="KG57" i="1"/>
  <c r="KG58" i="1"/>
  <c r="KG59" i="1"/>
  <c r="KG60" i="1"/>
  <c r="KG61" i="1"/>
  <c r="KG62" i="1"/>
  <c r="KG63" i="1"/>
  <c r="KG64" i="1"/>
  <c r="KG65" i="1"/>
  <c r="KG66" i="1"/>
  <c r="KG67" i="1"/>
  <c r="KG68" i="1"/>
  <c r="KG69" i="1"/>
  <c r="KG70" i="1"/>
  <c r="KG71" i="1"/>
  <c r="KG72" i="1"/>
  <c r="KG73" i="1"/>
  <c r="KG74" i="1"/>
  <c r="KG75" i="1"/>
  <c r="KG76" i="1"/>
  <c r="KG77" i="1"/>
  <c r="KG78" i="1"/>
  <c r="KG79" i="1"/>
  <c r="KG80" i="1"/>
  <c r="KG81" i="1"/>
  <c r="KG82" i="1"/>
  <c r="KG83" i="1"/>
  <c r="KG84" i="1"/>
  <c r="KG85" i="1"/>
  <c r="KG86" i="1"/>
  <c r="KG87" i="1"/>
  <c r="KG88" i="1"/>
  <c r="BP48" i="19"/>
  <c r="BY17" i="19" l="1"/>
  <c r="BZ6" i="19" s="1"/>
  <c r="BZ13" i="19" l="1"/>
  <c r="BZ12" i="19"/>
  <c r="BZ11" i="19"/>
  <c r="BZ9" i="19"/>
  <c r="BZ10" i="19"/>
  <c r="BZ16" i="19"/>
  <c r="BZ8" i="19"/>
  <c r="BZ5" i="19"/>
  <c r="BZ15" i="19"/>
  <c r="BZ7" i="19"/>
  <c r="BZ14" i="19"/>
  <c r="BS8" i="19" l="1"/>
  <c r="BS7" i="19"/>
  <c r="BS6" i="19"/>
  <c r="BS5" i="19"/>
  <c r="BR16" i="19"/>
  <c r="BR15" i="19"/>
  <c r="BR14" i="19"/>
  <c r="BR13" i="19"/>
  <c r="BR8" i="19"/>
  <c r="BR7" i="19"/>
  <c r="BR6" i="19"/>
  <c r="BR5" i="19"/>
  <c r="BH26" i="19"/>
  <c r="BH25" i="19"/>
  <c r="BH24" i="19"/>
  <c r="BH23" i="19"/>
  <c r="BF26" i="19"/>
  <c r="BF25" i="19"/>
  <c r="BF24" i="19"/>
  <c r="BF23" i="19"/>
  <c r="BH19" i="19"/>
  <c r="GN39" i="1"/>
  <c r="GO39" i="1"/>
  <c r="HS88" i="1"/>
  <c r="KA88" i="1" s="1"/>
  <c r="HR88" i="1"/>
  <c r="JZ88" i="1" s="1"/>
  <c r="HQ88" i="1"/>
  <c r="HP88" i="1"/>
  <c r="HS87" i="1"/>
  <c r="HR87" i="1"/>
  <c r="HQ87" i="1"/>
  <c r="HP87" i="1"/>
  <c r="HS86" i="1"/>
  <c r="KA86" i="1" s="1"/>
  <c r="HR86" i="1"/>
  <c r="JZ86" i="1" s="1"/>
  <c r="HQ86" i="1"/>
  <c r="HP86" i="1"/>
  <c r="HS85" i="1"/>
  <c r="HR85" i="1"/>
  <c r="HQ85" i="1"/>
  <c r="JY85" i="1" s="1"/>
  <c r="HP85" i="1"/>
  <c r="HS84" i="1"/>
  <c r="KA84" i="1" s="1"/>
  <c r="HR84" i="1"/>
  <c r="HQ84" i="1"/>
  <c r="HP84" i="1"/>
  <c r="HS83" i="1"/>
  <c r="HR83" i="1"/>
  <c r="HQ83" i="1"/>
  <c r="JY83" i="1" s="1"/>
  <c r="HP83" i="1"/>
  <c r="JX83" i="1" s="1"/>
  <c r="HS82" i="1"/>
  <c r="KA82" i="1" s="1"/>
  <c r="HR82" i="1"/>
  <c r="HQ82" i="1"/>
  <c r="HP82" i="1"/>
  <c r="HS81" i="1"/>
  <c r="HR81" i="1"/>
  <c r="HQ81" i="1"/>
  <c r="JY81" i="1" s="1"/>
  <c r="HP81" i="1"/>
  <c r="JX81" i="1" s="1"/>
  <c r="HS80" i="1"/>
  <c r="KA80" i="1" s="1"/>
  <c r="HR80" i="1"/>
  <c r="HQ80" i="1"/>
  <c r="HP80" i="1"/>
  <c r="HS79" i="1"/>
  <c r="HR79" i="1"/>
  <c r="HQ79" i="1"/>
  <c r="JY79" i="1" s="1"/>
  <c r="HP79" i="1"/>
  <c r="JX79" i="1" s="1"/>
  <c r="HS78" i="1"/>
  <c r="KA78" i="1" s="1"/>
  <c r="HR78" i="1"/>
  <c r="HQ78" i="1"/>
  <c r="HP78" i="1"/>
  <c r="HS77" i="1"/>
  <c r="HR77" i="1"/>
  <c r="HQ77" i="1"/>
  <c r="JY77" i="1" s="1"/>
  <c r="HP77" i="1"/>
  <c r="JX77" i="1" s="1"/>
  <c r="HS76" i="1"/>
  <c r="KA76" i="1" s="1"/>
  <c r="HR76" i="1"/>
  <c r="HQ76" i="1"/>
  <c r="HP76" i="1"/>
  <c r="HS75" i="1"/>
  <c r="HR75" i="1"/>
  <c r="HQ75" i="1"/>
  <c r="JY75" i="1" s="1"/>
  <c r="HP75" i="1"/>
  <c r="JX75" i="1" s="1"/>
  <c r="HS74" i="1"/>
  <c r="KA74" i="1" s="1"/>
  <c r="HR74" i="1"/>
  <c r="HQ74" i="1"/>
  <c r="HP74" i="1"/>
  <c r="HS73" i="1"/>
  <c r="HR73" i="1"/>
  <c r="HQ73" i="1"/>
  <c r="JY73" i="1" s="1"/>
  <c r="HP73" i="1"/>
  <c r="JX73" i="1" s="1"/>
  <c r="HS72" i="1"/>
  <c r="KA72" i="1" s="1"/>
  <c r="HR72" i="1"/>
  <c r="HQ72" i="1"/>
  <c r="HP72" i="1"/>
  <c r="HS71" i="1"/>
  <c r="HR71" i="1"/>
  <c r="HQ71" i="1"/>
  <c r="JY71" i="1" s="1"/>
  <c r="HP71" i="1"/>
  <c r="JX71" i="1" s="1"/>
  <c r="HS70" i="1"/>
  <c r="KA70" i="1" s="1"/>
  <c r="HR70" i="1"/>
  <c r="HQ70" i="1"/>
  <c r="HP70" i="1"/>
  <c r="HS69" i="1"/>
  <c r="HR69" i="1"/>
  <c r="HQ69" i="1"/>
  <c r="JY69" i="1" s="1"/>
  <c r="HP69" i="1"/>
  <c r="JX69" i="1" s="1"/>
  <c r="HS68" i="1"/>
  <c r="KA68" i="1" s="1"/>
  <c r="HR68" i="1"/>
  <c r="HQ68" i="1"/>
  <c r="HP68" i="1"/>
  <c r="HS67" i="1"/>
  <c r="HR67" i="1"/>
  <c r="HQ67" i="1"/>
  <c r="JY67" i="1" s="1"/>
  <c r="HP67" i="1"/>
  <c r="JX67" i="1" s="1"/>
  <c r="HS66" i="1"/>
  <c r="KA66" i="1" s="1"/>
  <c r="HR66" i="1"/>
  <c r="HQ66" i="1"/>
  <c r="HP66" i="1"/>
  <c r="HS65" i="1"/>
  <c r="HR65" i="1"/>
  <c r="HQ65" i="1"/>
  <c r="JY65" i="1" s="1"/>
  <c r="HP65" i="1"/>
  <c r="JX65" i="1" s="1"/>
  <c r="HS64" i="1"/>
  <c r="KA64" i="1" s="1"/>
  <c r="HR64" i="1"/>
  <c r="HQ64" i="1"/>
  <c r="HP64" i="1"/>
  <c r="JX64" i="1" s="1"/>
  <c r="HS63" i="1"/>
  <c r="HR63" i="1"/>
  <c r="HQ63" i="1"/>
  <c r="JY63" i="1" s="1"/>
  <c r="HP63" i="1"/>
  <c r="JX63" i="1" s="1"/>
  <c r="HS62" i="1"/>
  <c r="KA62" i="1" s="1"/>
  <c r="HR62" i="1"/>
  <c r="HQ62" i="1"/>
  <c r="HP62" i="1"/>
  <c r="JX62" i="1" s="1"/>
  <c r="HS61" i="1"/>
  <c r="HR61" i="1"/>
  <c r="HQ61" i="1"/>
  <c r="JY61" i="1" s="1"/>
  <c r="HP61" i="1"/>
  <c r="JX61" i="1" s="1"/>
  <c r="HS60" i="1"/>
  <c r="KA60" i="1" s="1"/>
  <c r="HR60" i="1"/>
  <c r="HQ60" i="1"/>
  <c r="HP60" i="1"/>
  <c r="JX60" i="1" s="1"/>
  <c r="HS59" i="1"/>
  <c r="HR59" i="1"/>
  <c r="HQ59" i="1"/>
  <c r="JY59" i="1" s="1"/>
  <c r="HP59" i="1"/>
  <c r="JX59" i="1" s="1"/>
  <c r="HS58" i="1"/>
  <c r="KA58" i="1" s="1"/>
  <c r="HR58" i="1"/>
  <c r="HQ58" i="1"/>
  <c r="HP58" i="1"/>
  <c r="JX58" i="1" s="1"/>
  <c r="HS57" i="1"/>
  <c r="HR57" i="1"/>
  <c r="HQ57" i="1"/>
  <c r="JY57" i="1" s="1"/>
  <c r="HP57" i="1"/>
  <c r="JX57" i="1" s="1"/>
  <c r="HS56" i="1"/>
  <c r="KA56" i="1" s="1"/>
  <c r="HR56" i="1"/>
  <c r="HQ56" i="1"/>
  <c r="HP56" i="1"/>
  <c r="JX56" i="1" s="1"/>
  <c r="HS55" i="1"/>
  <c r="HR55" i="1"/>
  <c r="HQ55" i="1"/>
  <c r="JY55" i="1" s="1"/>
  <c r="HP55" i="1"/>
  <c r="JX55" i="1" s="1"/>
  <c r="HS54" i="1"/>
  <c r="KA54" i="1" s="1"/>
  <c r="HR54" i="1"/>
  <c r="HQ54" i="1"/>
  <c r="HP54" i="1"/>
  <c r="JX54" i="1" s="1"/>
  <c r="HS53" i="1"/>
  <c r="HR53" i="1"/>
  <c r="HQ53" i="1"/>
  <c r="JY53" i="1" s="1"/>
  <c r="HP53" i="1"/>
  <c r="JX53" i="1" s="1"/>
  <c r="HS52" i="1"/>
  <c r="KA52" i="1" s="1"/>
  <c r="HR52" i="1"/>
  <c r="HQ52" i="1"/>
  <c r="HP52" i="1"/>
  <c r="JX52" i="1" s="1"/>
  <c r="HS51" i="1"/>
  <c r="HR51" i="1"/>
  <c r="HQ51" i="1"/>
  <c r="JY51" i="1" s="1"/>
  <c r="HP51" i="1"/>
  <c r="JX51" i="1" s="1"/>
  <c r="HS50" i="1"/>
  <c r="KA50" i="1" s="1"/>
  <c r="HR50" i="1"/>
  <c r="HQ50" i="1"/>
  <c r="HP50" i="1"/>
  <c r="JX50" i="1" s="1"/>
  <c r="HS49" i="1"/>
  <c r="HR49" i="1"/>
  <c r="HQ49" i="1"/>
  <c r="JY49" i="1" s="1"/>
  <c r="HP49" i="1"/>
  <c r="JX49" i="1" s="1"/>
  <c r="HS48" i="1"/>
  <c r="KA48" i="1" s="1"/>
  <c r="HR48" i="1"/>
  <c r="HQ48" i="1"/>
  <c r="HP48" i="1"/>
  <c r="JX48" i="1" s="1"/>
  <c r="HS47" i="1"/>
  <c r="HR47" i="1"/>
  <c r="HQ47" i="1"/>
  <c r="JY47" i="1" s="1"/>
  <c r="HP47" i="1"/>
  <c r="JX47" i="1" s="1"/>
  <c r="HS46" i="1"/>
  <c r="KA46" i="1" s="1"/>
  <c r="HR46" i="1"/>
  <c r="HQ46" i="1"/>
  <c r="HP46" i="1"/>
  <c r="JX46" i="1" s="1"/>
  <c r="HS45" i="1"/>
  <c r="HR45" i="1"/>
  <c r="HQ45" i="1"/>
  <c r="JY45" i="1" s="1"/>
  <c r="HP45" i="1"/>
  <c r="JX45" i="1" s="1"/>
  <c r="HS44" i="1"/>
  <c r="KA44" i="1" s="1"/>
  <c r="HR44" i="1"/>
  <c r="HQ44" i="1"/>
  <c r="HP44" i="1"/>
  <c r="JX44" i="1" s="1"/>
  <c r="HS43" i="1"/>
  <c r="HR43" i="1"/>
  <c r="HQ43" i="1"/>
  <c r="JY43" i="1" s="1"/>
  <c r="HP43" i="1"/>
  <c r="JX43" i="1" s="1"/>
  <c r="HS42" i="1"/>
  <c r="KA42" i="1" s="1"/>
  <c r="HR42" i="1"/>
  <c r="HQ42" i="1"/>
  <c r="HP42" i="1"/>
  <c r="JX42" i="1" s="1"/>
  <c r="HS41" i="1"/>
  <c r="HR41" i="1"/>
  <c r="HQ41" i="1"/>
  <c r="JY41" i="1" s="1"/>
  <c r="HP41" i="1"/>
  <c r="JX41" i="1" s="1"/>
  <c r="HS40" i="1"/>
  <c r="KA40" i="1" s="1"/>
  <c r="HR40" i="1"/>
  <c r="HQ40" i="1"/>
  <c r="HP40" i="1"/>
  <c r="JX40" i="1" s="1"/>
  <c r="HS39" i="1"/>
  <c r="KA39" i="1" s="1"/>
  <c r="HR39" i="1"/>
  <c r="JZ39" i="1" s="1"/>
  <c r="HQ39" i="1"/>
  <c r="JY39" i="1" s="1"/>
  <c r="RP39" i="1" s="1"/>
  <c r="HP39" i="1"/>
  <c r="JX39" i="1" s="1"/>
  <c r="HS38" i="1"/>
  <c r="KA38" i="1" s="1"/>
  <c r="HR38" i="1"/>
  <c r="HQ38" i="1"/>
  <c r="HP38" i="1"/>
  <c r="JX38" i="1" s="1"/>
  <c r="HS37" i="1"/>
  <c r="HR37" i="1"/>
  <c r="HQ37" i="1"/>
  <c r="JY37" i="1" s="1"/>
  <c r="HP37" i="1"/>
  <c r="JX37" i="1" s="1"/>
  <c r="HS36" i="1"/>
  <c r="KA36" i="1" s="1"/>
  <c r="HR36" i="1"/>
  <c r="HQ36" i="1"/>
  <c r="HP36" i="1"/>
  <c r="JX36" i="1" s="1"/>
  <c r="HS35" i="1"/>
  <c r="HR35" i="1"/>
  <c r="HQ35" i="1"/>
  <c r="JY35" i="1" s="1"/>
  <c r="HP35" i="1"/>
  <c r="JX35" i="1" s="1"/>
  <c r="HS34" i="1"/>
  <c r="KA34" i="1" s="1"/>
  <c r="HR34" i="1"/>
  <c r="HQ34" i="1"/>
  <c r="HP34" i="1"/>
  <c r="JX34" i="1" s="1"/>
  <c r="HS33" i="1"/>
  <c r="HR33" i="1"/>
  <c r="HQ33" i="1"/>
  <c r="JY33" i="1" s="1"/>
  <c r="HP33" i="1"/>
  <c r="JX33" i="1" s="1"/>
  <c r="HS32" i="1"/>
  <c r="KA32" i="1" s="1"/>
  <c r="HR32" i="1"/>
  <c r="HQ32" i="1"/>
  <c r="HP32" i="1"/>
  <c r="JX32" i="1" s="1"/>
  <c r="HS31" i="1"/>
  <c r="HR31" i="1"/>
  <c r="HQ31" i="1"/>
  <c r="JY31" i="1" s="1"/>
  <c r="HP31" i="1"/>
  <c r="JX31" i="1" s="1"/>
  <c r="HS30" i="1"/>
  <c r="KA30" i="1" s="1"/>
  <c r="HR30" i="1"/>
  <c r="JZ30" i="1" s="1"/>
  <c r="HQ30" i="1"/>
  <c r="JY30" i="1" s="1"/>
  <c r="HP30" i="1"/>
  <c r="JX30" i="1" s="1"/>
  <c r="HS29" i="1"/>
  <c r="HR29" i="1"/>
  <c r="HQ29" i="1"/>
  <c r="JY29" i="1" s="1"/>
  <c r="HP29" i="1"/>
  <c r="JX29" i="1" s="1"/>
  <c r="HS28" i="1"/>
  <c r="KA28" i="1" s="1"/>
  <c r="HR28" i="1"/>
  <c r="HQ28" i="1"/>
  <c r="HP28" i="1"/>
  <c r="JX28" i="1" s="1"/>
  <c r="HS27" i="1"/>
  <c r="HR27" i="1"/>
  <c r="HQ27" i="1"/>
  <c r="JY27" i="1" s="1"/>
  <c r="HP27" i="1"/>
  <c r="JX27" i="1" s="1"/>
  <c r="HS26" i="1"/>
  <c r="KA26" i="1" s="1"/>
  <c r="HR26" i="1"/>
  <c r="HQ26" i="1"/>
  <c r="HP26" i="1"/>
  <c r="JX26" i="1" s="1"/>
  <c r="HS25" i="1"/>
  <c r="HR25" i="1"/>
  <c r="HQ25" i="1"/>
  <c r="JY25" i="1" s="1"/>
  <c r="HP25" i="1"/>
  <c r="JX25" i="1" s="1"/>
  <c r="HS24" i="1"/>
  <c r="KA24" i="1" s="1"/>
  <c r="HR24" i="1"/>
  <c r="HQ24" i="1"/>
  <c r="HP24" i="1"/>
  <c r="JX24" i="1" s="1"/>
  <c r="HS23" i="1"/>
  <c r="HR23" i="1"/>
  <c r="HQ23" i="1"/>
  <c r="JY23" i="1" s="1"/>
  <c r="HP23" i="1"/>
  <c r="JX23" i="1" s="1"/>
  <c r="HS22" i="1"/>
  <c r="KA22" i="1" s="1"/>
  <c r="HR22" i="1"/>
  <c r="HQ22" i="1"/>
  <c r="HP22" i="1"/>
  <c r="JX22" i="1" s="1"/>
  <c r="HS21" i="1"/>
  <c r="HR21" i="1"/>
  <c r="HQ21" i="1"/>
  <c r="JY21" i="1" s="1"/>
  <c r="HP21" i="1"/>
  <c r="JX21" i="1" s="1"/>
  <c r="HS20" i="1"/>
  <c r="KA20" i="1" s="1"/>
  <c r="HR20" i="1"/>
  <c r="HQ20" i="1"/>
  <c r="HP20" i="1"/>
  <c r="JX20" i="1" s="1"/>
  <c r="HS19" i="1"/>
  <c r="HR19" i="1"/>
  <c r="HQ19" i="1"/>
  <c r="JY19" i="1" s="1"/>
  <c r="HP19" i="1"/>
  <c r="JX19" i="1" s="1"/>
  <c r="HS18" i="1"/>
  <c r="HR18" i="1"/>
  <c r="HQ18" i="1"/>
  <c r="HP18" i="1"/>
  <c r="HS17" i="1"/>
  <c r="HR17" i="1"/>
  <c r="HQ17" i="1"/>
  <c r="JY17" i="1" s="1"/>
  <c r="HP17" i="1"/>
  <c r="JX17" i="1" s="1"/>
  <c r="HS16" i="1"/>
  <c r="KA16" i="1" s="1"/>
  <c r="HR16" i="1"/>
  <c r="HQ16" i="1"/>
  <c r="HP16" i="1"/>
  <c r="JX16" i="1" s="1"/>
  <c r="HS15" i="1"/>
  <c r="HR15" i="1"/>
  <c r="HQ15" i="1"/>
  <c r="JY15" i="1" s="1"/>
  <c r="HP15" i="1"/>
  <c r="JX15" i="1" s="1"/>
  <c r="HS14" i="1"/>
  <c r="KA14" i="1" s="1"/>
  <c r="HR14" i="1"/>
  <c r="HQ14" i="1"/>
  <c r="HP14" i="1"/>
  <c r="JX14" i="1" s="1"/>
  <c r="HS13" i="1"/>
  <c r="HR13" i="1"/>
  <c r="HQ13" i="1"/>
  <c r="HP13" i="1"/>
  <c r="HS12" i="1"/>
  <c r="KA12" i="1" s="1"/>
  <c r="HR12" i="1"/>
  <c r="HQ12" i="1"/>
  <c r="HP12" i="1"/>
  <c r="JX12" i="1" s="1"/>
  <c r="HS11" i="1"/>
  <c r="HR11" i="1"/>
  <c r="HQ11" i="1"/>
  <c r="JY11" i="1" s="1"/>
  <c r="HP11" i="1"/>
  <c r="JX11" i="1" s="1"/>
  <c r="HS10" i="1"/>
  <c r="KA10" i="1" s="1"/>
  <c r="HR10" i="1"/>
  <c r="HQ10" i="1"/>
  <c r="HP10" i="1"/>
  <c r="JX10" i="1" s="1"/>
  <c r="HS9" i="1"/>
  <c r="HR9" i="1"/>
  <c r="HQ9" i="1"/>
  <c r="JY9" i="1" s="1"/>
  <c r="HP9" i="1"/>
  <c r="JX9" i="1" s="1"/>
  <c r="HS8" i="1"/>
  <c r="KA8" i="1" s="1"/>
  <c r="HR8" i="1"/>
  <c r="HQ8" i="1"/>
  <c r="HP8" i="1"/>
  <c r="JX8" i="1" s="1"/>
  <c r="HS7" i="1"/>
  <c r="HR7" i="1"/>
  <c r="HQ7" i="1"/>
  <c r="JY7" i="1" s="1"/>
  <c r="HP7" i="1"/>
  <c r="JX7" i="1" s="1"/>
  <c r="HO88" i="1"/>
  <c r="JW88" i="1" s="1"/>
  <c r="HN88" i="1"/>
  <c r="HM88" i="1"/>
  <c r="HL88" i="1"/>
  <c r="JT88" i="1" s="1"/>
  <c r="HO87" i="1"/>
  <c r="HN87" i="1"/>
  <c r="HM87" i="1"/>
  <c r="HL87" i="1"/>
  <c r="HO86" i="1"/>
  <c r="JW86" i="1" s="1"/>
  <c r="HN86" i="1"/>
  <c r="JV86" i="1" s="1"/>
  <c r="HM86" i="1"/>
  <c r="JU86" i="1" s="1"/>
  <c r="HL86" i="1"/>
  <c r="JT86" i="1" s="1"/>
  <c r="HO85" i="1"/>
  <c r="HN85" i="1"/>
  <c r="HM85" i="1"/>
  <c r="JU85" i="1" s="1"/>
  <c r="HL85" i="1"/>
  <c r="JT85" i="1" s="1"/>
  <c r="HO84" i="1"/>
  <c r="JW84" i="1" s="1"/>
  <c r="HN84" i="1"/>
  <c r="HM84" i="1"/>
  <c r="HL84" i="1"/>
  <c r="JT84" i="1" s="1"/>
  <c r="HO83" i="1"/>
  <c r="HN83" i="1"/>
  <c r="HM83" i="1"/>
  <c r="JU83" i="1" s="1"/>
  <c r="HL83" i="1"/>
  <c r="JT83" i="1" s="1"/>
  <c r="HO82" i="1"/>
  <c r="JW82" i="1" s="1"/>
  <c r="HN82" i="1"/>
  <c r="HM82" i="1"/>
  <c r="HL82" i="1"/>
  <c r="JT82" i="1" s="1"/>
  <c r="HO81" i="1"/>
  <c r="HN81" i="1"/>
  <c r="HM81" i="1"/>
  <c r="JU81" i="1" s="1"/>
  <c r="HL81" i="1"/>
  <c r="JT81" i="1" s="1"/>
  <c r="HO80" i="1"/>
  <c r="JW80" i="1" s="1"/>
  <c r="HN80" i="1"/>
  <c r="HM80" i="1"/>
  <c r="HL80" i="1"/>
  <c r="JT80" i="1" s="1"/>
  <c r="HO79" i="1"/>
  <c r="HN79" i="1"/>
  <c r="HM79" i="1"/>
  <c r="JU79" i="1" s="1"/>
  <c r="HL79" i="1"/>
  <c r="JT79" i="1" s="1"/>
  <c r="HO78" i="1"/>
  <c r="JW78" i="1" s="1"/>
  <c r="HN78" i="1"/>
  <c r="HM78" i="1"/>
  <c r="HL78" i="1"/>
  <c r="JT78" i="1" s="1"/>
  <c r="HO77" i="1"/>
  <c r="HN77" i="1"/>
  <c r="HM77" i="1"/>
  <c r="JU77" i="1" s="1"/>
  <c r="HL77" i="1"/>
  <c r="JT77" i="1" s="1"/>
  <c r="HO76" i="1"/>
  <c r="JW76" i="1" s="1"/>
  <c r="HN76" i="1"/>
  <c r="HM76" i="1"/>
  <c r="HL76" i="1"/>
  <c r="JT76" i="1" s="1"/>
  <c r="HO75" i="1"/>
  <c r="HN75" i="1"/>
  <c r="HM75" i="1"/>
  <c r="JU75" i="1" s="1"/>
  <c r="HL75" i="1"/>
  <c r="JT75" i="1" s="1"/>
  <c r="HO74" i="1"/>
  <c r="JW74" i="1" s="1"/>
  <c r="HN74" i="1"/>
  <c r="HM74" i="1"/>
  <c r="HL74" i="1"/>
  <c r="JT74" i="1" s="1"/>
  <c r="HO73" i="1"/>
  <c r="HN73" i="1"/>
  <c r="HM73" i="1"/>
  <c r="JU73" i="1" s="1"/>
  <c r="HL73" i="1"/>
  <c r="JT73" i="1" s="1"/>
  <c r="HO72" i="1"/>
  <c r="JW72" i="1" s="1"/>
  <c r="HN72" i="1"/>
  <c r="HM72" i="1"/>
  <c r="HL72" i="1"/>
  <c r="JT72" i="1" s="1"/>
  <c r="HO71" i="1"/>
  <c r="HN71" i="1"/>
  <c r="HM71" i="1"/>
  <c r="JU71" i="1" s="1"/>
  <c r="HL71" i="1"/>
  <c r="JT71" i="1" s="1"/>
  <c r="HO70" i="1"/>
  <c r="JW70" i="1" s="1"/>
  <c r="HN70" i="1"/>
  <c r="HM70" i="1"/>
  <c r="HL70" i="1"/>
  <c r="JT70" i="1" s="1"/>
  <c r="HO69" i="1"/>
  <c r="HN69" i="1"/>
  <c r="HM69" i="1"/>
  <c r="JU69" i="1" s="1"/>
  <c r="HL69" i="1"/>
  <c r="JT69" i="1" s="1"/>
  <c r="HO68" i="1"/>
  <c r="JW68" i="1" s="1"/>
  <c r="HN68" i="1"/>
  <c r="HM68" i="1"/>
  <c r="HL68" i="1"/>
  <c r="JT68" i="1" s="1"/>
  <c r="HO67" i="1"/>
  <c r="HN67" i="1"/>
  <c r="HM67" i="1"/>
  <c r="JU67" i="1" s="1"/>
  <c r="HL67" i="1"/>
  <c r="JT67" i="1" s="1"/>
  <c r="HO66" i="1"/>
  <c r="JW66" i="1" s="1"/>
  <c r="HN66" i="1"/>
  <c r="HM66" i="1"/>
  <c r="HL66" i="1"/>
  <c r="JT66" i="1" s="1"/>
  <c r="HO65" i="1"/>
  <c r="HN65" i="1"/>
  <c r="HM65" i="1"/>
  <c r="JU65" i="1" s="1"/>
  <c r="HL65" i="1"/>
  <c r="JT65" i="1" s="1"/>
  <c r="HO64" i="1"/>
  <c r="JW64" i="1" s="1"/>
  <c r="HN64" i="1"/>
  <c r="HM64" i="1"/>
  <c r="HL64" i="1"/>
  <c r="JT64" i="1" s="1"/>
  <c r="HO63" i="1"/>
  <c r="HN63" i="1"/>
  <c r="HM63" i="1"/>
  <c r="JU63" i="1" s="1"/>
  <c r="HL63" i="1"/>
  <c r="JT63" i="1" s="1"/>
  <c r="HO62" i="1"/>
  <c r="JW62" i="1" s="1"/>
  <c r="HN62" i="1"/>
  <c r="HM62" i="1"/>
  <c r="HL62" i="1"/>
  <c r="JT62" i="1" s="1"/>
  <c r="HO61" i="1"/>
  <c r="HN61" i="1"/>
  <c r="HM61" i="1"/>
  <c r="JU61" i="1" s="1"/>
  <c r="HL61" i="1"/>
  <c r="JT61" i="1" s="1"/>
  <c r="HO60" i="1"/>
  <c r="JW60" i="1" s="1"/>
  <c r="HN60" i="1"/>
  <c r="HM60" i="1"/>
  <c r="HL60" i="1"/>
  <c r="JT60" i="1" s="1"/>
  <c r="HO59" i="1"/>
  <c r="HN59" i="1"/>
  <c r="HM59" i="1"/>
  <c r="JU59" i="1" s="1"/>
  <c r="HL59" i="1"/>
  <c r="JT59" i="1" s="1"/>
  <c r="HO58" i="1"/>
  <c r="JW58" i="1" s="1"/>
  <c r="HN58" i="1"/>
  <c r="HM58" i="1"/>
  <c r="HL58" i="1"/>
  <c r="JT58" i="1" s="1"/>
  <c r="HO57" i="1"/>
  <c r="HN57" i="1"/>
  <c r="HM57" i="1"/>
  <c r="JU57" i="1" s="1"/>
  <c r="HL57" i="1"/>
  <c r="JT57" i="1" s="1"/>
  <c r="HO56" i="1"/>
  <c r="JW56" i="1" s="1"/>
  <c r="HN56" i="1"/>
  <c r="HM56" i="1"/>
  <c r="HL56" i="1"/>
  <c r="JT56" i="1" s="1"/>
  <c r="HO55" i="1"/>
  <c r="HN55" i="1"/>
  <c r="HM55" i="1"/>
  <c r="HL55" i="1"/>
  <c r="HO54" i="1"/>
  <c r="JW54" i="1" s="1"/>
  <c r="HN54" i="1"/>
  <c r="HM54" i="1"/>
  <c r="HL54" i="1"/>
  <c r="JT54" i="1" s="1"/>
  <c r="HO53" i="1"/>
  <c r="HN53" i="1"/>
  <c r="HM53" i="1"/>
  <c r="JU53" i="1" s="1"/>
  <c r="HL53" i="1"/>
  <c r="JT53" i="1" s="1"/>
  <c r="HO52" i="1"/>
  <c r="JW52" i="1" s="1"/>
  <c r="HN52" i="1"/>
  <c r="HM52" i="1"/>
  <c r="HL52" i="1"/>
  <c r="JT52" i="1" s="1"/>
  <c r="HO51" i="1"/>
  <c r="HN51" i="1"/>
  <c r="HM51" i="1"/>
  <c r="JU51" i="1" s="1"/>
  <c r="HL51" i="1"/>
  <c r="JT51" i="1" s="1"/>
  <c r="HO50" i="1"/>
  <c r="JW50" i="1" s="1"/>
  <c r="HN50" i="1"/>
  <c r="HM50" i="1"/>
  <c r="HL50" i="1"/>
  <c r="JT50" i="1" s="1"/>
  <c r="HO49" i="1"/>
  <c r="HN49" i="1"/>
  <c r="HM49" i="1"/>
  <c r="JU49" i="1" s="1"/>
  <c r="HL49" i="1"/>
  <c r="JT49" i="1" s="1"/>
  <c r="HO48" i="1"/>
  <c r="JW48" i="1" s="1"/>
  <c r="HN48" i="1"/>
  <c r="HM48" i="1"/>
  <c r="HL48" i="1"/>
  <c r="JT48" i="1" s="1"/>
  <c r="HO47" i="1"/>
  <c r="HN47" i="1"/>
  <c r="HM47" i="1"/>
  <c r="JU47" i="1" s="1"/>
  <c r="HL47" i="1"/>
  <c r="JT47" i="1" s="1"/>
  <c r="HO46" i="1"/>
  <c r="JW46" i="1" s="1"/>
  <c r="HN46" i="1"/>
  <c r="HM46" i="1"/>
  <c r="HL46" i="1"/>
  <c r="JT46" i="1" s="1"/>
  <c r="HO45" i="1"/>
  <c r="HN45" i="1"/>
  <c r="HM45" i="1"/>
  <c r="JU45" i="1" s="1"/>
  <c r="HL45" i="1"/>
  <c r="JT45" i="1" s="1"/>
  <c r="HO44" i="1"/>
  <c r="HN44" i="1"/>
  <c r="HM44" i="1"/>
  <c r="HL44" i="1"/>
  <c r="HO43" i="1"/>
  <c r="HN43" i="1"/>
  <c r="HM43" i="1"/>
  <c r="JU43" i="1" s="1"/>
  <c r="HL43" i="1"/>
  <c r="JT43" i="1" s="1"/>
  <c r="HO42" i="1"/>
  <c r="JW42" i="1" s="1"/>
  <c r="HN42" i="1"/>
  <c r="HM42" i="1"/>
  <c r="HL42" i="1"/>
  <c r="JT42" i="1" s="1"/>
  <c r="HO41" i="1"/>
  <c r="HN41" i="1"/>
  <c r="HM41" i="1"/>
  <c r="JU41" i="1" s="1"/>
  <c r="HL41" i="1"/>
  <c r="JT41" i="1" s="1"/>
  <c r="HO40" i="1"/>
  <c r="HN40" i="1"/>
  <c r="HM40" i="1"/>
  <c r="HL40" i="1"/>
  <c r="HO39" i="1"/>
  <c r="HN39" i="1"/>
  <c r="HM39" i="1"/>
  <c r="HL39" i="1"/>
  <c r="HO38" i="1"/>
  <c r="JW38" i="1" s="1"/>
  <c r="HN38" i="1"/>
  <c r="HM38" i="1"/>
  <c r="HL38" i="1"/>
  <c r="JT38" i="1" s="1"/>
  <c r="HO37" i="1"/>
  <c r="HN37" i="1"/>
  <c r="HM37" i="1"/>
  <c r="JU37" i="1" s="1"/>
  <c r="HL37" i="1"/>
  <c r="JT37" i="1" s="1"/>
  <c r="HO36" i="1"/>
  <c r="HN36" i="1"/>
  <c r="HM36" i="1"/>
  <c r="HL36" i="1"/>
  <c r="HO35" i="1"/>
  <c r="HN35" i="1"/>
  <c r="HM35" i="1"/>
  <c r="JU35" i="1" s="1"/>
  <c r="HL35" i="1"/>
  <c r="JT35" i="1" s="1"/>
  <c r="HO34" i="1"/>
  <c r="JW34" i="1" s="1"/>
  <c r="HN34" i="1"/>
  <c r="HM34" i="1"/>
  <c r="HL34" i="1"/>
  <c r="JT34" i="1" s="1"/>
  <c r="HO33" i="1"/>
  <c r="HN33" i="1"/>
  <c r="HM33" i="1"/>
  <c r="JU33" i="1" s="1"/>
  <c r="HL33" i="1"/>
  <c r="JT33" i="1" s="1"/>
  <c r="HO32" i="1"/>
  <c r="HN32" i="1"/>
  <c r="HM32" i="1"/>
  <c r="HL32" i="1"/>
  <c r="HO31" i="1"/>
  <c r="HN31" i="1"/>
  <c r="HM31" i="1"/>
  <c r="JU31" i="1" s="1"/>
  <c r="HL31" i="1"/>
  <c r="JT31" i="1" s="1"/>
  <c r="HO30" i="1"/>
  <c r="HN30" i="1"/>
  <c r="HM30" i="1"/>
  <c r="HL30" i="1"/>
  <c r="HO29" i="1"/>
  <c r="HN29" i="1"/>
  <c r="HM29" i="1"/>
  <c r="JU29" i="1" s="1"/>
  <c r="HL29" i="1"/>
  <c r="JT29" i="1" s="1"/>
  <c r="HO28" i="1"/>
  <c r="JW28" i="1" s="1"/>
  <c r="HN28" i="1"/>
  <c r="HM28" i="1"/>
  <c r="HL28" i="1"/>
  <c r="JT28" i="1" s="1"/>
  <c r="HO27" i="1"/>
  <c r="HN27" i="1"/>
  <c r="HM27" i="1"/>
  <c r="JU27" i="1" s="1"/>
  <c r="HL27" i="1"/>
  <c r="JT27" i="1" s="1"/>
  <c r="HO26" i="1"/>
  <c r="JW26" i="1" s="1"/>
  <c r="HN26" i="1"/>
  <c r="HM26" i="1"/>
  <c r="HL26" i="1"/>
  <c r="JT26" i="1" s="1"/>
  <c r="HO25" i="1"/>
  <c r="HN25" i="1"/>
  <c r="HM25" i="1"/>
  <c r="JU25" i="1" s="1"/>
  <c r="HL25" i="1"/>
  <c r="JT25" i="1" s="1"/>
  <c r="HO24" i="1"/>
  <c r="JW24" i="1" s="1"/>
  <c r="HN24" i="1"/>
  <c r="HM24" i="1"/>
  <c r="HL24" i="1"/>
  <c r="JT24" i="1" s="1"/>
  <c r="HO23" i="1"/>
  <c r="HN23" i="1"/>
  <c r="HM23" i="1"/>
  <c r="JU23" i="1" s="1"/>
  <c r="HL23" i="1"/>
  <c r="JT23" i="1" s="1"/>
  <c r="HO22" i="1"/>
  <c r="JW22" i="1" s="1"/>
  <c r="HN22" i="1"/>
  <c r="HM22" i="1"/>
  <c r="HL22" i="1"/>
  <c r="JT22" i="1" s="1"/>
  <c r="HO21" i="1"/>
  <c r="HN21" i="1"/>
  <c r="HM21" i="1"/>
  <c r="HL21" i="1"/>
  <c r="HO20" i="1"/>
  <c r="JW20" i="1" s="1"/>
  <c r="HN20" i="1"/>
  <c r="HM20" i="1"/>
  <c r="HL20" i="1"/>
  <c r="JT20" i="1" s="1"/>
  <c r="HO19" i="1"/>
  <c r="HN19" i="1"/>
  <c r="HM19" i="1"/>
  <c r="JU19" i="1" s="1"/>
  <c r="HL19" i="1"/>
  <c r="JT19" i="1" s="1"/>
  <c r="HO18" i="1"/>
  <c r="HN18" i="1"/>
  <c r="HM18" i="1"/>
  <c r="HL18" i="1"/>
  <c r="HO17" i="1"/>
  <c r="HN17" i="1"/>
  <c r="HM17" i="1"/>
  <c r="JU17" i="1" s="1"/>
  <c r="HL17" i="1"/>
  <c r="JT17" i="1" s="1"/>
  <c r="HO16" i="1"/>
  <c r="JW16" i="1" s="1"/>
  <c r="HN16" i="1"/>
  <c r="HM16" i="1"/>
  <c r="HL16" i="1"/>
  <c r="JT16" i="1" s="1"/>
  <c r="HO15" i="1"/>
  <c r="HN15" i="1"/>
  <c r="HM15" i="1"/>
  <c r="JU15" i="1" s="1"/>
  <c r="HL15" i="1"/>
  <c r="JT15" i="1" s="1"/>
  <c r="HO14" i="1"/>
  <c r="JW14" i="1" s="1"/>
  <c r="HN14" i="1"/>
  <c r="HM14" i="1"/>
  <c r="HL14" i="1"/>
  <c r="JT14" i="1" s="1"/>
  <c r="HO13" i="1"/>
  <c r="HN13" i="1"/>
  <c r="HM13" i="1"/>
  <c r="HL13" i="1"/>
  <c r="HO12" i="1"/>
  <c r="JW12" i="1" s="1"/>
  <c r="HN12" i="1"/>
  <c r="HM12" i="1"/>
  <c r="HL12" i="1"/>
  <c r="JT12" i="1" s="1"/>
  <c r="HO11" i="1"/>
  <c r="HN11" i="1"/>
  <c r="HM11" i="1"/>
  <c r="JU11" i="1" s="1"/>
  <c r="HL11" i="1"/>
  <c r="JT11" i="1" s="1"/>
  <c r="HO10" i="1"/>
  <c r="JW10" i="1" s="1"/>
  <c r="HN10" i="1"/>
  <c r="HM10" i="1"/>
  <c r="HL10" i="1"/>
  <c r="JT10" i="1" s="1"/>
  <c r="HO9" i="1"/>
  <c r="HN9" i="1"/>
  <c r="HM9" i="1"/>
  <c r="JU9" i="1" s="1"/>
  <c r="HL9" i="1"/>
  <c r="JT9" i="1" s="1"/>
  <c r="HO8" i="1"/>
  <c r="JW8" i="1" s="1"/>
  <c r="HN8" i="1"/>
  <c r="HM8" i="1"/>
  <c r="HL8" i="1"/>
  <c r="JT8" i="1" s="1"/>
  <c r="HO7" i="1"/>
  <c r="HN7" i="1"/>
  <c r="HM7" i="1"/>
  <c r="JU7" i="1" s="1"/>
  <c r="HL7" i="1"/>
  <c r="JT7" i="1" s="1"/>
  <c r="HK7" i="1"/>
  <c r="HK8" i="1"/>
  <c r="HK9" i="1"/>
  <c r="HK10" i="1"/>
  <c r="HK11" i="1"/>
  <c r="HK12" i="1"/>
  <c r="HK13" i="1"/>
  <c r="HK14" i="1"/>
  <c r="HK15" i="1"/>
  <c r="HK16" i="1"/>
  <c r="HK17" i="1"/>
  <c r="HK18" i="1"/>
  <c r="HK19" i="1"/>
  <c r="HK20" i="1"/>
  <c r="HK21" i="1"/>
  <c r="HK22" i="1"/>
  <c r="HK23" i="1"/>
  <c r="HK24" i="1"/>
  <c r="HK25" i="1"/>
  <c r="HK26" i="1"/>
  <c r="HK27" i="1"/>
  <c r="HK28" i="1"/>
  <c r="HK29" i="1"/>
  <c r="HK30" i="1"/>
  <c r="HK31" i="1"/>
  <c r="HK32" i="1"/>
  <c r="HK33" i="1"/>
  <c r="HK34" i="1"/>
  <c r="HK35" i="1"/>
  <c r="HK36" i="1"/>
  <c r="HK37" i="1"/>
  <c r="HK38" i="1"/>
  <c r="HK39" i="1"/>
  <c r="HK40" i="1"/>
  <c r="JS40" i="1" s="1"/>
  <c r="HK41" i="1"/>
  <c r="HK42" i="1"/>
  <c r="HK43" i="1"/>
  <c r="HK44" i="1"/>
  <c r="HK45" i="1"/>
  <c r="HK46" i="1"/>
  <c r="HK47" i="1"/>
  <c r="HK48" i="1"/>
  <c r="HK49" i="1"/>
  <c r="HK50" i="1"/>
  <c r="HK51" i="1"/>
  <c r="HK52" i="1"/>
  <c r="HK53" i="1"/>
  <c r="HK54" i="1"/>
  <c r="HK55" i="1"/>
  <c r="HK56" i="1"/>
  <c r="HK57" i="1"/>
  <c r="HK58" i="1"/>
  <c r="HK59" i="1"/>
  <c r="HK60" i="1"/>
  <c r="HK61" i="1"/>
  <c r="HK62" i="1"/>
  <c r="HK63" i="1"/>
  <c r="HK64" i="1"/>
  <c r="HK65" i="1"/>
  <c r="HK66" i="1"/>
  <c r="HK67" i="1"/>
  <c r="HK68" i="1"/>
  <c r="HK69" i="1"/>
  <c r="HK70" i="1"/>
  <c r="HK71" i="1"/>
  <c r="HK72" i="1"/>
  <c r="HK73" i="1"/>
  <c r="HK74" i="1"/>
  <c r="HK75" i="1"/>
  <c r="HK76" i="1"/>
  <c r="HK77" i="1"/>
  <c r="HK78" i="1"/>
  <c r="HK79" i="1"/>
  <c r="HK80" i="1"/>
  <c r="HK81" i="1"/>
  <c r="HK82" i="1"/>
  <c r="HK83" i="1"/>
  <c r="HK84" i="1"/>
  <c r="HK85" i="1"/>
  <c r="HK86" i="1"/>
  <c r="HK87" i="1"/>
  <c r="HK88" i="1"/>
  <c r="HJ7" i="1"/>
  <c r="HJ8" i="1"/>
  <c r="HJ9" i="1"/>
  <c r="HJ10" i="1"/>
  <c r="HJ11" i="1"/>
  <c r="HJ12" i="1"/>
  <c r="HJ13" i="1"/>
  <c r="HJ14" i="1"/>
  <c r="HJ15" i="1"/>
  <c r="HJ16" i="1"/>
  <c r="HJ17" i="1"/>
  <c r="HJ18" i="1"/>
  <c r="HJ19" i="1"/>
  <c r="HJ20" i="1"/>
  <c r="HJ21" i="1"/>
  <c r="HJ22" i="1"/>
  <c r="HJ23" i="1"/>
  <c r="HJ24" i="1"/>
  <c r="HJ25" i="1"/>
  <c r="HJ26" i="1"/>
  <c r="HJ27" i="1"/>
  <c r="HJ28" i="1"/>
  <c r="HJ29" i="1"/>
  <c r="HJ30" i="1"/>
  <c r="HJ31" i="1"/>
  <c r="HJ32" i="1"/>
  <c r="HJ33" i="1"/>
  <c r="HJ34" i="1"/>
  <c r="HJ35" i="1"/>
  <c r="HJ36" i="1"/>
  <c r="HJ37" i="1"/>
  <c r="HJ38" i="1"/>
  <c r="HJ39" i="1"/>
  <c r="HJ40" i="1"/>
  <c r="JR40" i="1" s="1"/>
  <c r="HJ41" i="1"/>
  <c r="HJ42" i="1"/>
  <c r="HJ43" i="1"/>
  <c r="HJ44" i="1"/>
  <c r="HJ45" i="1"/>
  <c r="HJ46" i="1"/>
  <c r="HJ47" i="1"/>
  <c r="HJ48" i="1"/>
  <c r="HJ49" i="1"/>
  <c r="HJ50" i="1"/>
  <c r="HJ51" i="1"/>
  <c r="HJ52" i="1"/>
  <c r="HJ53" i="1"/>
  <c r="HJ54" i="1"/>
  <c r="HJ55" i="1"/>
  <c r="HJ56" i="1"/>
  <c r="HJ57" i="1"/>
  <c r="HJ58" i="1"/>
  <c r="HJ59" i="1"/>
  <c r="HJ60" i="1"/>
  <c r="HJ61" i="1"/>
  <c r="HJ62" i="1"/>
  <c r="HJ63" i="1"/>
  <c r="HJ64" i="1"/>
  <c r="HJ65" i="1"/>
  <c r="HJ66" i="1"/>
  <c r="HJ67" i="1"/>
  <c r="HJ68" i="1"/>
  <c r="HJ69" i="1"/>
  <c r="HJ70" i="1"/>
  <c r="HJ71" i="1"/>
  <c r="HJ72" i="1"/>
  <c r="HJ73" i="1"/>
  <c r="HJ74" i="1"/>
  <c r="HJ75" i="1"/>
  <c r="HJ76" i="1"/>
  <c r="HJ77" i="1"/>
  <c r="HJ78" i="1"/>
  <c r="HJ79" i="1"/>
  <c r="HJ80" i="1"/>
  <c r="HJ81" i="1"/>
  <c r="HJ82" i="1"/>
  <c r="HJ83" i="1"/>
  <c r="HJ84" i="1"/>
  <c r="HJ85" i="1"/>
  <c r="HJ86" i="1"/>
  <c r="HJ87" i="1"/>
  <c r="HJ88" i="1"/>
  <c r="HI7" i="1"/>
  <c r="HI8" i="1"/>
  <c r="JQ8" i="1" s="1"/>
  <c r="HI9" i="1"/>
  <c r="JQ9" i="1" s="1"/>
  <c r="HI10" i="1"/>
  <c r="HI11" i="1"/>
  <c r="JQ11" i="1" s="1"/>
  <c r="HI12" i="1"/>
  <c r="JQ12" i="1" s="1"/>
  <c r="HI13" i="1"/>
  <c r="HI14" i="1"/>
  <c r="HI15" i="1"/>
  <c r="HI16" i="1"/>
  <c r="HI17" i="1"/>
  <c r="JQ17" i="1" s="1"/>
  <c r="HI18" i="1"/>
  <c r="HI19" i="1"/>
  <c r="JQ19" i="1" s="1"/>
  <c r="HI20" i="1"/>
  <c r="HI21" i="1"/>
  <c r="HI22" i="1"/>
  <c r="HI23" i="1"/>
  <c r="HI24" i="1"/>
  <c r="JQ24" i="1" s="1"/>
  <c r="HI25" i="1"/>
  <c r="JQ25" i="1" s="1"/>
  <c r="HI26" i="1"/>
  <c r="HI27" i="1"/>
  <c r="JQ27" i="1" s="1"/>
  <c r="HI28" i="1"/>
  <c r="JQ28" i="1" s="1"/>
  <c r="HI29" i="1"/>
  <c r="HI30" i="1"/>
  <c r="HI31" i="1"/>
  <c r="HI32" i="1"/>
  <c r="HI33" i="1"/>
  <c r="JQ33" i="1" s="1"/>
  <c r="HI34" i="1"/>
  <c r="HI35" i="1"/>
  <c r="JQ35" i="1" s="1"/>
  <c r="HI36" i="1"/>
  <c r="HI37" i="1"/>
  <c r="HI38" i="1"/>
  <c r="HI39" i="1"/>
  <c r="HI40" i="1"/>
  <c r="JQ40" i="1" s="1"/>
  <c r="HI41" i="1"/>
  <c r="JQ41" i="1" s="1"/>
  <c r="HI42" i="1"/>
  <c r="HI43" i="1"/>
  <c r="JQ43" i="1" s="1"/>
  <c r="HI44" i="1"/>
  <c r="HI45" i="1"/>
  <c r="HI46" i="1"/>
  <c r="HI47" i="1"/>
  <c r="HI48" i="1"/>
  <c r="JQ48" i="1" s="1"/>
  <c r="HI49" i="1"/>
  <c r="JQ49" i="1" s="1"/>
  <c r="HI50" i="1"/>
  <c r="HI51" i="1"/>
  <c r="JQ51" i="1" s="1"/>
  <c r="HI52" i="1"/>
  <c r="JQ52" i="1" s="1"/>
  <c r="HI53" i="1"/>
  <c r="HI54" i="1"/>
  <c r="HI55" i="1"/>
  <c r="HI56" i="1"/>
  <c r="JQ56" i="1" s="1"/>
  <c r="HI57" i="1"/>
  <c r="JQ57" i="1" s="1"/>
  <c r="HI58" i="1"/>
  <c r="HI59" i="1"/>
  <c r="JQ59" i="1" s="1"/>
  <c r="HI60" i="1"/>
  <c r="HI61" i="1"/>
  <c r="HI62" i="1"/>
  <c r="HI63" i="1"/>
  <c r="HI64" i="1"/>
  <c r="JQ64" i="1" s="1"/>
  <c r="HI65" i="1"/>
  <c r="JQ65" i="1" s="1"/>
  <c r="HI66" i="1"/>
  <c r="HI67" i="1"/>
  <c r="JQ67" i="1" s="1"/>
  <c r="HI68" i="1"/>
  <c r="JQ68" i="1" s="1"/>
  <c r="HI69" i="1"/>
  <c r="HI70" i="1"/>
  <c r="HI71" i="1"/>
  <c r="HI72" i="1"/>
  <c r="JQ72" i="1" s="1"/>
  <c r="HI73" i="1"/>
  <c r="HI74" i="1"/>
  <c r="HI75" i="1"/>
  <c r="JQ75" i="1" s="1"/>
  <c r="HI76" i="1"/>
  <c r="JQ76" i="1" s="1"/>
  <c r="HI77" i="1"/>
  <c r="HI78" i="1"/>
  <c r="HI79" i="1"/>
  <c r="JQ79" i="1" s="1"/>
  <c r="HI80" i="1"/>
  <c r="JQ80" i="1" s="1"/>
  <c r="HI81" i="1"/>
  <c r="JQ81" i="1" s="1"/>
  <c r="HI82" i="1"/>
  <c r="HI83" i="1"/>
  <c r="JQ83" i="1" s="1"/>
  <c r="HI84" i="1"/>
  <c r="JQ84" i="1" s="1"/>
  <c r="HI85" i="1"/>
  <c r="HI86" i="1"/>
  <c r="HI87" i="1"/>
  <c r="HI88" i="1"/>
  <c r="JQ88" i="1" s="1"/>
  <c r="HH7" i="1"/>
  <c r="JP7" i="1" s="1"/>
  <c r="HH8" i="1"/>
  <c r="HH9" i="1"/>
  <c r="JP9" i="1" s="1"/>
  <c r="HH10" i="1"/>
  <c r="JP10" i="1" s="1"/>
  <c r="HH11" i="1"/>
  <c r="HH12" i="1"/>
  <c r="HH13" i="1"/>
  <c r="HH14" i="1"/>
  <c r="JP14" i="1" s="1"/>
  <c r="HH15" i="1"/>
  <c r="JP15" i="1" s="1"/>
  <c r="HH16" i="1"/>
  <c r="HH17" i="1"/>
  <c r="JP17" i="1" s="1"/>
  <c r="HH18" i="1"/>
  <c r="HH19" i="1"/>
  <c r="HH20" i="1"/>
  <c r="HH21" i="1"/>
  <c r="HH22" i="1"/>
  <c r="HH23" i="1"/>
  <c r="JP23" i="1" s="1"/>
  <c r="HH24" i="1"/>
  <c r="HH25" i="1"/>
  <c r="JP25" i="1" s="1"/>
  <c r="HH26" i="1"/>
  <c r="JP26" i="1" s="1"/>
  <c r="HH27" i="1"/>
  <c r="HH28" i="1"/>
  <c r="HH29" i="1"/>
  <c r="HH30" i="1"/>
  <c r="HH31" i="1"/>
  <c r="JP31" i="1" s="1"/>
  <c r="HH32" i="1"/>
  <c r="HH33" i="1"/>
  <c r="JP33" i="1" s="1"/>
  <c r="HH34" i="1"/>
  <c r="JP34" i="1" s="1"/>
  <c r="HH35" i="1"/>
  <c r="HH36" i="1"/>
  <c r="HH37" i="1"/>
  <c r="HH38" i="1"/>
  <c r="JP38" i="1" s="1"/>
  <c r="HH39" i="1"/>
  <c r="HH40" i="1"/>
  <c r="JP40" i="1" s="1"/>
  <c r="HH41" i="1"/>
  <c r="JP41" i="1" s="1"/>
  <c r="HH42" i="1"/>
  <c r="JP42" i="1" s="1"/>
  <c r="HH43" i="1"/>
  <c r="HH44" i="1"/>
  <c r="HH45" i="1"/>
  <c r="HH46" i="1"/>
  <c r="HH47" i="1"/>
  <c r="JP47" i="1" s="1"/>
  <c r="HH48" i="1"/>
  <c r="HH49" i="1"/>
  <c r="JP49" i="1" s="1"/>
  <c r="HH50" i="1"/>
  <c r="JP50" i="1" s="1"/>
  <c r="HH51" i="1"/>
  <c r="HH52" i="1"/>
  <c r="HH53" i="1"/>
  <c r="HH54" i="1"/>
  <c r="JP54" i="1" s="1"/>
  <c r="HH55" i="1"/>
  <c r="HH56" i="1"/>
  <c r="HH57" i="1"/>
  <c r="JP57" i="1" s="1"/>
  <c r="HH58" i="1"/>
  <c r="JP58" i="1" s="1"/>
  <c r="HH59" i="1"/>
  <c r="HH60" i="1"/>
  <c r="HH61" i="1"/>
  <c r="HH62" i="1"/>
  <c r="HH63" i="1"/>
  <c r="JP63" i="1" s="1"/>
  <c r="HH64" i="1"/>
  <c r="HH65" i="1"/>
  <c r="JP65" i="1" s="1"/>
  <c r="HH66" i="1"/>
  <c r="JP66" i="1" s="1"/>
  <c r="HH67" i="1"/>
  <c r="HH68" i="1"/>
  <c r="HH69" i="1"/>
  <c r="HH70" i="1"/>
  <c r="JP70" i="1" s="1"/>
  <c r="HH71" i="1"/>
  <c r="JP71" i="1" s="1"/>
  <c r="HH72" i="1"/>
  <c r="HH73" i="1"/>
  <c r="HH74" i="1"/>
  <c r="JP74" i="1" s="1"/>
  <c r="HH75" i="1"/>
  <c r="HH76" i="1"/>
  <c r="HH77" i="1"/>
  <c r="HH78" i="1"/>
  <c r="JP78" i="1" s="1"/>
  <c r="HH79" i="1"/>
  <c r="JP79" i="1" s="1"/>
  <c r="HH80" i="1"/>
  <c r="HH81" i="1"/>
  <c r="JP81" i="1" s="1"/>
  <c r="HH82" i="1"/>
  <c r="JP82" i="1" s="1"/>
  <c r="HH83" i="1"/>
  <c r="HH84" i="1"/>
  <c r="HH85" i="1"/>
  <c r="HH86" i="1"/>
  <c r="HH87" i="1"/>
  <c r="HH88" i="1"/>
  <c r="HG88" i="1"/>
  <c r="HF88" i="1"/>
  <c r="HG87" i="1"/>
  <c r="HF87" i="1"/>
  <c r="HG86" i="1"/>
  <c r="HF86" i="1"/>
  <c r="HG85" i="1"/>
  <c r="HF85" i="1"/>
  <c r="HG84" i="1"/>
  <c r="HF84" i="1"/>
  <c r="HG83" i="1"/>
  <c r="HF83" i="1"/>
  <c r="HG82" i="1"/>
  <c r="HF82" i="1"/>
  <c r="HG81" i="1"/>
  <c r="HF81" i="1"/>
  <c r="HG80" i="1"/>
  <c r="HF80" i="1"/>
  <c r="HG79" i="1"/>
  <c r="HF79" i="1"/>
  <c r="HG78" i="1"/>
  <c r="HF78" i="1"/>
  <c r="HG77" i="1"/>
  <c r="HF77" i="1"/>
  <c r="HG76" i="1"/>
  <c r="HF76" i="1"/>
  <c r="HG75" i="1"/>
  <c r="HF75" i="1"/>
  <c r="HG74" i="1"/>
  <c r="HF74" i="1"/>
  <c r="HG73" i="1"/>
  <c r="HF73" i="1"/>
  <c r="HG72" i="1"/>
  <c r="HF72" i="1"/>
  <c r="HG71" i="1"/>
  <c r="HF71" i="1"/>
  <c r="HG70" i="1"/>
  <c r="HF70" i="1"/>
  <c r="HG69" i="1"/>
  <c r="HF69" i="1"/>
  <c r="HG68" i="1"/>
  <c r="HF68" i="1"/>
  <c r="HG67" i="1"/>
  <c r="HF67" i="1"/>
  <c r="HG66" i="1"/>
  <c r="HF66" i="1"/>
  <c r="HG65" i="1"/>
  <c r="HF65" i="1"/>
  <c r="HG64" i="1"/>
  <c r="HF64" i="1"/>
  <c r="HG63" i="1"/>
  <c r="HF63" i="1"/>
  <c r="HG62" i="1"/>
  <c r="HF62" i="1"/>
  <c r="HG61" i="1"/>
  <c r="HF61" i="1"/>
  <c r="HG60" i="1"/>
  <c r="HF60" i="1"/>
  <c r="HG59" i="1"/>
  <c r="HF59" i="1"/>
  <c r="HG58" i="1"/>
  <c r="HF58" i="1"/>
  <c r="HG57" i="1"/>
  <c r="HF57" i="1"/>
  <c r="HG56" i="1"/>
  <c r="HF56" i="1"/>
  <c r="HG55" i="1"/>
  <c r="HF55" i="1"/>
  <c r="HG54" i="1"/>
  <c r="HF54" i="1"/>
  <c r="HG53" i="1"/>
  <c r="HF53" i="1"/>
  <c r="HG52" i="1"/>
  <c r="HF52" i="1"/>
  <c r="HG51" i="1"/>
  <c r="HF51" i="1"/>
  <c r="HG50" i="1"/>
  <c r="HF50" i="1"/>
  <c r="HG49" i="1"/>
  <c r="HF49" i="1"/>
  <c r="HG48" i="1"/>
  <c r="HF48" i="1"/>
  <c r="HG47" i="1"/>
  <c r="HF47" i="1"/>
  <c r="HG46" i="1"/>
  <c r="HF46" i="1"/>
  <c r="HG45" i="1"/>
  <c r="HF45" i="1"/>
  <c r="HG44" i="1"/>
  <c r="HF44" i="1"/>
  <c r="HG43" i="1"/>
  <c r="HF43" i="1"/>
  <c r="HG42" i="1"/>
  <c r="HF42" i="1"/>
  <c r="HG41" i="1"/>
  <c r="HF41" i="1"/>
  <c r="HG40" i="1"/>
  <c r="HF40" i="1"/>
  <c r="HG39" i="1"/>
  <c r="HF39" i="1"/>
  <c r="HG38" i="1"/>
  <c r="HF38" i="1"/>
  <c r="HG37" i="1"/>
  <c r="HF37" i="1"/>
  <c r="HG36" i="1"/>
  <c r="HF36" i="1"/>
  <c r="HG35" i="1"/>
  <c r="HF35" i="1"/>
  <c r="HG34" i="1"/>
  <c r="HF34" i="1"/>
  <c r="HG33" i="1"/>
  <c r="HF33" i="1"/>
  <c r="HG32" i="1"/>
  <c r="HF32" i="1"/>
  <c r="HG31" i="1"/>
  <c r="HF31" i="1"/>
  <c r="HG30" i="1"/>
  <c r="HF30" i="1"/>
  <c r="HG29" i="1"/>
  <c r="HF29" i="1"/>
  <c r="HG28" i="1"/>
  <c r="HF28" i="1"/>
  <c r="HG27" i="1"/>
  <c r="HF27" i="1"/>
  <c r="HG26" i="1"/>
  <c r="HF26" i="1"/>
  <c r="HG25" i="1"/>
  <c r="HF25" i="1"/>
  <c r="HG24" i="1"/>
  <c r="HF24" i="1"/>
  <c r="HG23" i="1"/>
  <c r="HF23" i="1"/>
  <c r="HG22" i="1"/>
  <c r="HF22" i="1"/>
  <c r="HG21" i="1"/>
  <c r="HF21" i="1"/>
  <c r="HG20" i="1"/>
  <c r="HF20" i="1"/>
  <c r="HG19" i="1"/>
  <c r="HF19" i="1"/>
  <c r="HG18" i="1"/>
  <c r="HF18" i="1"/>
  <c r="HG17" i="1"/>
  <c r="HF17" i="1"/>
  <c r="HG16" i="1"/>
  <c r="HF16" i="1"/>
  <c r="HG15" i="1"/>
  <c r="HF15" i="1"/>
  <c r="HG14" i="1"/>
  <c r="HF14" i="1"/>
  <c r="HG13" i="1"/>
  <c r="HF13" i="1"/>
  <c r="HG12" i="1"/>
  <c r="HF12" i="1"/>
  <c r="HG11" i="1"/>
  <c r="HF11" i="1"/>
  <c r="HG10" i="1"/>
  <c r="HF10" i="1"/>
  <c r="HG9" i="1"/>
  <c r="HF9" i="1"/>
  <c r="HG8" i="1"/>
  <c r="HF8" i="1"/>
  <c r="HG7" i="1"/>
  <c r="HF7" i="1"/>
  <c r="HE88" i="1"/>
  <c r="HE87" i="1"/>
  <c r="JM87" i="1" s="1"/>
  <c r="HE86" i="1"/>
  <c r="JM86" i="1" s="1"/>
  <c r="HE85" i="1"/>
  <c r="JM85" i="1" s="1"/>
  <c r="HE84" i="1"/>
  <c r="JM84" i="1" s="1"/>
  <c r="HE83" i="1"/>
  <c r="HE82" i="1"/>
  <c r="HE81" i="1"/>
  <c r="HE80" i="1"/>
  <c r="HE79" i="1"/>
  <c r="JM79" i="1" s="1"/>
  <c r="HE78" i="1"/>
  <c r="JM78" i="1" s="1"/>
  <c r="HE77" i="1"/>
  <c r="JM77" i="1" s="1"/>
  <c r="HE76" i="1"/>
  <c r="JM76" i="1" s="1"/>
  <c r="HE75" i="1"/>
  <c r="JM75" i="1" s="1"/>
  <c r="HE74" i="1"/>
  <c r="HE73" i="1"/>
  <c r="HE72" i="1"/>
  <c r="HE71" i="1"/>
  <c r="JM71" i="1" s="1"/>
  <c r="HE70" i="1"/>
  <c r="JM70" i="1" s="1"/>
  <c r="HE69" i="1"/>
  <c r="JM69" i="1" s="1"/>
  <c r="HE68" i="1"/>
  <c r="JM68" i="1" s="1"/>
  <c r="HE67" i="1"/>
  <c r="JM67" i="1" s="1"/>
  <c r="HE66" i="1"/>
  <c r="HE65" i="1"/>
  <c r="HE64" i="1"/>
  <c r="HE63" i="1"/>
  <c r="HE62" i="1"/>
  <c r="JM62" i="1" s="1"/>
  <c r="HE61" i="1"/>
  <c r="JM61" i="1" s="1"/>
  <c r="HE60" i="1"/>
  <c r="JM60" i="1" s="1"/>
  <c r="HE59" i="1"/>
  <c r="JM59" i="1" s="1"/>
  <c r="HE58" i="1"/>
  <c r="HE57" i="1"/>
  <c r="HE56" i="1"/>
  <c r="HE55" i="1"/>
  <c r="HE54" i="1"/>
  <c r="JM54" i="1" s="1"/>
  <c r="HE53" i="1"/>
  <c r="JM53" i="1" s="1"/>
  <c r="HE52" i="1"/>
  <c r="JM52" i="1" s="1"/>
  <c r="HE51" i="1"/>
  <c r="JM51" i="1" s="1"/>
  <c r="HE50" i="1"/>
  <c r="HE49" i="1"/>
  <c r="HE48" i="1"/>
  <c r="HE47" i="1"/>
  <c r="JM47" i="1" s="1"/>
  <c r="HE46" i="1"/>
  <c r="JM46" i="1" s="1"/>
  <c r="HE45" i="1"/>
  <c r="JM45" i="1" s="1"/>
  <c r="HE44" i="1"/>
  <c r="JM44" i="1" s="1"/>
  <c r="HE43" i="1"/>
  <c r="JM43" i="1" s="1"/>
  <c r="HE42" i="1"/>
  <c r="HE41" i="1"/>
  <c r="HE40" i="1"/>
  <c r="HE39" i="1"/>
  <c r="HE38" i="1"/>
  <c r="JM38" i="1" s="1"/>
  <c r="HE37" i="1"/>
  <c r="JM37" i="1" s="1"/>
  <c r="HE36" i="1"/>
  <c r="HE35" i="1"/>
  <c r="JM35" i="1" s="1"/>
  <c r="HE34" i="1"/>
  <c r="HE33" i="1"/>
  <c r="HE32" i="1"/>
  <c r="HE31" i="1"/>
  <c r="JM31" i="1" s="1"/>
  <c r="HE30" i="1"/>
  <c r="HE29" i="1"/>
  <c r="JM29" i="1" s="1"/>
  <c r="HE28" i="1"/>
  <c r="JM28" i="1" s="1"/>
  <c r="HE27" i="1"/>
  <c r="JM27" i="1" s="1"/>
  <c r="HE26" i="1"/>
  <c r="HE25" i="1"/>
  <c r="HE24" i="1"/>
  <c r="HE23" i="1"/>
  <c r="JM23" i="1" s="1"/>
  <c r="HE22" i="1"/>
  <c r="HE21" i="1"/>
  <c r="JM21" i="1" s="1"/>
  <c r="HE20" i="1"/>
  <c r="JM20" i="1" s="1"/>
  <c r="HE19" i="1"/>
  <c r="JM19" i="1" s="1"/>
  <c r="HE18" i="1"/>
  <c r="HE17" i="1"/>
  <c r="HE16" i="1"/>
  <c r="HE15" i="1"/>
  <c r="JM15" i="1" s="1"/>
  <c r="HE14" i="1"/>
  <c r="JM14" i="1" s="1"/>
  <c r="HE13" i="1"/>
  <c r="HE12" i="1"/>
  <c r="JM12" i="1" s="1"/>
  <c r="HE11" i="1"/>
  <c r="JM11" i="1" s="1"/>
  <c r="HE10" i="1"/>
  <c r="HE9" i="1"/>
  <c r="HE8" i="1"/>
  <c r="HE7" i="1"/>
  <c r="JM7" i="1" s="1"/>
  <c r="HA7" i="1"/>
  <c r="HD7" i="1"/>
  <c r="HD8" i="1"/>
  <c r="JL8" i="1" s="1"/>
  <c r="HD9" i="1"/>
  <c r="HD10" i="1"/>
  <c r="JL10" i="1" s="1"/>
  <c r="HD11" i="1"/>
  <c r="JL11" i="1" s="1"/>
  <c r="HD12" i="1"/>
  <c r="JL12" i="1" s="1"/>
  <c r="HD13" i="1"/>
  <c r="HD14" i="1"/>
  <c r="JL14" i="1" s="1"/>
  <c r="HD15" i="1"/>
  <c r="HD16" i="1"/>
  <c r="JL16" i="1" s="1"/>
  <c r="HD17" i="1"/>
  <c r="HD18" i="1"/>
  <c r="JL18" i="1" s="1"/>
  <c r="HD19" i="1"/>
  <c r="JL19" i="1" s="1"/>
  <c r="HD20" i="1"/>
  <c r="JL20" i="1" s="1"/>
  <c r="HD21" i="1"/>
  <c r="HD22" i="1"/>
  <c r="HD23" i="1"/>
  <c r="HD24" i="1"/>
  <c r="JL24" i="1" s="1"/>
  <c r="HD25" i="1"/>
  <c r="HD26" i="1"/>
  <c r="JL26" i="1" s="1"/>
  <c r="HD27" i="1"/>
  <c r="JL27" i="1" s="1"/>
  <c r="HD28" i="1"/>
  <c r="JL28" i="1" s="1"/>
  <c r="HD29" i="1"/>
  <c r="HD30" i="1"/>
  <c r="HD31" i="1"/>
  <c r="HD32" i="1"/>
  <c r="HD33" i="1"/>
  <c r="HD34" i="1"/>
  <c r="JL34" i="1" s="1"/>
  <c r="HD35" i="1"/>
  <c r="JL35" i="1" s="1"/>
  <c r="HD36" i="1"/>
  <c r="HD37" i="1"/>
  <c r="HD38" i="1"/>
  <c r="JL38" i="1" s="1"/>
  <c r="HD39" i="1"/>
  <c r="HD40" i="1"/>
  <c r="JL40" i="1" s="1"/>
  <c r="HD41" i="1"/>
  <c r="HD42" i="1"/>
  <c r="JL42" i="1" s="1"/>
  <c r="HD43" i="1"/>
  <c r="JL43" i="1" s="1"/>
  <c r="HD44" i="1"/>
  <c r="JL44" i="1" s="1"/>
  <c r="HD45" i="1"/>
  <c r="HD46" i="1"/>
  <c r="JL46" i="1" s="1"/>
  <c r="HD47" i="1"/>
  <c r="HD48" i="1"/>
  <c r="JL48" i="1" s="1"/>
  <c r="HD49" i="1"/>
  <c r="HD50" i="1"/>
  <c r="JL50" i="1" s="1"/>
  <c r="HD51" i="1"/>
  <c r="JL51" i="1" s="1"/>
  <c r="HD52" i="1"/>
  <c r="JL52" i="1" s="1"/>
  <c r="HD53" i="1"/>
  <c r="HD54" i="1"/>
  <c r="JL54" i="1" s="1"/>
  <c r="HD55" i="1"/>
  <c r="HD56" i="1"/>
  <c r="JL56" i="1" s="1"/>
  <c r="HD57" i="1"/>
  <c r="HD58" i="1"/>
  <c r="JL58" i="1" s="1"/>
  <c r="HD59" i="1"/>
  <c r="JL59" i="1" s="1"/>
  <c r="HD60" i="1"/>
  <c r="JL60" i="1" s="1"/>
  <c r="HD61" i="1"/>
  <c r="HD62" i="1"/>
  <c r="JL62" i="1" s="1"/>
  <c r="HD63" i="1"/>
  <c r="HD64" i="1"/>
  <c r="JL64" i="1" s="1"/>
  <c r="HD65" i="1"/>
  <c r="HD66" i="1"/>
  <c r="JL66" i="1" s="1"/>
  <c r="HD67" i="1"/>
  <c r="JL67" i="1" s="1"/>
  <c r="HD68" i="1"/>
  <c r="JL68" i="1" s="1"/>
  <c r="HD69" i="1"/>
  <c r="HD70" i="1"/>
  <c r="JL70" i="1" s="1"/>
  <c r="HD71" i="1"/>
  <c r="HD72" i="1"/>
  <c r="JL72" i="1" s="1"/>
  <c r="HD73" i="1"/>
  <c r="HD74" i="1"/>
  <c r="JL74" i="1" s="1"/>
  <c r="HD75" i="1"/>
  <c r="JL75" i="1" s="1"/>
  <c r="HD76" i="1"/>
  <c r="JL76" i="1" s="1"/>
  <c r="HD77" i="1"/>
  <c r="HD78" i="1"/>
  <c r="JL78" i="1" s="1"/>
  <c r="HD79" i="1"/>
  <c r="JL79" i="1" s="1"/>
  <c r="HD80" i="1"/>
  <c r="JL80" i="1" s="1"/>
  <c r="HD81" i="1"/>
  <c r="HD82" i="1"/>
  <c r="JL82" i="1" s="1"/>
  <c r="HD83" i="1"/>
  <c r="HD84" i="1"/>
  <c r="JL84" i="1" s="1"/>
  <c r="HD85" i="1"/>
  <c r="HD86" i="1"/>
  <c r="JL86" i="1" s="1"/>
  <c r="HD87" i="1"/>
  <c r="HD88" i="1"/>
  <c r="JL88" i="1" s="1"/>
  <c r="HC7" i="1"/>
  <c r="HC8" i="1"/>
  <c r="HC9" i="1"/>
  <c r="HC10" i="1"/>
  <c r="HC11" i="1"/>
  <c r="HC12" i="1"/>
  <c r="HC13" i="1"/>
  <c r="HC14" i="1"/>
  <c r="HC15" i="1"/>
  <c r="HC16" i="1"/>
  <c r="HC17" i="1"/>
  <c r="HC18" i="1"/>
  <c r="JK18" i="1" s="1"/>
  <c r="HC19" i="1"/>
  <c r="HC20" i="1"/>
  <c r="HC21" i="1"/>
  <c r="HC22" i="1"/>
  <c r="HC23" i="1"/>
  <c r="HC24" i="1"/>
  <c r="HC25" i="1"/>
  <c r="HC26" i="1"/>
  <c r="HC27" i="1"/>
  <c r="HC28" i="1"/>
  <c r="HC29" i="1"/>
  <c r="HC30" i="1"/>
  <c r="HC31" i="1"/>
  <c r="HC32" i="1"/>
  <c r="HC33" i="1"/>
  <c r="HC34" i="1"/>
  <c r="HC35" i="1"/>
  <c r="HC36" i="1"/>
  <c r="HC37" i="1"/>
  <c r="HC38" i="1"/>
  <c r="HC39" i="1"/>
  <c r="HC40" i="1"/>
  <c r="HC41" i="1"/>
  <c r="HC42" i="1"/>
  <c r="HC43" i="1"/>
  <c r="HC44" i="1"/>
  <c r="HC45" i="1"/>
  <c r="HC46" i="1"/>
  <c r="HC47" i="1"/>
  <c r="HC48" i="1"/>
  <c r="HC49" i="1"/>
  <c r="HC50" i="1"/>
  <c r="HC51" i="1"/>
  <c r="HC52" i="1"/>
  <c r="HC53" i="1"/>
  <c r="HC54" i="1"/>
  <c r="HC55" i="1"/>
  <c r="HC56" i="1"/>
  <c r="HC57" i="1"/>
  <c r="HC58" i="1"/>
  <c r="HC59" i="1"/>
  <c r="HC60" i="1"/>
  <c r="JK60" i="1" s="1"/>
  <c r="HC61" i="1"/>
  <c r="HC62" i="1"/>
  <c r="HC63" i="1"/>
  <c r="HC64" i="1"/>
  <c r="HC65" i="1"/>
  <c r="HC66" i="1"/>
  <c r="HC67" i="1"/>
  <c r="HC68" i="1"/>
  <c r="HC69" i="1"/>
  <c r="HC70" i="1"/>
  <c r="HC71" i="1"/>
  <c r="HC72" i="1"/>
  <c r="HC73" i="1"/>
  <c r="HC74" i="1"/>
  <c r="HC75" i="1"/>
  <c r="HC76" i="1"/>
  <c r="HC77" i="1"/>
  <c r="HC78" i="1"/>
  <c r="HC79" i="1"/>
  <c r="HC80" i="1"/>
  <c r="HC81" i="1"/>
  <c r="HC82" i="1"/>
  <c r="HC83" i="1"/>
  <c r="HC84" i="1"/>
  <c r="HC85" i="1"/>
  <c r="HC86" i="1"/>
  <c r="HC87" i="1"/>
  <c r="HC88" i="1"/>
  <c r="HB7" i="1"/>
  <c r="HB8" i="1"/>
  <c r="HB9" i="1"/>
  <c r="HB10" i="1"/>
  <c r="HB11" i="1"/>
  <c r="HB12" i="1"/>
  <c r="HB13" i="1"/>
  <c r="HB14" i="1"/>
  <c r="HB15" i="1"/>
  <c r="HB16" i="1"/>
  <c r="HB17" i="1"/>
  <c r="HB18" i="1"/>
  <c r="JJ18" i="1" s="1"/>
  <c r="HB19" i="1"/>
  <c r="HB20" i="1"/>
  <c r="HB21" i="1"/>
  <c r="HB22" i="1"/>
  <c r="HB23" i="1"/>
  <c r="HB24" i="1"/>
  <c r="HB25" i="1"/>
  <c r="HB26" i="1"/>
  <c r="HB27" i="1"/>
  <c r="HB28" i="1"/>
  <c r="HB29" i="1"/>
  <c r="HB30" i="1"/>
  <c r="HB31" i="1"/>
  <c r="HB32" i="1"/>
  <c r="HB33" i="1"/>
  <c r="HB34" i="1"/>
  <c r="HB35" i="1"/>
  <c r="HB36" i="1"/>
  <c r="HB37" i="1"/>
  <c r="HB38" i="1"/>
  <c r="HB39" i="1"/>
  <c r="HB40" i="1"/>
  <c r="HB41" i="1"/>
  <c r="HB42" i="1"/>
  <c r="HB43" i="1"/>
  <c r="HB44" i="1"/>
  <c r="HB45" i="1"/>
  <c r="HB46" i="1"/>
  <c r="HB47" i="1"/>
  <c r="HB48" i="1"/>
  <c r="HB49" i="1"/>
  <c r="HB50" i="1"/>
  <c r="HB51" i="1"/>
  <c r="HB52" i="1"/>
  <c r="HB53" i="1"/>
  <c r="HB54" i="1"/>
  <c r="HB55" i="1"/>
  <c r="HB56" i="1"/>
  <c r="HB57" i="1"/>
  <c r="HB58" i="1"/>
  <c r="HB59" i="1"/>
  <c r="HB60" i="1"/>
  <c r="JJ60" i="1" s="1"/>
  <c r="HB61" i="1"/>
  <c r="HB62" i="1"/>
  <c r="HB63" i="1"/>
  <c r="HB64" i="1"/>
  <c r="HB65" i="1"/>
  <c r="HB66" i="1"/>
  <c r="HB67" i="1"/>
  <c r="HB68" i="1"/>
  <c r="HB69" i="1"/>
  <c r="HB70" i="1"/>
  <c r="HB71" i="1"/>
  <c r="HB72" i="1"/>
  <c r="HB73" i="1"/>
  <c r="HB74" i="1"/>
  <c r="HB75" i="1"/>
  <c r="HB76" i="1"/>
  <c r="HB77" i="1"/>
  <c r="HB78" i="1"/>
  <c r="HB79" i="1"/>
  <c r="HB80" i="1"/>
  <c r="HB81" i="1"/>
  <c r="HB82" i="1"/>
  <c r="HB83" i="1"/>
  <c r="HB84" i="1"/>
  <c r="HB85" i="1"/>
  <c r="HB86" i="1"/>
  <c r="HB87" i="1"/>
  <c r="HB88" i="1"/>
  <c r="HA8" i="1"/>
  <c r="JI8" i="1" s="1"/>
  <c r="HA9" i="1"/>
  <c r="HA10" i="1"/>
  <c r="JI10" i="1" s="1"/>
  <c r="HA11" i="1"/>
  <c r="JI11" i="1" s="1"/>
  <c r="HA12" i="1"/>
  <c r="HA13" i="1"/>
  <c r="HA14" i="1"/>
  <c r="HA15" i="1"/>
  <c r="JI15" i="1" s="1"/>
  <c r="HA16" i="1"/>
  <c r="JI16" i="1" s="1"/>
  <c r="HA17" i="1"/>
  <c r="HA18" i="1"/>
  <c r="JI18" i="1" s="1"/>
  <c r="HA19" i="1"/>
  <c r="JI19" i="1" s="1"/>
  <c r="HA20" i="1"/>
  <c r="HA21" i="1"/>
  <c r="HA22" i="1"/>
  <c r="HA23" i="1"/>
  <c r="JI23" i="1" s="1"/>
  <c r="HA24" i="1"/>
  <c r="HA25" i="1"/>
  <c r="HA26" i="1"/>
  <c r="HA27" i="1"/>
  <c r="HA28" i="1"/>
  <c r="HA29" i="1"/>
  <c r="HA30" i="1"/>
  <c r="HA31" i="1"/>
  <c r="JI31" i="1" s="1"/>
  <c r="HA32" i="1"/>
  <c r="HA33" i="1"/>
  <c r="HA34" i="1"/>
  <c r="JI34" i="1" s="1"/>
  <c r="HA35" i="1"/>
  <c r="HA36" i="1"/>
  <c r="HA37" i="1"/>
  <c r="HA38" i="1"/>
  <c r="HA39" i="1"/>
  <c r="HA40" i="1"/>
  <c r="JI40" i="1" s="1"/>
  <c r="HA41" i="1"/>
  <c r="HA42" i="1"/>
  <c r="HA43" i="1"/>
  <c r="JI43" i="1" s="1"/>
  <c r="HA44" i="1"/>
  <c r="HA45" i="1"/>
  <c r="HA46" i="1"/>
  <c r="HA47" i="1"/>
  <c r="JI47" i="1" s="1"/>
  <c r="HA48" i="1"/>
  <c r="JI48" i="1" s="1"/>
  <c r="HA49" i="1"/>
  <c r="HA50" i="1"/>
  <c r="JI50" i="1" s="1"/>
  <c r="HA51" i="1"/>
  <c r="JI51" i="1" s="1"/>
  <c r="HA52" i="1"/>
  <c r="HA53" i="1"/>
  <c r="HA54" i="1"/>
  <c r="HA55" i="1"/>
  <c r="HA56" i="1"/>
  <c r="JI56" i="1" s="1"/>
  <c r="HA57" i="1"/>
  <c r="HA58" i="1"/>
  <c r="JI58" i="1" s="1"/>
  <c r="HA59" i="1"/>
  <c r="JI59" i="1" s="1"/>
  <c r="HA60" i="1"/>
  <c r="JI60" i="1" s="1"/>
  <c r="HA61" i="1"/>
  <c r="HA62" i="1"/>
  <c r="HA63" i="1"/>
  <c r="HA64" i="1"/>
  <c r="JI64" i="1" s="1"/>
  <c r="HA65" i="1"/>
  <c r="HA66" i="1"/>
  <c r="HA67" i="1"/>
  <c r="JI67" i="1" s="1"/>
  <c r="HA68" i="1"/>
  <c r="HA69" i="1"/>
  <c r="HA70" i="1"/>
  <c r="HA71" i="1"/>
  <c r="JI71" i="1" s="1"/>
  <c r="HA72" i="1"/>
  <c r="JI72" i="1" s="1"/>
  <c r="HA73" i="1"/>
  <c r="HA74" i="1"/>
  <c r="JI74" i="1" s="1"/>
  <c r="HA75" i="1"/>
  <c r="JI75" i="1" s="1"/>
  <c r="HA76" i="1"/>
  <c r="HA77" i="1"/>
  <c r="HA78" i="1"/>
  <c r="JI78" i="1" s="1"/>
  <c r="HA79" i="1"/>
  <c r="JI79" i="1" s="1"/>
  <c r="HA80" i="1"/>
  <c r="JI80" i="1" s="1"/>
  <c r="HA81" i="1"/>
  <c r="HA82" i="1"/>
  <c r="JI82" i="1" s="1"/>
  <c r="HA83" i="1"/>
  <c r="HA84" i="1"/>
  <c r="HA85" i="1"/>
  <c r="HA86" i="1"/>
  <c r="JI86" i="1" s="1"/>
  <c r="HA87" i="1"/>
  <c r="JI87" i="1" s="1"/>
  <c r="HA88" i="1"/>
  <c r="JI88" i="1" s="1"/>
  <c r="GZ7" i="1"/>
  <c r="GZ8" i="1"/>
  <c r="JH8" i="1" s="1"/>
  <c r="GZ9" i="1"/>
  <c r="JH9" i="1" s="1"/>
  <c r="GZ10" i="1"/>
  <c r="GZ11" i="1"/>
  <c r="GZ12" i="1"/>
  <c r="JH12" i="1" s="1"/>
  <c r="GZ13" i="1"/>
  <c r="GZ14" i="1"/>
  <c r="JH14" i="1" s="1"/>
  <c r="GZ15" i="1"/>
  <c r="GZ16" i="1"/>
  <c r="JH16" i="1" s="1"/>
  <c r="GZ17" i="1"/>
  <c r="JH17" i="1" s="1"/>
  <c r="GZ18" i="1"/>
  <c r="JH18" i="1" s="1"/>
  <c r="GZ19" i="1"/>
  <c r="GZ20" i="1"/>
  <c r="GZ21" i="1"/>
  <c r="JH21" i="1" s="1"/>
  <c r="GZ22" i="1"/>
  <c r="GZ23" i="1"/>
  <c r="GZ24" i="1"/>
  <c r="GZ25" i="1"/>
  <c r="JH25" i="1" s="1"/>
  <c r="GZ26" i="1"/>
  <c r="GZ27" i="1"/>
  <c r="GZ28" i="1"/>
  <c r="GZ29" i="1"/>
  <c r="JH29" i="1" s="1"/>
  <c r="GZ30" i="1"/>
  <c r="GZ31" i="1"/>
  <c r="GZ32" i="1"/>
  <c r="GZ33" i="1"/>
  <c r="JH33" i="1" s="1"/>
  <c r="GZ34" i="1"/>
  <c r="GZ35" i="1"/>
  <c r="GZ36" i="1"/>
  <c r="GZ37" i="1"/>
  <c r="JH37" i="1" s="1"/>
  <c r="GZ38" i="1"/>
  <c r="JH38" i="1" s="1"/>
  <c r="GZ39" i="1"/>
  <c r="GZ40" i="1"/>
  <c r="JH40" i="1" s="1"/>
  <c r="GZ41" i="1"/>
  <c r="JH41" i="1" s="1"/>
  <c r="GZ42" i="1"/>
  <c r="GZ43" i="1"/>
  <c r="GZ44" i="1"/>
  <c r="JH44" i="1" s="1"/>
  <c r="GZ45" i="1"/>
  <c r="JH45" i="1" s="1"/>
  <c r="GZ46" i="1"/>
  <c r="JH46" i="1" s="1"/>
  <c r="GZ47" i="1"/>
  <c r="GZ48" i="1"/>
  <c r="JH48" i="1" s="1"/>
  <c r="GZ49" i="1"/>
  <c r="JH49" i="1" s="1"/>
  <c r="GZ50" i="1"/>
  <c r="GZ51" i="1"/>
  <c r="GZ52" i="1"/>
  <c r="JH52" i="1" s="1"/>
  <c r="GZ53" i="1"/>
  <c r="JH53" i="1" s="1"/>
  <c r="GZ54" i="1"/>
  <c r="GZ55" i="1"/>
  <c r="GZ56" i="1"/>
  <c r="JH56" i="1" s="1"/>
  <c r="GZ57" i="1"/>
  <c r="JH57" i="1" s="1"/>
  <c r="GZ58" i="1"/>
  <c r="GZ59" i="1"/>
  <c r="GZ60" i="1"/>
  <c r="JH60" i="1" s="1"/>
  <c r="GZ61" i="1"/>
  <c r="GZ62" i="1"/>
  <c r="GZ63" i="1"/>
  <c r="GZ64" i="1"/>
  <c r="JH64" i="1" s="1"/>
  <c r="GZ65" i="1"/>
  <c r="JH65" i="1" s="1"/>
  <c r="GZ66" i="1"/>
  <c r="GZ67" i="1"/>
  <c r="GZ68" i="1"/>
  <c r="JH68" i="1" s="1"/>
  <c r="GZ69" i="1"/>
  <c r="JH69" i="1" s="1"/>
  <c r="GZ70" i="1"/>
  <c r="JH70" i="1" s="1"/>
  <c r="GZ71" i="1"/>
  <c r="GZ72" i="1"/>
  <c r="JH72" i="1" s="1"/>
  <c r="GZ73" i="1"/>
  <c r="JH73" i="1" s="1"/>
  <c r="GZ74" i="1"/>
  <c r="GZ75" i="1"/>
  <c r="GZ76" i="1"/>
  <c r="JH76" i="1" s="1"/>
  <c r="GZ77" i="1"/>
  <c r="JH77" i="1" s="1"/>
  <c r="GZ78" i="1"/>
  <c r="JH78" i="1" s="1"/>
  <c r="GZ79" i="1"/>
  <c r="JH79" i="1" s="1"/>
  <c r="GZ80" i="1"/>
  <c r="JH80" i="1" s="1"/>
  <c r="GZ81" i="1"/>
  <c r="JH81" i="1" s="1"/>
  <c r="GZ82" i="1"/>
  <c r="GZ83" i="1"/>
  <c r="GZ84" i="1"/>
  <c r="JH84" i="1" s="1"/>
  <c r="GZ85" i="1"/>
  <c r="JH85" i="1" s="1"/>
  <c r="GZ86" i="1"/>
  <c r="JH86" i="1" s="1"/>
  <c r="GZ87" i="1"/>
  <c r="GZ88" i="1"/>
  <c r="JH88" i="1" s="1"/>
  <c r="GY7" i="1"/>
  <c r="GY8" i="1"/>
  <c r="GY9" i="1"/>
  <c r="GY10" i="1"/>
  <c r="GY11" i="1"/>
  <c r="GY12" i="1"/>
  <c r="GY13" i="1"/>
  <c r="GY14" i="1"/>
  <c r="GY15" i="1"/>
  <c r="GY16" i="1"/>
  <c r="JG16" i="1" s="1"/>
  <c r="GY17" i="1"/>
  <c r="GY18" i="1"/>
  <c r="GY19" i="1"/>
  <c r="GY20" i="1"/>
  <c r="GY21" i="1"/>
  <c r="GY22" i="1"/>
  <c r="GY23" i="1"/>
  <c r="GY24" i="1"/>
  <c r="GY25" i="1"/>
  <c r="GY26" i="1"/>
  <c r="GY27" i="1"/>
  <c r="GY28" i="1"/>
  <c r="GY29" i="1"/>
  <c r="GY30" i="1"/>
  <c r="GY31" i="1"/>
  <c r="GY32" i="1"/>
  <c r="GY33" i="1"/>
  <c r="GY34" i="1"/>
  <c r="GY35" i="1"/>
  <c r="GY36" i="1"/>
  <c r="GY37" i="1"/>
  <c r="GY38" i="1"/>
  <c r="GY39" i="1"/>
  <c r="GY40" i="1"/>
  <c r="GY41" i="1"/>
  <c r="GY42" i="1"/>
  <c r="GY43" i="1"/>
  <c r="GY44" i="1"/>
  <c r="GY45" i="1"/>
  <c r="GY46" i="1"/>
  <c r="GY47" i="1"/>
  <c r="GY48" i="1"/>
  <c r="GY49" i="1"/>
  <c r="GY50" i="1"/>
  <c r="GY51" i="1"/>
  <c r="GY52" i="1"/>
  <c r="GY53" i="1"/>
  <c r="GY54" i="1"/>
  <c r="GY55" i="1"/>
  <c r="GY56" i="1"/>
  <c r="GY57" i="1"/>
  <c r="GY58" i="1"/>
  <c r="GY59" i="1"/>
  <c r="GY60" i="1"/>
  <c r="JG60" i="1" s="1"/>
  <c r="GY61" i="1"/>
  <c r="GY62" i="1"/>
  <c r="GY63" i="1"/>
  <c r="GY64" i="1"/>
  <c r="GY65" i="1"/>
  <c r="GY66" i="1"/>
  <c r="GY67" i="1"/>
  <c r="GY68" i="1"/>
  <c r="GY69" i="1"/>
  <c r="GY70" i="1"/>
  <c r="GY71" i="1"/>
  <c r="GY72" i="1"/>
  <c r="GY73" i="1"/>
  <c r="GY74" i="1"/>
  <c r="GY75" i="1"/>
  <c r="GY76" i="1"/>
  <c r="GY77" i="1"/>
  <c r="GY78" i="1"/>
  <c r="GY79" i="1"/>
  <c r="GY80" i="1"/>
  <c r="GY81" i="1"/>
  <c r="GY82" i="1"/>
  <c r="GY83" i="1"/>
  <c r="GY84" i="1"/>
  <c r="GY85" i="1"/>
  <c r="GY86" i="1"/>
  <c r="GY87" i="1"/>
  <c r="GY88" i="1"/>
  <c r="JG88" i="1" s="1"/>
  <c r="GX7" i="1"/>
  <c r="GX8" i="1"/>
  <c r="GX9" i="1"/>
  <c r="GX10" i="1"/>
  <c r="GX11" i="1"/>
  <c r="GX12" i="1"/>
  <c r="GX13" i="1"/>
  <c r="GX14" i="1"/>
  <c r="GX15" i="1"/>
  <c r="GX16" i="1"/>
  <c r="JF16" i="1" s="1"/>
  <c r="GX17" i="1"/>
  <c r="GX18" i="1"/>
  <c r="GX19" i="1"/>
  <c r="GX20" i="1"/>
  <c r="GX21" i="1"/>
  <c r="GX22" i="1"/>
  <c r="GX23" i="1"/>
  <c r="GX24" i="1"/>
  <c r="GX25" i="1"/>
  <c r="GX26" i="1"/>
  <c r="GX27" i="1"/>
  <c r="GX28" i="1"/>
  <c r="GX29" i="1"/>
  <c r="GX30" i="1"/>
  <c r="GX31" i="1"/>
  <c r="GX32" i="1"/>
  <c r="GX33" i="1"/>
  <c r="GX34" i="1"/>
  <c r="GX35" i="1"/>
  <c r="GX36" i="1"/>
  <c r="GX37" i="1"/>
  <c r="GX38" i="1"/>
  <c r="GX39" i="1"/>
  <c r="GX40" i="1"/>
  <c r="GX41" i="1"/>
  <c r="GX42" i="1"/>
  <c r="GX43" i="1"/>
  <c r="GX44" i="1"/>
  <c r="GX45" i="1"/>
  <c r="GX46" i="1"/>
  <c r="GX47" i="1"/>
  <c r="GX48" i="1"/>
  <c r="GX49" i="1"/>
  <c r="GX50" i="1"/>
  <c r="GX51" i="1"/>
  <c r="GX52" i="1"/>
  <c r="GX53" i="1"/>
  <c r="GX54" i="1"/>
  <c r="GX55" i="1"/>
  <c r="GX56" i="1"/>
  <c r="GX57" i="1"/>
  <c r="GX58" i="1"/>
  <c r="GX59" i="1"/>
  <c r="GX60" i="1"/>
  <c r="JF60" i="1" s="1"/>
  <c r="GX61" i="1"/>
  <c r="GX62" i="1"/>
  <c r="GX63" i="1"/>
  <c r="GX64" i="1"/>
  <c r="GX65" i="1"/>
  <c r="GX66" i="1"/>
  <c r="GX67" i="1"/>
  <c r="GX68" i="1"/>
  <c r="GX69" i="1"/>
  <c r="GX70" i="1"/>
  <c r="GX71" i="1"/>
  <c r="GX72" i="1"/>
  <c r="GX73" i="1"/>
  <c r="GX74" i="1"/>
  <c r="GX75" i="1"/>
  <c r="GX76" i="1"/>
  <c r="GX77" i="1"/>
  <c r="GX78" i="1"/>
  <c r="GX79" i="1"/>
  <c r="GX80" i="1"/>
  <c r="GX81" i="1"/>
  <c r="GX82" i="1"/>
  <c r="GX83" i="1"/>
  <c r="GX84" i="1"/>
  <c r="GX85" i="1"/>
  <c r="GX86" i="1"/>
  <c r="GX87" i="1"/>
  <c r="GX88" i="1"/>
  <c r="JF88" i="1" s="1"/>
  <c r="GW7" i="1"/>
  <c r="GW8" i="1"/>
  <c r="JE8" i="1" s="1"/>
  <c r="GW9" i="1"/>
  <c r="GW10" i="1"/>
  <c r="GW11" i="1"/>
  <c r="GW12" i="1"/>
  <c r="JE12" i="1" s="1"/>
  <c r="GW13" i="1"/>
  <c r="GW14" i="1"/>
  <c r="GW15" i="1"/>
  <c r="GW16" i="1"/>
  <c r="JE16" i="1" s="1"/>
  <c r="GW17" i="1"/>
  <c r="JE17" i="1" s="1"/>
  <c r="GW18" i="1"/>
  <c r="GW19" i="1"/>
  <c r="JE19" i="1" s="1"/>
  <c r="GW20" i="1"/>
  <c r="GW21" i="1"/>
  <c r="GW22" i="1"/>
  <c r="GW23" i="1"/>
  <c r="GW24" i="1"/>
  <c r="GW25" i="1"/>
  <c r="JE25" i="1" s="1"/>
  <c r="GW26" i="1"/>
  <c r="GW27" i="1"/>
  <c r="GW28" i="1"/>
  <c r="GW29" i="1"/>
  <c r="GW30" i="1"/>
  <c r="GW31" i="1"/>
  <c r="GW32" i="1"/>
  <c r="GW33" i="1"/>
  <c r="JE33" i="1" s="1"/>
  <c r="GW34" i="1"/>
  <c r="GW35" i="1"/>
  <c r="GW36" i="1"/>
  <c r="GW37" i="1"/>
  <c r="GW38" i="1"/>
  <c r="GW39" i="1"/>
  <c r="GW40" i="1"/>
  <c r="GW41" i="1"/>
  <c r="GW42" i="1"/>
  <c r="GW43" i="1"/>
  <c r="GW44" i="1"/>
  <c r="GW45" i="1"/>
  <c r="GW46" i="1"/>
  <c r="GW47" i="1"/>
  <c r="GW48" i="1"/>
  <c r="JE48" i="1" s="1"/>
  <c r="GW49" i="1"/>
  <c r="JE49" i="1" s="1"/>
  <c r="GW50" i="1"/>
  <c r="GW51" i="1"/>
  <c r="GW52" i="1"/>
  <c r="GW53" i="1"/>
  <c r="GW54" i="1"/>
  <c r="GW55" i="1"/>
  <c r="GW56" i="1"/>
  <c r="GW57" i="1"/>
  <c r="JE57" i="1" s="1"/>
  <c r="GW58" i="1"/>
  <c r="GW59" i="1"/>
  <c r="GW60" i="1"/>
  <c r="JE60" i="1" s="1"/>
  <c r="GW61" i="1"/>
  <c r="GW62" i="1"/>
  <c r="GW63" i="1"/>
  <c r="GW64" i="1"/>
  <c r="JE64" i="1" s="1"/>
  <c r="GW65" i="1"/>
  <c r="GW66" i="1"/>
  <c r="GW67" i="1"/>
  <c r="GW68" i="1"/>
  <c r="GW69" i="1"/>
  <c r="GW70" i="1"/>
  <c r="GW71" i="1"/>
  <c r="GW72" i="1"/>
  <c r="JE72" i="1" s="1"/>
  <c r="GW73" i="1"/>
  <c r="GW74" i="1"/>
  <c r="GW75" i="1"/>
  <c r="GW76" i="1"/>
  <c r="GW77" i="1"/>
  <c r="GW78" i="1"/>
  <c r="GW79" i="1"/>
  <c r="JE79" i="1" s="1"/>
  <c r="GW80" i="1"/>
  <c r="GW81" i="1"/>
  <c r="JE81" i="1" s="1"/>
  <c r="GW82" i="1"/>
  <c r="GW83" i="1"/>
  <c r="GW84" i="1"/>
  <c r="GW85" i="1"/>
  <c r="JE85" i="1" s="1"/>
  <c r="GW86" i="1"/>
  <c r="GW87" i="1"/>
  <c r="GW88" i="1"/>
  <c r="JE88" i="1" s="1"/>
  <c r="GV7" i="1"/>
  <c r="JD7" i="1" s="1"/>
  <c r="GV8" i="1"/>
  <c r="GV9" i="1"/>
  <c r="GV10" i="1"/>
  <c r="GV11" i="1"/>
  <c r="GV12" i="1"/>
  <c r="GV13" i="1"/>
  <c r="GV14" i="1"/>
  <c r="JD14" i="1" s="1"/>
  <c r="GV15" i="1"/>
  <c r="JD15" i="1" s="1"/>
  <c r="GV16" i="1"/>
  <c r="JD16" i="1" s="1"/>
  <c r="GV17" i="1"/>
  <c r="GV18" i="1"/>
  <c r="GV19" i="1"/>
  <c r="GV20" i="1"/>
  <c r="GV21" i="1"/>
  <c r="GV22" i="1"/>
  <c r="GV23" i="1"/>
  <c r="JD23" i="1" s="1"/>
  <c r="GV24" i="1"/>
  <c r="GV25" i="1"/>
  <c r="GV26" i="1"/>
  <c r="GV27" i="1"/>
  <c r="GV28" i="1"/>
  <c r="GV29" i="1"/>
  <c r="GV30" i="1"/>
  <c r="GV31" i="1"/>
  <c r="GV32" i="1"/>
  <c r="GV33" i="1"/>
  <c r="JD33" i="1" s="1"/>
  <c r="GV34" i="1"/>
  <c r="JD34" i="1" s="1"/>
  <c r="GV35" i="1"/>
  <c r="GV36" i="1"/>
  <c r="GV37" i="1"/>
  <c r="GV38" i="1"/>
  <c r="JD38" i="1" s="1"/>
  <c r="GV39" i="1"/>
  <c r="GV40" i="1"/>
  <c r="GV41" i="1"/>
  <c r="GV42" i="1"/>
  <c r="GV43" i="1"/>
  <c r="GV44" i="1"/>
  <c r="GV45" i="1"/>
  <c r="GV46" i="1"/>
  <c r="GV47" i="1"/>
  <c r="GV48" i="1"/>
  <c r="GV49" i="1"/>
  <c r="GV50" i="1"/>
  <c r="JD50" i="1" s="1"/>
  <c r="GV51" i="1"/>
  <c r="GV52" i="1"/>
  <c r="GV53" i="1"/>
  <c r="GV54" i="1"/>
  <c r="GV55" i="1"/>
  <c r="GV56" i="1"/>
  <c r="GV57" i="1"/>
  <c r="GV58" i="1"/>
  <c r="JD58" i="1" s="1"/>
  <c r="GV59" i="1"/>
  <c r="GV60" i="1"/>
  <c r="JD60" i="1" s="1"/>
  <c r="GV61" i="1"/>
  <c r="GV62" i="1"/>
  <c r="GV63" i="1"/>
  <c r="GV64" i="1"/>
  <c r="GV65" i="1"/>
  <c r="GV66" i="1"/>
  <c r="GV67" i="1"/>
  <c r="GV68" i="1"/>
  <c r="GV69" i="1"/>
  <c r="GV70" i="1"/>
  <c r="GV71" i="1"/>
  <c r="JD71" i="1" s="1"/>
  <c r="GV72" i="1"/>
  <c r="GV73" i="1"/>
  <c r="GV74" i="1"/>
  <c r="JD74" i="1" s="1"/>
  <c r="GV75" i="1"/>
  <c r="GV76" i="1"/>
  <c r="GV77" i="1"/>
  <c r="GV78" i="1"/>
  <c r="GV79" i="1"/>
  <c r="JD79" i="1" s="1"/>
  <c r="GV80" i="1"/>
  <c r="GV81" i="1"/>
  <c r="GV82" i="1"/>
  <c r="JD82" i="1" s="1"/>
  <c r="GV83" i="1"/>
  <c r="GV84" i="1"/>
  <c r="GV85" i="1"/>
  <c r="JD85" i="1" s="1"/>
  <c r="GV86" i="1"/>
  <c r="GV87" i="1"/>
  <c r="JD87" i="1" s="1"/>
  <c r="GV88" i="1"/>
  <c r="JD88" i="1" s="1"/>
  <c r="GU7" i="1"/>
  <c r="GU8" i="1"/>
  <c r="GU9" i="1"/>
  <c r="GU10" i="1"/>
  <c r="GU11" i="1"/>
  <c r="GU12" i="1"/>
  <c r="GU13" i="1"/>
  <c r="GU14" i="1"/>
  <c r="GU15" i="1"/>
  <c r="GU16" i="1"/>
  <c r="GU17" i="1"/>
  <c r="GU18" i="1"/>
  <c r="GU19" i="1"/>
  <c r="GU20" i="1"/>
  <c r="GU21" i="1"/>
  <c r="GU22" i="1"/>
  <c r="GU23" i="1"/>
  <c r="GU24" i="1"/>
  <c r="GU25" i="1"/>
  <c r="GU26" i="1"/>
  <c r="GU27" i="1"/>
  <c r="GU28" i="1"/>
  <c r="GU29" i="1"/>
  <c r="GU30" i="1"/>
  <c r="GU31" i="1"/>
  <c r="GU32" i="1"/>
  <c r="GU33" i="1"/>
  <c r="GU34" i="1"/>
  <c r="GU35" i="1"/>
  <c r="GU36" i="1"/>
  <c r="GU37" i="1"/>
  <c r="GU38" i="1"/>
  <c r="GU39" i="1"/>
  <c r="GU40" i="1"/>
  <c r="GU41" i="1"/>
  <c r="GU42" i="1"/>
  <c r="GU43" i="1"/>
  <c r="GU44" i="1"/>
  <c r="GU45" i="1"/>
  <c r="GU46" i="1"/>
  <c r="GU47" i="1"/>
  <c r="GU48" i="1"/>
  <c r="GU49" i="1"/>
  <c r="GU50" i="1"/>
  <c r="GU51" i="1"/>
  <c r="GU52" i="1"/>
  <c r="GU53" i="1"/>
  <c r="GU54" i="1"/>
  <c r="GU55" i="1"/>
  <c r="GU56" i="1"/>
  <c r="GU57" i="1"/>
  <c r="GU58" i="1"/>
  <c r="GU59" i="1"/>
  <c r="GU60" i="1"/>
  <c r="GU61" i="1"/>
  <c r="GU62" i="1"/>
  <c r="GU63" i="1"/>
  <c r="GU64" i="1"/>
  <c r="GU65" i="1"/>
  <c r="GU66" i="1"/>
  <c r="GU67" i="1"/>
  <c r="GU68" i="1"/>
  <c r="GU69" i="1"/>
  <c r="GU70" i="1"/>
  <c r="GU71" i="1"/>
  <c r="GU72" i="1"/>
  <c r="GU73" i="1"/>
  <c r="GU74" i="1"/>
  <c r="GU75" i="1"/>
  <c r="GU76" i="1"/>
  <c r="GU77" i="1"/>
  <c r="GU78" i="1"/>
  <c r="GU79" i="1"/>
  <c r="GU80" i="1"/>
  <c r="GU81" i="1"/>
  <c r="GU82" i="1"/>
  <c r="GU83" i="1"/>
  <c r="GU84" i="1"/>
  <c r="GU85" i="1"/>
  <c r="GU86" i="1"/>
  <c r="GU87" i="1"/>
  <c r="GU88" i="1"/>
  <c r="GT7" i="1"/>
  <c r="GT8" i="1"/>
  <c r="GT9" i="1"/>
  <c r="GT10" i="1"/>
  <c r="GT11" i="1"/>
  <c r="GT12" i="1"/>
  <c r="GT13" i="1"/>
  <c r="GT14" i="1"/>
  <c r="GT15" i="1"/>
  <c r="GT16" i="1"/>
  <c r="GT17" i="1"/>
  <c r="GT18" i="1"/>
  <c r="GT19" i="1"/>
  <c r="GT20" i="1"/>
  <c r="GT21" i="1"/>
  <c r="GT22" i="1"/>
  <c r="GT23" i="1"/>
  <c r="GT24" i="1"/>
  <c r="GT25" i="1"/>
  <c r="GT26" i="1"/>
  <c r="GT27" i="1"/>
  <c r="GT28" i="1"/>
  <c r="GT29" i="1"/>
  <c r="GT30" i="1"/>
  <c r="GT31" i="1"/>
  <c r="GT32" i="1"/>
  <c r="GT33" i="1"/>
  <c r="GT34" i="1"/>
  <c r="GT35" i="1"/>
  <c r="GT36" i="1"/>
  <c r="GT37" i="1"/>
  <c r="GT38" i="1"/>
  <c r="GT39" i="1"/>
  <c r="GT40" i="1"/>
  <c r="GT41" i="1"/>
  <c r="GT42" i="1"/>
  <c r="GT43" i="1"/>
  <c r="GT44" i="1"/>
  <c r="GT45" i="1"/>
  <c r="GT46" i="1"/>
  <c r="GT47" i="1"/>
  <c r="GT48" i="1"/>
  <c r="GT49" i="1"/>
  <c r="GT50" i="1"/>
  <c r="GT51" i="1"/>
  <c r="GT52" i="1"/>
  <c r="GT53" i="1"/>
  <c r="GT54" i="1"/>
  <c r="GT55" i="1"/>
  <c r="GT56" i="1"/>
  <c r="GT57" i="1"/>
  <c r="GT58" i="1"/>
  <c r="GT59" i="1"/>
  <c r="GT60" i="1"/>
  <c r="GT61" i="1"/>
  <c r="GT62" i="1"/>
  <c r="GT63" i="1"/>
  <c r="GT64" i="1"/>
  <c r="GT65" i="1"/>
  <c r="GT66" i="1"/>
  <c r="GT67" i="1"/>
  <c r="GT68" i="1"/>
  <c r="GT69" i="1"/>
  <c r="GT70" i="1"/>
  <c r="GT71" i="1"/>
  <c r="GT72" i="1"/>
  <c r="GT73" i="1"/>
  <c r="GT74" i="1"/>
  <c r="GT75" i="1"/>
  <c r="GT76" i="1"/>
  <c r="GT77" i="1"/>
  <c r="GT78" i="1"/>
  <c r="GT79" i="1"/>
  <c r="GT80" i="1"/>
  <c r="GT81" i="1"/>
  <c r="GT82" i="1"/>
  <c r="GT83" i="1"/>
  <c r="GT84" i="1"/>
  <c r="GT85" i="1"/>
  <c r="GT86" i="1"/>
  <c r="GT87" i="1"/>
  <c r="GT88" i="1"/>
  <c r="GS7" i="1"/>
  <c r="GS8" i="1"/>
  <c r="JA8" i="1" s="1"/>
  <c r="GS9" i="1"/>
  <c r="JA9" i="1" s="1"/>
  <c r="GS10" i="1"/>
  <c r="GS11" i="1"/>
  <c r="GS12" i="1"/>
  <c r="JA12" i="1" s="1"/>
  <c r="GS13" i="1"/>
  <c r="GS14" i="1"/>
  <c r="GS15" i="1"/>
  <c r="GS16" i="1"/>
  <c r="GS17" i="1"/>
  <c r="JA17" i="1" s="1"/>
  <c r="GS18" i="1"/>
  <c r="GS19" i="1"/>
  <c r="GS20" i="1"/>
  <c r="JA20" i="1" s="1"/>
  <c r="GS21" i="1"/>
  <c r="GS22" i="1"/>
  <c r="GS23" i="1"/>
  <c r="GS24" i="1"/>
  <c r="JA24" i="1" s="1"/>
  <c r="GS25" i="1"/>
  <c r="JA25" i="1" s="1"/>
  <c r="GS26" i="1"/>
  <c r="GS27" i="1"/>
  <c r="GS28" i="1"/>
  <c r="JA28" i="1" s="1"/>
  <c r="GS29" i="1"/>
  <c r="GS30" i="1"/>
  <c r="GS31" i="1"/>
  <c r="GS32" i="1"/>
  <c r="JA32" i="1" s="1"/>
  <c r="GS33" i="1"/>
  <c r="JA33" i="1" s="1"/>
  <c r="GS34" i="1"/>
  <c r="GS35" i="1"/>
  <c r="GS36" i="1"/>
  <c r="JA36" i="1" s="1"/>
  <c r="GS37" i="1"/>
  <c r="GS38" i="1"/>
  <c r="GS39" i="1"/>
  <c r="GS40" i="1"/>
  <c r="JA40" i="1" s="1"/>
  <c r="GS41" i="1"/>
  <c r="JA41" i="1" s="1"/>
  <c r="GS42" i="1"/>
  <c r="GS43" i="1"/>
  <c r="GS44" i="1"/>
  <c r="JA44" i="1" s="1"/>
  <c r="GS45" i="1"/>
  <c r="GS46" i="1"/>
  <c r="GS47" i="1"/>
  <c r="GS48" i="1"/>
  <c r="JA48" i="1" s="1"/>
  <c r="GS49" i="1"/>
  <c r="JA49" i="1" s="1"/>
  <c r="GS50" i="1"/>
  <c r="GS51" i="1"/>
  <c r="GS52" i="1"/>
  <c r="JA52" i="1" s="1"/>
  <c r="GS53" i="1"/>
  <c r="GS54" i="1"/>
  <c r="GS55" i="1"/>
  <c r="GS56" i="1"/>
  <c r="JA56" i="1" s="1"/>
  <c r="GS57" i="1"/>
  <c r="JA57" i="1" s="1"/>
  <c r="GS58" i="1"/>
  <c r="GS59" i="1"/>
  <c r="GS60" i="1"/>
  <c r="JA60" i="1" s="1"/>
  <c r="GS61" i="1"/>
  <c r="GS62" i="1"/>
  <c r="GS63" i="1"/>
  <c r="GS64" i="1"/>
  <c r="JA64" i="1" s="1"/>
  <c r="GS65" i="1"/>
  <c r="JA65" i="1" s="1"/>
  <c r="GS66" i="1"/>
  <c r="GS67" i="1"/>
  <c r="GS68" i="1"/>
  <c r="JA68" i="1" s="1"/>
  <c r="GS69" i="1"/>
  <c r="GS70" i="1"/>
  <c r="GS71" i="1"/>
  <c r="JA71" i="1" s="1"/>
  <c r="GS72" i="1"/>
  <c r="JA72" i="1" s="1"/>
  <c r="GS73" i="1"/>
  <c r="JA73" i="1" s="1"/>
  <c r="GS74" i="1"/>
  <c r="GS75" i="1"/>
  <c r="GS76" i="1"/>
  <c r="JA76" i="1" s="1"/>
  <c r="GS77" i="1"/>
  <c r="GS78" i="1"/>
  <c r="GS79" i="1"/>
  <c r="JA79" i="1" s="1"/>
  <c r="GS80" i="1"/>
  <c r="JA80" i="1" s="1"/>
  <c r="GS81" i="1"/>
  <c r="JA81" i="1" s="1"/>
  <c r="GS82" i="1"/>
  <c r="GS83" i="1"/>
  <c r="GS84" i="1"/>
  <c r="JA84" i="1" s="1"/>
  <c r="GS85" i="1"/>
  <c r="GS86" i="1"/>
  <c r="GS87" i="1"/>
  <c r="JA87" i="1" s="1"/>
  <c r="GS88" i="1"/>
  <c r="GR7" i="1"/>
  <c r="IZ7" i="1" s="1"/>
  <c r="GR8" i="1"/>
  <c r="GR9" i="1"/>
  <c r="GR10" i="1"/>
  <c r="IZ10" i="1" s="1"/>
  <c r="GR11" i="1"/>
  <c r="GR12" i="1"/>
  <c r="GR13" i="1"/>
  <c r="GR14" i="1"/>
  <c r="IZ14" i="1" s="1"/>
  <c r="GR15" i="1"/>
  <c r="GR16" i="1"/>
  <c r="GR17" i="1"/>
  <c r="GR18" i="1"/>
  <c r="IZ18" i="1" s="1"/>
  <c r="GR19" i="1"/>
  <c r="GR20" i="1"/>
  <c r="GR21" i="1"/>
  <c r="GR22" i="1"/>
  <c r="IZ22" i="1" s="1"/>
  <c r="GR23" i="1"/>
  <c r="GR24" i="1"/>
  <c r="GR25" i="1"/>
  <c r="GR26" i="1"/>
  <c r="GR27" i="1"/>
  <c r="GR28" i="1"/>
  <c r="GR29" i="1"/>
  <c r="IZ29" i="1" s="1"/>
  <c r="GR30" i="1"/>
  <c r="GR31" i="1"/>
  <c r="GR32" i="1"/>
  <c r="GR33" i="1"/>
  <c r="GR34" i="1"/>
  <c r="IZ34" i="1" s="1"/>
  <c r="GR35" i="1"/>
  <c r="GR36" i="1"/>
  <c r="GR37" i="1"/>
  <c r="IZ37" i="1" s="1"/>
  <c r="GR38" i="1"/>
  <c r="IZ38" i="1" s="1"/>
  <c r="GR39" i="1"/>
  <c r="GR40" i="1"/>
  <c r="GR41" i="1"/>
  <c r="GR42" i="1"/>
  <c r="IZ42" i="1" s="1"/>
  <c r="GR43" i="1"/>
  <c r="GR44" i="1"/>
  <c r="GR45" i="1"/>
  <c r="IZ45" i="1" s="1"/>
  <c r="GR46" i="1"/>
  <c r="IZ46" i="1" s="1"/>
  <c r="GR47" i="1"/>
  <c r="IZ47" i="1" s="1"/>
  <c r="GR48" i="1"/>
  <c r="GR49" i="1"/>
  <c r="GR50" i="1"/>
  <c r="IZ50" i="1" s="1"/>
  <c r="GR51" i="1"/>
  <c r="GR52" i="1"/>
  <c r="GR53" i="1"/>
  <c r="IZ53" i="1" s="1"/>
  <c r="GR54" i="1"/>
  <c r="IZ54" i="1" s="1"/>
  <c r="GR55" i="1"/>
  <c r="IZ55" i="1" s="1"/>
  <c r="GR56" i="1"/>
  <c r="GR57" i="1"/>
  <c r="GR58" i="1"/>
  <c r="IZ58" i="1" s="1"/>
  <c r="GR59" i="1"/>
  <c r="GR60" i="1"/>
  <c r="GR61" i="1"/>
  <c r="IZ61" i="1" s="1"/>
  <c r="GR62" i="1"/>
  <c r="IZ62" i="1" s="1"/>
  <c r="GR63" i="1"/>
  <c r="IZ63" i="1" s="1"/>
  <c r="GR64" i="1"/>
  <c r="GR65" i="1"/>
  <c r="GR66" i="1"/>
  <c r="IZ66" i="1" s="1"/>
  <c r="GR67" i="1"/>
  <c r="GR68" i="1"/>
  <c r="GR69" i="1"/>
  <c r="IZ69" i="1" s="1"/>
  <c r="GR70" i="1"/>
  <c r="IZ70" i="1" s="1"/>
  <c r="GR71" i="1"/>
  <c r="IZ71" i="1" s="1"/>
  <c r="GR72" i="1"/>
  <c r="GR73" i="1"/>
  <c r="GR74" i="1"/>
  <c r="IZ74" i="1" s="1"/>
  <c r="GR75" i="1"/>
  <c r="GR76" i="1"/>
  <c r="GR77" i="1"/>
  <c r="GR78" i="1"/>
  <c r="IZ78" i="1" s="1"/>
  <c r="GR79" i="1"/>
  <c r="IZ79" i="1" s="1"/>
  <c r="GR80" i="1"/>
  <c r="GR81" i="1"/>
  <c r="GR82" i="1"/>
  <c r="IZ82" i="1" s="1"/>
  <c r="GR83" i="1"/>
  <c r="GR84" i="1"/>
  <c r="GR85" i="1"/>
  <c r="IZ85" i="1" s="1"/>
  <c r="GR86" i="1"/>
  <c r="IZ86" i="1" s="1"/>
  <c r="GR87" i="1"/>
  <c r="IZ87" i="1" s="1"/>
  <c r="GR88" i="1"/>
  <c r="GQ7" i="1"/>
  <c r="GQ8" i="1"/>
  <c r="GQ9" i="1"/>
  <c r="GQ10" i="1"/>
  <c r="GQ11" i="1"/>
  <c r="GQ12" i="1"/>
  <c r="GQ13" i="1"/>
  <c r="GQ14" i="1"/>
  <c r="GQ15" i="1"/>
  <c r="GQ16" i="1"/>
  <c r="GQ17" i="1"/>
  <c r="GQ18" i="1"/>
  <c r="GQ19" i="1"/>
  <c r="GQ20" i="1"/>
  <c r="GQ21" i="1"/>
  <c r="GQ22" i="1"/>
  <c r="GQ23" i="1"/>
  <c r="GQ24" i="1"/>
  <c r="GQ25" i="1"/>
  <c r="GQ26" i="1"/>
  <c r="GQ27" i="1"/>
  <c r="GQ28" i="1"/>
  <c r="GQ29" i="1"/>
  <c r="GQ30" i="1"/>
  <c r="GQ31" i="1"/>
  <c r="GQ32" i="1"/>
  <c r="GQ33" i="1"/>
  <c r="GQ34" i="1"/>
  <c r="GQ35" i="1"/>
  <c r="GQ36" i="1"/>
  <c r="GQ37" i="1"/>
  <c r="GQ38" i="1"/>
  <c r="GQ39" i="1"/>
  <c r="GQ40" i="1"/>
  <c r="GQ41" i="1"/>
  <c r="GQ42" i="1"/>
  <c r="GQ43" i="1"/>
  <c r="GQ44" i="1"/>
  <c r="GQ45" i="1"/>
  <c r="GQ46" i="1"/>
  <c r="GQ47" i="1"/>
  <c r="GQ48" i="1"/>
  <c r="GQ49" i="1"/>
  <c r="GQ50" i="1"/>
  <c r="GQ51" i="1"/>
  <c r="GQ52" i="1"/>
  <c r="GQ53" i="1"/>
  <c r="GQ54" i="1"/>
  <c r="GQ55" i="1"/>
  <c r="GQ56" i="1"/>
  <c r="GQ57" i="1"/>
  <c r="GQ58" i="1"/>
  <c r="GQ59" i="1"/>
  <c r="GQ60" i="1"/>
  <c r="GQ61" i="1"/>
  <c r="GQ62" i="1"/>
  <c r="GQ63" i="1"/>
  <c r="GQ64" i="1"/>
  <c r="GQ65" i="1"/>
  <c r="GQ66" i="1"/>
  <c r="GQ67" i="1"/>
  <c r="GQ68" i="1"/>
  <c r="GQ69" i="1"/>
  <c r="GQ70" i="1"/>
  <c r="GQ71" i="1"/>
  <c r="GQ72" i="1"/>
  <c r="GQ73" i="1"/>
  <c r="GQ74" i="1"/>
  <c r="GQ75" i="1"/>
  <c r="GQ76" i="1"/>
  <c r="GQ77" i="1"/>
  <c r="GQ78" i="1"/>
  <c r="GQ79" i="1"/>
  <c r="GQ80" i="1"/>
  <c r="GQ81" i="1"/>
  <c r="GQ82" i="1"/>
  <c r="GQ83" i="1"/>
  <c r="GQ84" i="1"/>
  <c r="IY84" i="1" s="1"/>
  <c r="GQ85" i="1"/>
  <c r="GQ86" i="1"/>
  <c r="GQ87" i="1"/>
  <c r="GQ88" i="1"/>
  <c r="GP7" i="1"/>
  <c r="GP8" i="1"/>
  <c r="GP9" i="1"/>
  <c r="GP10" i="1"/>
  <c r="GP11" i="1"/>
  <c r="GP12" i="1"/>
  <c r="GP13" i="1"/>
  <c r="GP14" i="1"/>
  <c r="GP15" i="1"/>
  <c r="GP16" i="1"/>
  <c r="GP17" i="1"/>
  <c r="GP18" i="1"/>
  <c r="GP19" i="1"/>
  <c r="GP20" i="1"/>
  <c r="GP21" i="1"/>
  <c r="GP22" i="1"/>
  <c r="GP23" i="1"/>
  <c r="GP24" i="1"/>
  <c r="GP25" i="1"/>
  <c r="GP26" i="1"/>
  <c r="GP27" i="1"/>
  <c r="GP28" i="1"/>
  <c r="GP29" i="1"/>
  <c r="GP30" i="1"/>
  <c r="GP31" i="1"/>
  <c r="GP32" i="1"/>
  <c r="GP33" i="1"/>
  <c r="GP34" i="1"/>
  <c r="GP35" i="1"/>
  <c r="GP36" i="1"/>
  <c r="GP37" i="1"/>
  <c r="GP38" i="1"/>
  <c r="GP39" i="1"/>
  <c r="GP40" i="1"/>
  <c r="IX40" i="1" s="1"/>
  <c r="GP41" i="1"/>
  <c r="GP42" i="1"/>
  <c r="GP43" i="1"/>
  <c r="GP44" i="1"/>
  <c r="GP45" i="1"/>
  <c r="GP46" i="1"/>
  <c r="GP47" i="1"/>
  <c r="GP48" i="1"/>
  <c r="IX48" i="1" s="1"/>
  <c r="GP49" i="1"/>
  <c r="GP50" i="1"/>
  <c r="GP51" i="1"/>
  <c r="GP52" i="1"/>
  <c r="GP53" i="1"/>
  <c r="GP54" i="1"/>
  <c r="GP55" i="1"/>
  <c r="GP56" i="1"/>
  <c r="IX56" i="1" s="1"/>
  <c r="GP57" i="1"/>
  <c r="GP58" i="1"/>
  <c r="GP59" i="1"/>
  <c r="GP60" i="1"/>
  <c r="GP61" i="1"/>
  <c r="GP62" i="1"/>
  <c r="GP63" i="1"/>
  <c r="GP64" i="1"/>
  <c r="GP65" i="1"/>
  <c r="GP66" i="1"/>
  <c r="GP67" i="1"/>
  <c r="GP68" i="1"/>
  <c r="GP69" i="1"/>
  <c r="GP70" i="1"/>
  <c r="GP71" i="1"/>
  <c r="GP72" i="1"/>
  <c r="IX72" i="1" s="1"/>
  <c r="GP73" i="1"/>
  <c r="GP74" i="1"/>
  <c r="GP75" i="1"/>
  <c r="GP76" i="1"/>
  <c r="GP77" i="1"/>
  <c r="GP78" i="1"/>
  <c r="GP79" i="1"/>
  <c r="GP80" i="1"/>
  <c r="IX80" i="1" s="1"/>
  <c r="GP81" i="1"/>
  <c r="GP82" i="1"/>
  <c r="GP83" i="1"/>
  <c r="GP84" i="1"/>
  <c r="IX84" i="1" s="1"/>
  <c r="GP85" i="1"/>
  <c r="GP86" i="1"/>
  <c r="GP87" i="1"/>
  <c r="GP88" i="1"/>
  <c r="GO7" i="1"/>
  <c r="IW7" i="1" s="1"/>
  <c r="GO8" i="1"/>
  <c r="GO9" i="1"/>
  <c r="IW9" i="1" s="1"/>
  <c r="GO10" i="1"/>
  <c r="GO11" i="1"/>
  <c r="GO12" i="1"/>
  <c r="IW12" i="1" s="1"/>
  <c r="GO13" i="1"/>
  <c r="GO14" i="1"/>
  <c r="GO15" i="1"/>
  <c r="GO16" i="1"/>
  <c r="GO17" i="1"/>
  <c r="IW17" i="1" s="1"/>
  <c r="GO18" i="1"/>
  <c r="GO19" i="1"/>
  <c r="GO20" i="1"/>
  <c r="IW20" i="1" s="1"/>
  <c r="GO21" i="1"/>
  <c r="GO22" i="1"/>
  <c r="GO23" i="1"/>
  <c r="GO24" i="1"/>
  <c r="IW24" i="1" s="1"/>
  <c r="GO25" i="1"/>
  <c r="IW25" i="1" s="1"/>
  <c r="GO26" i="1"/>
  <c r="GO27" i="1"/>
  <c r="GO28" i="1"/>
  <c r="IW28" i="1" s="1"/>
  <c r="GO29" i="1"/>
  <c r="GO30" i="1"/>
  <c r="GO31" i="1"/>
  <c r="GO32" i="1"/>
  <c r="IW32" i="1" s="1"/>
  <c r="GO33" i="1"/>
  <c r="GO34" i="1"/>
  <c r="GO35" i="1"/>
  <c r="GO36" i="1"/>
  <c r="IW36" i="1" s="1"/>
  <c r="GO37" i="1"/>
  <c r="GO38" i="1"/>
  <c r="GO40" i="1"/>
  <c r="IW40" i="1" s="1"/>
  <c r="GO41" i="1"/>
  <c r="IW41" i="1" s="1"/>
  <c r="GO42" i="1"/>
  <c r="GO43" i="1"/>
  <c r="GO44" i="1"/>
  <c r="IW44" i="1" s="1"/>
  <c r="GO45" i="1"/>
  <c r="GO46" i="1"/>
  <c r="GO47" i="1"/>
  <c r="IW47" i="1" s="1"/>
  <c r="GO48" i="1"/>
  <c r="IW48" i="1" s="1"/>
  <c r="GO49" i="1"/>
  <c r="IW49" i="1" s="1"/>
  <c r="GO50" i="1"/>
  <c r="GO51" i="1"/>
  <c r="GO52" i="1"/>
  <c r="IW52" i="1" s="1"/>
  <c r="GO53" i="1"/>
  <c r="GO54" i="1"/>
  <c r="GO55" i="1"/>
  <c r="IW55" i="1" s="1"/>
  <c r="GO56" i="1"/>
  <c r="IW56" i="1" s="1"/>
  <c r="GO57" i="1"/>
  <c r="GO58" i="1"/>
  <c r="GO59" i="1"/>
  <c r="GO60" i="1"/>
  <c r="IW60" i="1" s="1"/>
  <c r="GO61" i="1"/>
  <c r="GO62" i="1"/>
  <c r="GO63" i="1"/>
  <c r="IW63" i="1" s="1"/>
  <c r="GO64" i="1"/>
  <c r="GO65" i="1"/>
  <c r="IW65" i="1" s="1"/>
  <c r="GO66" i="1"/>
  <c r="GO67" i="1"/>
  <c r="GO68" i="1"/>
  <c r="IW68" i="1" s="1"/>
  <c r="GO69" i="1"/>
  <c r="GO70" i="1"/>
  <c r="GO71" i="1"/>
  <c r="IW71" i="1" s="1"/>
  <c r="GO72" i="1"/>
  <c r="IW72" i="1" s="1"/>
  <c r="GO73" i="1"/>
  <c r="IW73" i="1" s="1"/>
  <c r="GO74" i="1"/>
  <c r="GO75" i="1"/>
  <c r="GO76" i="1"/>
  <c r="IW76" i="1" s="1"/>
  <c r="GO77" i="1"/>
  <c r="GO78" i="1"/>
  <c r="GO79" i="1"/>
  <c r="IW79" i="1" s="1"/>
  <c r="GO80" i="1"/>
  <c r="IW80" i="1" s="1"/>
  <c r="GO81" i="1"/>
  <c r="IW81" i="1" s="1"/>
  <c r="GO82" i="1"/>
  <c r="GO83" i="1"/>
  <c r="GO84" i="1"/>
  <c r="IW84" i="1" s="1"/>
  <c r="RI84" i="1" s="1"/>
  <c r="GO85" i="1"/>
  <c r="GO86" i="1"/>
  <c r="GO87" i="1"/>
  <c r="IW87" i="1" s="1"/>
  <c r="GO88" i="1"/>
  <c r="GN7" i="1"/>
  <c r="IV7" i="1" s="1"/>
  <c r="GN8" i="1"/>
  <c r="GN9" i="1"/>
  <c r="GN10" i="1"/>
  <c r="IV10" i="1" s="1"/>
  <c r="GN11" i="1"/>
  <c r="GN12" i="1"/>
  <c r="GN13" i="1"/>
  <c r="GN14" i="1"/>
  <c r="GN15" i="1"/>
  <c r="GN16" i="1"/>
  <c r="GN17" i="1"/>
  <c r="GN18" i="1"/>
  <c r="IV18" i="1" s="1"/>
  <c r="GN19" i="1"/>
  <c r="GN20" i="1"/>
  <c r="GN21" i="1"/>
  <c r="GN22" i="1"/>
  <c r="GN23" i="1"/>
  <c r="GN24" i="1"/>
  <c r="GN25" i="1"/>
  <c r="GN26" i="1"/>
  <c r="GN27" i="1"/>
  <c r="GN28" i="1"/>
  <c r="GN29" i="1"/>
  <c r="IV29" i="1" s="1"/>
  <c r="GN30" i="1"/>
  <c r="GN31" i="1"/>
  <c r="GN32" i="1"/>
  <c r="GN33" i="1"/>
  <c r="GN34" i="1"/>
  <c r="IV34" i="1" s="1"/>
  <c r="GN35" i="1"/>
  <c r="GN36" i="1"/>
  <c r="GN37" i="1"/>
  <c r="IV37" i="1" s="1"/>
  <c r="GN38" i="1"/>
  <c r="IV38" i="1" s="1"/>
  <c r="GN40" i="1"/>
  <c r="GN41" i="1"/>
  <c r="GN42" i="1"/>
  <c r="IV42" i="1" s="1"/>
  <c r="GN43" i="1"/>
  <c r="GN44" i="1"/>
  <c r="GN45" i="1"/>
  <c r="GN46" i="1"/>
  <c r="IV46" i="1" s="1"/>
  <c r="GN47" i="1"/>
  <c r="IV47" i="1" s="1"/>
  <c r="GN48" i="1"/>
  <c r="GN49" i="1"/>
  <c r="GN50" i="1"/>
  <c r="IV50" i="1" s="1"/>
  <c r="GN51" i="1"/>
  <c r="GN52" i="1"/>
  <c r="GN53" i="1"/>
  <c r="GN54" i="1"/>
  <c r="GN55" i="1"/>
  <c r="IV55" i="1" s="1"/>
  <c r="GN56" i="1"/>
  <c r="GN57" i="1"/>
  <c r="GN58" i="1"/>
  <c r="IV58" i="1" s="1"/>
  <c r="GN59" i="1"/>
  <c r="GN60" i="1"/>
  <c r="GN61" i="1"/>
  <c r="GN62" i="1"/>
  <c r="IV62" i="1" s="1"/>
  <c r="GN63" i="1"/>
  <c r="IV63" i="1" s="1"/>
  <c r="GN64" i="1"/>
  <c r="GN65" i="1"/>
  <c r="GN66" i="1"/>
  <c r="IV66" i="1" s="1"/>
  <c r="GN67" i="1"/>
  <c r="GN68" i="1"/>
  <c r="GN69" i="1"/>
  <c r="GN70" i="1"/>
  <c r="IV70" i="1" s="1"/>
  <c r="GN71" i="1"/>
  <c r="IV71" i="1" s="1"/>
  <c r="GN72" i="1"/>
  <c r="GN73" i="1"/>
  <c r="GN74" i="1"/>
  <c r="IV74" i="1" s="1"/>
  <c r="GN75" i="1"/>
  <c r="GN76" i="1"/>
  <c r="GN77" i="1"/>
  <c r="GN78" i="1"/>
  <c r="IV78" i="1" s="1"/>
  <c r="GN79" i="1"/>
  <c r="IV79" i="1" s="1"/>
  <c r="GN80" i="1"/>
  <c r="GN81" i="1"/>
  <c r="GN82" i="1"/>
  <c r="GN83" i="1"/>
  <c r="GN84" i="1"/>
  <c r="GN85" i="1"/>
  <c r="GN86" i="1"/>
  <c r="IV86" i="1" s="1"/>
  <c r="GN87" i="1"/>
  <c r="IV87" i="1" s="1"/>
  <c r="GN88" i="1"/>
  <c r="GM7" i="1"/>
  <c r="GM8" i="1"/>
  <c r="GM9" i="1"/>
  <c r="GM10" i="1"/>
  <c r="GM11" i="1"/>
  <c r="GM12" i="1"/>
  <c r="GM13" i="1"/>
  <c r="GM14" i="1"/>
  <c r="GM15" i="1"/>
  <c r="GM16" i="1"/>
  <c r="GM17" i="1"/>
  <c r="GM18" i="1"/>
  <c r="GM19" i="1"/>
  <c r="GM20" i="1"/>
  <c r="GM21" i="1"/>
  <c r="GM22" i="1"/>
  <c r="GM23" i="1"/>
  <c r="GM24" i="1"/>
  <c r="GM25" i="1"/>
  <c r="GM26" i="1"/>
  <c r="GM27" i="1"/>
  <c r="IU27" i="1" s="1"/>
  <c r="GM28" i="1"/>
  <c r="IU28" i="1" s="1"/>
  <c r="GM29" i="1"/>
  <c r="GM30" i="1"/>
  <c r="GM31" i="1"/>
  <c r="GM32" i="1"/>
  <c r="GM33" i="1"/>
  <c r="GM34" i="1"/>
  <c r="GM35" i="1"/>
  <c r="GM36" i="1"/>
  <c r="GM37" i="1"/>
  <c r="GM38" i="1"/>
  <c r="GM39" i="1"/>
  <c r="GM40" i="1"/>
  <c r="GM41" i="1"/>
  <c r="GM42" i="1"/>
  <c r="GM43" i="1"/>
  <c r="GM44" i="1"/>
  <c r="GM45" i="1"/>
  <c r="GM46" i="1"/>
  <c r="GM47" i="1"/>
  <c r="GM48" i="1"/>
  <c r="GM49" i="1"/>
  <c r="GM50" i="1"/>
  <c r="GM51" i="1"/>
  <c r="GM52" i="1"/>
  <c r="GM53" i="1"/>
  <c r="GM54" i="1"/>
  <c r="GM55" i="1"/>
  <c r="GM56" i="1"/>
  <c r="GM57" i="1"/>
  <c r="GM58" i="1"/>
  <c r="GM59" i="1"/>
  <c r="GM60" i="1"/>
  <c r="GM61" i="1"/>
  <c r="GM62" i="1"/>
  <c r="GM63" i="1"/>
  <c r="GM64" i="1"/>
  <c r="GM65" i="1"/>
  <c r="GM66" i="1"/>
  <c r="GM67" i="1"/>
  <c r="GM68" i="1"/>
  <c r="GM69" i="1"/>
  <c r="GM70" i="1"/>
  <c r="GM71" i="1"/>
  <c r="GM72" i="1"/>
  <c r="GM73" i="1"/>
  <c r="GM74" i="1"/>
  <c r="GM75" i="1"/>
  <c r="GM76" i="1"/>
  <c r="GM77" i="1"/>
  <c r="GM78" i="1"/>
  <c r="GM79" i="1"/>
  <c r="GM80" i="1"/>
  <c r="GM81" i="1"/>
  <c r="GM82" i="1"/>
  <c r="GM83" i="1"/>
  <c r="GM84" i="1"/>
  <c r="GM85" i="1"/>
  <c r="GM86" i="1"/>
  <c r="GM87" i="1"/>
  <c r="GM88" i="1"/>
  <c r="GL7" i="1"/>
  <c r="GL8" i="1"/>
  <c r="GL9" i="1"/>
  <c r="GL10" i="1"/>
  <c r="IT10" i="1" s="1"/>
  <c r="GL11" i="1"/>
  <c r="GL12" i="1"/>
  <c r="GL13" i="1"/>
  <c r="GL14" i="1"/>
  <c r="GL15" i="1"/>
  <c r="GL16" i="1"/>
  <c r="GL17" i="1"/>
  <c r="GL18" i="1"/>
  <c r="IT18" i="1" s="1"/>
  <c r="GL19" i="1"/>
  <c r="GL20" i="1"/>
  <c r="GL21" i="1"/>
  <c r="GL22" i="1"/>
  <c r="GL23" i="1"/>
  <c r="GL24" i="1"/>
  <c r="GL25" i="1"/>
  <c r="GL26" i="1"/>
  <c r="GL27" i="1"/>
  <c r="IT27" i="1" s="1"/>
  <c r="GL28" i="1"/>
  <c r="IT28" i="1" s="1"/>
  <c r="GL29" i="1"/>
  <c r="GL30" i="1"/>
  <c r="GL31" i="1"/>
  <c r="GL32" i="1"/>
  <c r="GL33" i="1"/>
  <c r="GL34" i="1"/>
  <c r="IT34" i="1" s="1"/>
  <c r="GL35" i="1"/>
  <c r="GL36" i="1"/>
  <c r="GL37" i="1"/>
  <c r="GL38" i="1"/>
  <c r="GL39" i="1"/>
  <c r="GL40" i="1"/>
  <c r="GL41" i="1"/>
  <c r="GL42" i="1"/>
  <c r="IT42" i="1" s="1"/>
  <c r="GL43" i="1"/>
  <c r="GL44" i="1"/>
  <c r="GL45" i="1"/>
  <c r="GL46" i="1"/>
  <c r="GL47" i="1"/>
  <c r="GL48" i="1"/>
  <c r="GL49" i="1"/>
  <c r="GL50" i="1"/>
  <c r="IT50" i="1" s="1"/>
  <c r="GL51" i="1"/>
  <c r="GL52" i="1"/>
  <c r="GL53" i="1"/>
  <c r="GL54" i="1"/>
  <c r="GL55" i="1"/>
  <c r="GL56" i="1"/>
  <c r="GL57" i="1"/>
  <c r="GL58" i="1"/>
  <c r="GL59" i="1"/>
  <c r="GL60" i="1"/>
  <c r="GL61" i="1"/>
  <c r="GL62" i="1"/>
  <c r="GL63" i="1"/>
  <c r="GL64" i="1"/>
  <c r="GL65" i="1"/>
  <c r="GL66" i="1"/>
  <c r="GL67" i="1"/>
  <c r="GL68" i="1"/>
  <c r="GL69" i="1"/>
  <c r="GL70" i="1"/>
  <c r="GL71" i="1"/>
  <c r="GL72" i="1"/>
  <c r="GL73" i="1"/>
  <c r="GL74" i="1"/>
  <c r="GL75" i="1"/>
  <c r="GL76" i="1"/>
  <c r="GL77" i="1"/>
  <c r="GL78" i="1"/>
  <c r="GL79" i="1"/>
  <c r="GL80" i="1"/>
  <c r="GL81" i="1"/>
  <c r="GL82" i="1"/>
  <c r="GL83" i="1"/>
  <c r="GL84" i="1"/>
  <c r="GL85" i="1"/>
  <c r="GL86" i="1"/>
  <c r="GL87" i="1"/>
  <c r="GL88" i="1"/>
  <c r="GK7" i="1"/>
  <c r="GK8" i="1"/>
  <c r="GK9" i="1"/>
  <c r="GK10" i="1"/>
  <c r="IS10" i="1" s="1"/>
  <c r="GK11" i="1"/>
  <c r="IS11" i="1" s="1"/>
  <c r="GK12" i="1"/>
  <c r="GK13" i="1"/>
  <c r="GK14" i="1"/>
  <c r="GK15" i="1"/>
  <c r="GK16" i="1"/>
  <c r="GK17" i="1"/>
  <c r="IS17" i="1" s="1"/>
  <c r="GK18" i="1"/>
  <c r="IS18" i="1" s="1"/>
  <c r="GK19" i="1"/>
  <c r="IS19" i="1" s="1"/>
  <c r="GK20" i="1"/>
  <c r="GK21" i="1"/>
  <c r="GK22" i="1"/>
  <c r="GK23" i="1"/>
  <c r="GK24" i="1"/>
  <c r="GK25" i="1"/>
  <c r="GK26" i="1"/>
  <c r="GK27" i="1"/>
  <c r="IS27" i="1" s="1"/>
  <c r="GK28" i="1"/>
  <c r="IS28" i="1" s="1"/>
  <c r="GK29" i="1"/>
  <c r="GK30" i="1"/>
  <c r="GK31" i="1"/>
  <c r="GK32" i="1"/>
  <c r="GK33" i="1"/>
  <c r="GK34" i="1"/>
  <c r="IS34" i="1" s="1"/>
  <c r="GK35" i="1"/>
  <c r="GK36" i="1"/>
  <c r="GK37" i="1"/>
  <c r="GK38" i="1"/>
  <c r="IS38" i="1" s="1"/>
  <c r="GK39" i="1"/>
  <c r="GK40" i="1"/>
  <c r="GK41" i="1"/>
  <c r="GK42" i="1"/>
  <c r="IS42" i="1" s="1"/>
  <c r="GK43" i="1"/>
  <c r="GK44" i="1"/>
  <c r="GK45" i="1"/>
  <c r="GK46" i="1"/>
  <c r="IS46" i="1" s="1"/>
  <c r="GK47" i="1"/>
  <c r="GK48" i="1"/>
  <c r="GK49" i="1"/>
  <c r="GK50" i="1"/>
  <c r="IS50" i="1" s="1"/>
  <c r="GK51" i="1"/>
  <c r="IS51" i="1" s="1"/>
  <c r="GK52" i="1"/>
  <c r="GK53" i="1"/>
  <c r="GK54" i="1"/>
  <c r="GK55" i="1"/>
  <c r="GK56" i="1"/>
  <c r="GK57" i="1"/>
  <c r="GK58" i="1"/>
  <c r="GK59" i="1"/>
  <c r="GK60" i="1"/>
  <c r="GK61" i="1"/>
  <c r="GK62" i="1"/>
  <c r="IS62" i="1" s="1"/>
  <c r="GK63" i="1"/>
  <c r="GK64" i="1"/>
  <c r="GK65" i="1"/>
  <c r="GK66" i="1"/>
  <c r="GK67" i="1"/>
  <c r="GK68" i="1"/>
  <c r="GK69" i="1"/>
  <c r="GK70" i="1"/>
  <c r="IS70" i="1" s="1"/>
  <c r="GK71" i="1"/>
  <c r="GK72" i="1"/>
  <c r="GK73" i="1"/>
  <c r="GK74" i="1"/>
  <c r="GK75" i="1"/>
  <c r="GK76" i="1"/>
  <c r="GK77" i="1"/>
  <c r="GK78" i="1"/>
  <c r="GK79" i="1"/>
  <c r="IS79" i="1" s="1"/>
  <c r="GK80" i="1"/>
  <c r="GK81" i="1"/>
  <c r="GK82" i="1"/>
  <c r="GK83" i="1"/>
  <c r="GK84" i="1"/>
  <c r="GK85" i="1"/>
  <c r="GK86" i="1"/>
  <c r="IS86" i="1" s="1"/>
  <c r="GK87" i="1"/>
  <c r="GK88" i="1"/>
  <c r="GJ88" i="1"/>
  <c r="GJ87" i="1"/>
  <c r="GJ86" i="1"/>
  <c r="GJ85" i="1"/>
  <c r="GJ84" i="1"/>
  <c r="GJ83" i="1"/>
  <c r="GJ82" i="1"/>
  <c r="GJ81" i="1"/>
  <c r="IR81" i="1" s="1"/>
  <c r="GJ80" i="1"/>
  <c r="GJ79" i="1"/>
  <c r="IR79" i="1" s="1"/>
  <c r="GJ78" i="1"/>
  <c r="GJ77" i="1"/>
  <c r="GJ76" i="1"/>
  <c r="GJ75" i="1"/>
  <c r="GJ74" i="1"/>
  <c r="GJ73" i="1"/>
  <c r="IR73" i="1" s="1"/>
  <c r="GJ72" i="1"/>
  <c r="GJ71" i="1"/>
  <c r="GJ70" i="1"/>
  <c r="GJ69" i="1"/>
  <c r="GJ68" i="1"/>
  <c r="IR68" i="1" s="1"/>
  <c r="GJ67" i="1"/>
  <c r="GJ66" i="1"/>
  <c r="GJ65" i="1"/>
  <c r="GJ64" i="1"/>
  <c r="GJ63" i="1"/>
  <c r="GJ62" i="1"/>
  <c r="GJ61" i="1"/>
  <c r="GJ60" i="1"/>
  <c r="GJ59" i="1"/>
  <c r="GJ58" i="1"/>
  <c r="GJ57" i="1"/>
  <c r="GJ56" i="1"/>
  <c r="GJ55" i="1"/>
  <c r="GJ54" i="1"/>
  <c r="GJ53" i="1"/>
  <c r="GJ52" i="1"/>
  <c r="GJ51" i="1"/>
  <c r="GJ50" i="1"/>
  <c r="GJ49" i="1"/>
  <c r="IR49" i="1" s="1"/>
  <c r="GJ48" i="1"/>
  <c r="GJ47" i="1"/>
  <c r="GJ46" i="1"/>
  <c r="GJ45" i="1"/>
  <c r="GJ44" i="1"/>
  <c r="GJ43" i="1"/>
  <c r="GJ42" i="1"/>
  <c r="GJ41" i="1"/>
  <c r="GJ40" i="1"/>
  <c r="IR40" i="1" s="1"/>
  <c r="GJ39" i="1"/>
  <c r="GJ38" i="1"/>
  <c r="GJ37" i="1"/>
  <c r="GJ36" i="1"/>
  <c r="GJ35" i="1"/>
  <c r="GJ34" i="1"/>
  <c r="GJ33" i="1"/>
  <c r="GJ32" i="1"/>
  <c r="GJ31" i="1"/>
  <c r="GJ30" i="1"/>
  <c r="GJ29" i="1"/>
  <c r="GJ28" i="1"/>
  <c r="IR28" i="1" s="1"/>
  <c r="GJ27" i="1"/>
  <c r="IR27" i="1" s="1"/>
  <c r="GJ26" i="1"/>
  <c r="GJ25" i="1"/>
  <c r="IR25" i="1" s="1"/>
  <c r="GJ24" i="1"/>
  <c r="GJ23" i="1"/>
  <c r="GJ22" i="1"/>
  <c r="GJ21" i="1"/>
  <c r="GJ20" i="1"/>
  <c r="GJ19" i="1"/>
  <c r="GJ18" i="1"/>
  <c r="GJ17" i="1"/>
  <c r="IR17" i="1" s="1"/>
  <c r="GJ16" i="1"/>
  <c r="GJ15" i="1"/>
  <c r="GJ14" i="1"/>
  <c r="GJ13" i="1"/>
  <c r="GJ12" i="1"/>
  <c r="IR12" i="1" s="1"/>
  <c r="GJ11" i="1"/>
  <c r="GJ10" i="1"/>
  <c r="GJ9" i="1"/>
  <c r="GJ8" i="1"/>
  <c r="GJ7" i="1"/>
  <c r="GI7" i="1"/>
  <c r="GI8" i="1"/>
  <c r="GI9" i="1"/>
  <c r="GI10" i="1"/>
  <c r="GI11" i="1"/>
  <c r="GI12" i="1"/>
  <c r="GI13" i="1"/>
  <c r="GI14" i="1"/>
  <c r="GI15" i="1"/>
  <c r="GI16" i="1"/>
  <c r="GI17" i="1"/>
  <c r="GI18" i="1"/>
  <c r="GI19" i="1"/>
  <c r="GI20" i="1"/>
  <c r="GI21" i="1"/>
  <c r="GI22" i="1"/>
  <c r="GI23" i="1"/>
  <c r="GI24" i="1"/>
  <c r="GI25" i="1"/>
  <c r="GI26" i="1"/>
  <c r="GI27" i="1"/>
  <c r="IQ27" i="1" s="1"/>
  <c r="GI28" i="1"/>
  <c r="IQ28" i="1" s="1"/>
  <c r="GI29" i="1"/>
  <c r="GI30" i="1"/>
  <c r="GI31" i="1"/>
  <c r="GI32" i="1"/>
  <c r="GI33" i="1"/>
  <c r="GI34" i="1"/>
  <c r="GI35" i="1"/>
  <c r="GI36" i="1"/>
  <c r="GI37" i="1"/>
  <c r="GI38" i="1"/>
  <c r="GI39" i="1"/>
  <c r="GI40" i="1"/>
  <c r="IQ40" i="1" s="1"/>
  <c r="GI41" i="1"/>
  <c r="GI42" i="1"/>
  <c r="GI43" i="1"/>
  <c r="GI44" i="1"/>
  <c r="GI45" i="1"/>
  <c r="GI46" i="1"/>
  <c r="GI47" i="1"/>
  <c r="GI48" i="1"/>
  <c r="GI49" i="1"/>
  <c r="GI50" i="1"/>
  <c r="GI51" i="1"/>
  <c r="GI52" i="1"/>
  <c r="GI53" i="1"/>
  <c r="GI54" i="1"/>
  <c r="GI55" i="1"/>
  <c r="GI56" i="1"/>
  <c r="GI57" i="1"/>
  <c r="GI58" i="1"/>
  <c r="GI59" i="1"/>
  <c r="GI60" i="1"/>
  <c r="GI61" i="1"/>
  <c r="GI62" i="1"/>
  <c r="GI63" i="1"/>
  <c r="GI64" i="1"/>
  <c r="GI65" i="1"/>
  <c r="GI66" i="1"/>
  <c r="GI67" i="1"/>
  <c r="GI68" i="1"/>
  <c r="GI69" i="1"/>
  <c r="GI70" i="1"/>
  <c r="GI71" i="1"/>
  <c r="GI72" i="1"/>
  <c r="GI73" i="1"/>
  <c r="GI74" i="1"/>
  <c r="GI75" i="1"/>
  <c r="GI76" i="1"/>
  <c r="GI77" i="1"/>
  <c r="GI78" i="1"/>
  <c r="GI79" i="1"/>
  <c r="GI80" i="1"/>
  <c r="GI81" i="1"/>
  <c r="GI82" i="1"/>
  <c r="GI83" i="1"/>
  <c r="GI84" i="1"/>
  <c r="GI85" i="1"/>
  <c r="GI86" i="1"/>
  <c r="GI87" i="1"/>
  <c r="GI88" i="1"/>
  <c r="GH7" i="1"/>
  <c r="GH8" i="1"/>
  <c r="GH9" i="1"/>
  <c r="GH10" i="1"/>
  <c r="GH11" i="1"/>
  <c r="GH12" i="1"/>
  <c r="GH13" i="1"/>
  <c r="GH14" i="1"/>
  <c r="GH15" i="1"/>
  <c r="GH16" i="1"/>
  <c r="GH17" i="1"/>
  <c r="GH18" i="1"/>
  <c r="GH19" i="1"/>
  <c r="GH20" i="1"/>
  <c r="GH21" i="1"/>
  <c r="GH22" i="1"/>
  <c r="GH23" i="1"/>
  <c r="GH24" i="1"/>
  <c r="GH25" i="1"/>
  <c r="GH26" i="1"/>
  <c r="GH27" i="1"/>
  <c r="IP27" i="1" s="1"/>
  <c r="GH28" i="1"/>
  <c r="IP28" i="1" s="1"/>
  <c r="GH29" i="1"/>
  <c r="GH30" i="1"/>
  <c r="GH31" i="1"/>
  <c r="GH32" i="1"/>
  <c r="GH33" i="1"/>
  <c r="GH34" i="1"/>
  <c r="GH35" i="1"/>
  <c r="GH36" i="1"/>
  <c r="GH37" i="1"/>
  <c r="GH38" i="1"/>
  <c r="GH39" i="1"/>
  <c r="GH40" i="1"/>
  <c r="IP40" i="1" s="1"/>
  <c r="GH41" i="1"/>
  <c r="GH42" i="1"/>
  <c r="GH43" i="1"/>
  <c r="GH44" i="1"/>
  <c r="GH45" i="1"/>
  <c r="GH46" i="1"/>
  <c r="GH47" i="1"/>
  <c r="GH48" i="1"/>
  <c r="GH49" i="1"/>
  <c r="GH50" i="1"/>
  <c r="GH51" i="1"/>
  <c r="GH52" i="1"/>
  <c r="GH53" i="1"/>
  <c r="GH54" i="1"/>
  <c r="GH55" i="1"/>
  <c r="GH56" i="1"/>
  <c r="GH57" i="1"/>
  <c r="GH58" i="1"/>
  <c r="GH59" i="1"/>
  <c r="GH60" i="1"/>
  <c r="GH61" i="1"/>
  <c r="GH62" i="1"/>
  <c r="GH63" i="1"/>
  <c r="GH64" i="1"/>
  <c r="GH65" i="1"/>
  <c r="GH66" i="1"/>
  <c r="GH67" i="1"/>
  <c r="GH68" i="1"/>
  <c r="GH69" i="1"/>
  <c r="GH70" i="1"/>
  <c r="GH71" i="1"/>
  <c r="GH72" i="1"/>
  <c r="GH73" i="1"/>
  <c r="GH74" i="1"/>
  <c r="GH75" i="1"/>
  <c r="GH76" i="1"/>
  <c r="GH77" i="1"/>
  <c r="GH78" i="1"/>
  <c r="GH79" i="1"/>
  <c r="GH80" i="1"/>
  <c r="GH81" i="1"/>
  <c r="GH82" i="1"/>
  <c r="GH83" i="1"/>
  <c r="GH84" i="1"/>
  <c r="GH85" i="1"/>
  <c r="GH86" i="1"/>
  <c r="GH87" i="1"/>
  <c r="GH88" i="1"/>
  <c r="GG7" i="1"/>
  <c r="GG8" i="1"/>
  <c r="GG9" i="1"/>
  <c r="GG10" i="1"/>
  <c r="GG11" i="1"/>
  <c r="GG12" i="1"/>
  <c r="GG13" i="1"/>
  <c r="GG14" i="1"/>
  <c r="GG15" i="1"/>
  <c r="GG16" i="1"/>
  <c r="GG17" i="1"/>
  <c r="IO17" i="1" s="1"/>
  <c r="GG18" i="1"/>
  <c r="GG19" i="1"/>
  <c r="GG20" i="1"/>
  <c r="GG21" i="1"/>
  <c r="GG22" i="1"/>
  <c r="GG23" i="1"/>
  <c r="GG24" i="1"/>
  <c r="GG25" i="1"/>
  <c r="GG26" i="1"/>
  <c r="GG27" i="1"/>
  <c r="IO27" i="1" s="1"/>
  <c r="GG28" i="1"/>
  <c r="IO28" i="1" s="1"/>
  <c r="GG29" i="1"/>
  <c r="GG30" i="1"/>
  <c r="GG31" i="1"/>
  <c r="GG32" i="1"/>
  <c r="GG33" i="1"/>
  <c r="GG34" i="1"/>
  <c r="GG35" i="1"/>
  <c r="GG36" i="1"/>
  <c r="GG37" i="1"/>
  <c r="GG38" i="1"/>
  <c r="GG39" i="1"/>
  <c r="GG40" i="1"/>
  <c r="IO40" i="1" s="1"/>
  <c r="GG41" i="1"/>
  <c r="GG42" i="1"/>
  <c r="IO42" i="1" s="1"/>
  <c r="GG43" i="1"/>
  <c r="GG44" i="1"/>
  <c r="GG45" i="1"/>
  <c r="GG46" i="1"/>
  <c r="GG47" i="1"/>
  <c r="GG48" i="1"/>
  <c r="GG49" i="1"/>
  <c r="GG50" i="1"/>
  <c r="IO50" i="1" s="1"/>
  <c r="GG51" i="1"/>
  <c r="GG52" i="1"/>
  <c r="GG53" i="1"/>
  <c r="GG54" i="1"/>
  <c r="GG55" i="1"/>
  <c r="GG56" i="1"/>
  <c r="GG57" i="1"/>
  <c r="GG58" i="1"/>
  <c r="GG59" i="1"/>
  <c r="GG60" i="1"/>
  <c r="GG61" i="1"/>
  <c r="GG62" i="1"/>
  <c r="GG63" i="1"/>
  <c r="GG64" i="1"/>
  <c r="GG65" i="1"/>
  <c r="GG66" i="1"/>
  <c r="GG67" i="1"/>
  <c r="GG68" i="1"/>
  <c r="GG69" i="1"/>
  <c r="GG70" i="1"/>
  <c r="GG71" i="1"/>
  <c r="GG72" i="1"/>
  <c r="GG73" i="1"/>
  <c r="GG74" i="1"/>
  <c r="GG75" i="1"/>
  <c r="GG76" i="1"/>
  <c r="GG77" i="1"/>
  <c r="GG78" i="1"/>
  <c r="GG79" i="1"/>
  <c r="IO79" i="1" s="1"/>
  <c r="GG80" i="1"/>
  <c r="GG81" i="1"/>
  <c r="GG82" i="1"/>
  <c r="GG83" i="1"/>
  <c r="GG84" i="1"/>
  <c r="GG85" i="1"/>
  <c r="IO85" i="1" s="1"/>
  <c r="GG86" i="1"/>
  <c r="GG87" i="1"/>
  <c r="GG88" i="1"/>
  <c r="GF7" i="1"/>
  <c r="GF8" i="1"/>
  <c r="GF9" i="1"/>
  <c r="GF10" i="1"/>
  <c r="GF11" i="1"/>
  <c r="GF12" i="1"/>
  <c r="GF13" i="1"/>
  <c r="GF14" i="1"/>
  <c r="GF15" i="1"/>
  <c r="GF16" i="1"/>
  <c r="GF17" i="1"/>
  <c r="IN17" i="1" s="1"/>
  <c r="GF18" i="1"/>
  <c r="GF19" i="1"/>
  <c r="GF20" i="1"/>
  <c r="GF21" i="1"/>
  <c r="GF22" i="1"/>
  <c r="GF23" i="1"/>
  <c r="GF24" i="1"/>
  <c r="GF25" i="1"/>
  <c r="GF26" i="1"/>
  <c r="GF27" i="1"/>
  <c r="IN27" i="1" s="1"/>
  <c r="GF28" i="1"/>
  <c r="IN28" i="1" s="1"/>
  <c r="GF29" i="1"/>
  <c r="GF30" i="1"/>
  <c r="GF31" i="1"/>
  <c r="GF32" i="1"/>
  <c r="GF33" i="1"/>
  <c r="GF34" i="1"/>
  <c r="GF35" i="1"/>
  <c r="GF36" i="1"/>
  <c r="GF37" i="1"/>
  <c r="GF38" i="1"/>
  <c r="GF39" i="1"/>
  <c r="GF40" i="1"/>
  <c r="IN40" i="1" s="1"/>
  <c r="GF41" i="1"/>
  <c r="GF42" i="1"/>
  <c r="GF43" i="1"/>
  <c r="GF44" i="1"/>
  <c r="GF45" i="1"/>
  <c r="GF46" i="1"/>
  <c r="GF47" i="1"/>
  <c r="GF48" i="1"/>
  <c r="GF49" i="1"/>
  <c r="GF50" i="1"/>
  <c r="GF51" i="1"/>
  <c r="GF52" i="1"/>
  <c r="GF53" i="1"/>
  <c r="GF54" i="1"/>
  <c r="GF55" i="1"/>
  <c r="GF56" i="1"/>
  <c r="GF57" i="1"/>
  <c r="GF58" i="1"/>
  <c r="GF59" i="1"/>
  <c r="GF60" i="1"/>
  <c r="GF61" i="1"/>
  <c r="GF62" i="1"/>
  <c r="GF63" i="1"/>
  <c r="GF64" i="1"/>
  <c r="GF65" i="1"/>
  <c r="GF66" i="1"/>
  <c r="GF67" i="1"/>
  <c r="GF68" i="1"/>
  <c r="GF69" i="1"/>
  <c r="GF70" i="1"/>
  <c r="GF71" i="1"/>
  <c r="GF72" i="1"/>
  <c r="GF73" i="1"/>
  <c r="GF74" i="1"/>
  <c r="GF75" i="1"/>
  <c r="GF76" i="1"/>
  <c r="GF77" i="1"/>
  <c r="GF78" i="1"/>
  <c r="GF79" i="1"/>
  <c r="IN79" i="1" s="1"/>
  <c r="GF80" i="1"/>
  <c r="GF81" i="1"/>
  <c r="GF82" i="1"/>
  <c r="GF83" i="1"/>
  <c r="GF84" i="1"/>
  <c r="GF85" i="1"/>
  <c r="IN85" i="1" s="1"/>
  <c r="GF86" i="1"/>
  <c r="GF87" i="1"/>
  <c r="GF88" i="1"/>
  <c r="GE7" i="1"/>
  <c r="GE8" i="1"/>
  <c r="IM8" i="1" s="1"/>
  <c r="GE9" i="1"/>
  <c r="GE10" i="1"/>
  <c r="GE11" i="1"/>
  <c r="GE12" i="1"/>
  <c r="GE13" i="1"/>
  <c r="GE14" i="1"/>
  <c r="IM14" i="1" s="1"/>
  <c r="GE15" i="1"/>
  <c r="GE16" i="1"/>
  <c r="GE17" i="1"/>
  <c r="GE18" i="1"/>
  <c r="GE19" i="1"/>
  <c r="GE20" i="1"/>
  <c r="GE21" i="1"/>
  <c r="GE22" i="1"/>
  <c r="GE23" i="1"/>
  <c r="GE24" i="1"/>
  <c r="GE25" i="1"/>
  <c r="GE26" i="1"/>
  <c r="GE27" i="1"/>
  <c r="GE28" i="1"/>
  <c r="GE29" i="1"/>
  <c r="GE30" i="1"/>
  <c r="GE31" i="1"/>
  <c r="GE32" i="1"/>
  <c r="GE33" i="1"/>
  <c r="GE34" i="1"/>
  <c r="GE35" i="1"/>
  <c r="GE36" i="1"/>
  <c r="GE37" i="1"/>
  <c r="GE38" i="1"/>
  <c r="GE39" i="1"/>
  <c r="GE40" i="1"/>
  <c r="GE41" i="1"/>
  <c r="GE42" i="1"/>
  <c r="GE43" i="1"/>
  <c r="GE44" i="1"/>
  <c r="GE45" i="1"/>
  <c r="GE46" i="1"/>
  <c r="GE47" i="1"/>
  <c r="GE48" i="1"/>
  <c r="GE49" i="1"/>
  <c r="GE50" i="1"/>
  <c r="GE51" i="1"/>
  <c r="GE52" i="1"/>
  <c r="GE53" i="1"/>
  <c r="GE54" i="1"/>
  <c r="GE55" i="1"/>
  <c r="GE56" i="1"/>
  <c r="GE57" i="1"/>
  <c r="GE58" i="1"/>
  <c r="GE59" i="1"/>
  <c r="GE60" i="1"/>
  <c r="GE61" i="1"/>
  <c r="GE62" i="1"/>
  <c r="GE63" i="1"/>
  <c r="GE64" i="1"/>
  <c r="GE65" i="1"/>
  <c r="GE66" i="1"/>
  <c r="GE67" i="1"/>
  <c r="GE68" i="1"/>
  <c r="GE69" i="1"/>
  <c r="GE70" i="1"/>
  <c r="GE71" i="1"/>
  <c r="GE72" i="1"/>
  <c r="GE73" i="1"/>
  <c r="GE74" i="1"/>
  <c r="GE75" i="1"/>
  <c r="GE76" i="1"/>
  <c r="GE77" i="1"/>
  <c r="GE78" i="1"/>
  <c r="GE79" i="1"/>
  <c r="GE80" i="1"/>
  <c r="GE81" i="1"/>
  <c r="GE82" i="1"/>
  <c r="GE83" i="1"/>
  <c r="GE84" i="1"/>
  <c r="GE85" i="1"/>
  <c r="GE86" i="1"/>
  <c r="GE87" i="1"/>
  <c r="GE88" i="1"/>
  <c r="GD7" i="1"/>
  <c r="GD8" i="1"/>
  <c r="IL8" i="1" s="1"/>
  <c r="GD9" i="1"/>
  <c r="GD10" i="1"/>
  <c r="GD11" i="1"/>
  <c r="GD12" i="1"/>
  <c r="GD13" i="1"/>
  <c r="GD14" i="1"/>
  <c r="IL14" i="1" s="1"/>
  <c r="GD15" i="1"/>
  <c r="GD16" i="1"/>
  <c r="GD17" i="1"/>
  <c r="GD18" i="1"/>
  <c r="GD19" i="1"/>
  <c r="GD20" i="1"/>
  <c r="GD21" i="1"/>
  <c r="GD22" i="1"/>
  <c r="GD23" i="1"/>
  <c r="GD24" i="1"/>
  <c r="GD25" i="1"/>
  <c r="GD26" i="1"/>
  <c r="GD27" i="1"/>
  <c r="GD28" i="1"/>
  <c r="GD29" i="1"/>
  <c r="GD30" i="1"/>
  <c r="GD31" i="1"/>
  <c r="GD32" i="1"/>
  <c r="GD33" i="1"/>
  <c r="GD34" i="1"/>
  <c r="GD35" i="1"/>
  <c r="GD36" i="1"/>
  <c r="GD37" i="1"/>
  <c r="GD38" i="1"/>
  <c r="GD39" i="1"/>
  <c r="GD40" i="1"/>
  <c r="GD41" i="1"/>
  <c r="GD42" i="1"/>
  <c r="GD43" i="1"/>
  <c r="GD44" i="1"/>
  <c r="GD45" i="1"/>
  <c r="GD46" i="1"/>
  <c r="GD47" i="1"/>
  <c r="GD48" i="1"/>
  <c r="GD49" i="1"/>
  <c r="GD50" i="1"/>
  <c r="GD51" i="1"/>
  <c r="GD52" i="1"/>
  <c r="GD53" i="1"/>
  <c r="GD54" i="1"/>
  <c r="GD55" i="1"/>
  <c r="GD56" i="1"/>
  <c r="GD57" i="1"/>
  <c r="GD58" i="1"/>
  <c r="GD59" i="1"/>
  <c r="GD60" i="1"/>
  <c r="GD61" i="1"/>
  <c r="GD62" i="1"/>
  <c r="GD63" i="1"/>
  <c r="GD64" i="1"/>
  <c r="GD65" i="1"/>
  <c r="GD66" i="1"/>
  <c r="GD67" i="1"/>
  <c r="GD68" i="1"/>
  <c r="GD69" i="1"/>
  <c r="GD70" i="1"/>
  <c r="GD71" i="1"/>
  <c r="GD72" i="1"/>
  <c r="GD73" i="1"/>
  <c r="GD74" i="1"/>
  <c r="GD75" i="1"/>
  <c r="GD76" i="1"/>
  <c r="GD77" i="1"/>
  <c r="GD78" i="1"/>
  <c r="GD79" i="1"/>
  <c r="GD80" i="1"/>
  <c r="GD81" i="1"/>
  <c r="GD82" i="1"/>
  <c r="GD83" i="1"/>
  <c r="GD84" i="1"/>
  <c r="GD85" i="1"/>
  <c r="GD86" i="1"/>
  <c r="GD87" i="1"/>
  <c r="GD88" i="1"/>
  <c r="GC7" i="1"/>
  <c r="GC8" i="1"/>
  <c r="IK8" i="1" s="1"/>
  <c r="GC9" i="1"/>
  <c r="GC10" i="1"/>
  <c r="IK10" i="1" s="1"/>
  <c r="GC11" i="1"/>
  <c r="IK11" i="1" s="1"/>
  <c r="GC12" i="1"/>
  <c r="GC13" i="1"/>
  <c r="GC14" i="1"/>
  <c r="IK14" i="1" s="1"/>
  <c r="RF14" i="1" s="1"/>
  <c r="GC15" i="1"/>
  <c r="GC16" i="1"/>
  <c r="GC17" i="1"/>
  <c r="GC18" i="1"/>
  <c r="IK18" i="1" s="1"/>
  <c r="GC19" i="1"/>
  <c r="IK19" i="1" s="1"/>
  <c r="GC20" i="1"/>
  <c r="GC21" i="1"/>
  <c r="GC22" i="1"/>
  <c r="IK22" i="1" s="1"/>
  <c r="GC23" i="1"/>
  <c r="GC24" i="1"/>
  <c r="GC25" i="1"/>
  <c r="GC26" i="1"/>
  <c r="GC27" i="1"/>
  <c r="GC28" i="1"/>
  <c r="GC29" i="1"/>
  <c r="GC30" i="1"/>
  <c r="GC31" i="1"/>
  <c r="GC32" i="1"/>
  <c r="GC33" i="1"/>
  <c r="GC34" i="1"/>
  <c r="IK34" i="1" s="1"/>
  <c r="GC35" i="1"/>
  <c r="IK35" i="1" s="1"/>
  <c r="GC36" i="1"/>
  <c r="GC37" i="1"/>
  <c r="GC38" i="1"/>
  <c r="IK38" i="1" s="1"/>
  <c r="GC39" i="1"/>
  <c r="GC40" i="1"/>
  <c r="GC41" i="1"/>
  <c r="IK41" i="1" s="1"/>
  <c r="GC42" i="1"/>
  <c r="IK42" i="1" s="1"/>
  <c r="GC43" i="1"/>
  <c r="IK43" i="1" s="1"/>
  <c r="GC44" i="1"/>
  <c r="GC45" i="1"/>
  <c r="GC46" i="1"/>
  <c r="IK46" i="1" s="1"/>
  <c r="GC47" i="1"/>
  <c r="GC48" i="1"/>
  <c r="GC49" i="1"/>
  <c r="IK49" i="1" s="1"/>
  <c r="GC50" i="1"/>
  <c r="IK50" i="1" s="1"/>
  <c r="GC51" i="1"/>
  <c r="IK51" i="1" s="1"/>
  <c r="GC52" i="1"/>
  <c r="GC53" i="1"/>
  <c r="GC54" i="1"/>
  <c r="GC55" i="1"/>
  <c r="GC56" i="1"/>
  <c r="GC57" i="1"/>
  <c r="IK57" i="1" s="1"/>
  <c r="GC58" i="1"/>
  <c r="IK58" i="1" s="1"/>
  <c r="GC59" i="1"/>
  <c r="IK59" i="1" s="1"/>
  <c r="GC60" i="1"/>
  <c r="GC61" i="1"/>
  <c r="GC62" i="1"/>
  <c r="IK62" i="1" s="1"/>
  <c r="GC63" i="1"/>
  <c r="GC64" i="1"/>
  <c r="GC65" i="1"/>
  <c r="IK65" i="1" s="1"/>
  <c r="GC66" i="1"/>
  <c r="IK66" i="1" s="1"/>
  <c r="GC67" i="1"/>
  <c r="IK67" i="1" s="1"/>
  <c r="GC68" i="1"/>
  <c r="GC69" i="1"/>
  <c r="GC70" i="1"/>
  <c r="IK70" i="1" s="1"/>
  <c r="GC71" i="1"/>
  <c r="GC72" i="1"/>
  <c r="GC73" i="1"/>
  <c r="IK73" i="1" s="1"/>
  <c r="GC74" i="1"/>
  <c r="IK74" i="1" s="1"/>
  <c r="GC75" i="1"/>
  <c r="IK75" i="1" s="1"/>
  <c r="GC76" i="1"/>
  <c r="GC77" i="1"/>
  <c r="GC78" i="1"/>
  <c r="IK78" i="1" s="1"/>
  <c r="GC79" i="1"/>
  <c r="IK79" i="1" s="1"/>
  <c r="GC80" i="1"/>
  <c r="GC81" i="1"/>
  <c r="IK81" i="1" s="1"/>
  <c r="GC82" i="1"/>
  <c r="GC83" i="1"/>
  <c r="IK83" i="1" s="1"/>
  <c r="GC84" i="1"/>
  <c r="GC85" i="1"/>
  <c r="GC86" i="1"/>
  <c r="IK86" i="1" s="1"/>
  <c r="GC87" i="1"/>
  <c r="GC88" i="1"/>
  <c r="GB7" i="1"/>
  <c r="IJ7" i="1" s="1"/>
  <c r="GB8" i="1"/>
  <c r="IJ8" i="1" s="1"/>
  <c r="GB9" i="1"/>
  <c r="IJ9" i="1" s="1"/>
  <c r="GB10" i="1"/>
  <c r="GB11" i="1"/>
  <c r="GB12" i="1"/>
  <c r="IJ12" i="1" s="1"/>
  <c r="GB13" i="1"/>
  <c r="GB14" i="1"/>
  <c r="IJ14" i="1" s="1"/>
  <c r="GB15" i="1"/>
  <c r="IJ15" i="1" s="1"/>
  <c r="GB16" i="1"/>
  <c r="IJ16" i="1" s="1"/>
  <c r="GB17" i="1"/>
  <c r="IJ17" i="1" s="1"/>
  <c r="GB18" i="1"/>
  <c r="GB19" i="1"/>
  <c r="GB20" i="1"/>
  <c r="IJ20" i="1" s="1"/>
  <c r="GB21" i="1"/>
  <c r="GB22" i="1"/>
  <c r="GB23" i="1"/>
  <c r="IJ23" i="1" s="1"/>
  <c r="GB24" i="1"/>
  <c r="IJ24" i="1" s="1"/>
  <c r="GB25" i="1"/>
  <c r="IJ25" i="1" s="1"/>
  <c r="GB26" i="1"/>
  <c r="GB27" i="1"/>
  <c r="GB28" i="1"/>
  <c r="GB29" i="1"/>
  <c r="GB30" i="1"/>
  <c r="GB31" i="1"/>
  <c r="IJ31" i="1" s="1"/>
  <c r="GB32" i="1"/>
  <c r="GB33" i="1"/>
  <c r="IJ33" i="1" s="1"/>
  <c r="GB34" i="1"/>
  <c r="GB35" i="1"/>
  <c r="GB36" i="1"/>
  <c r="IJ36" i="1" s="1"/>
  <c r="GB37" i="1"/>
  <c r="GB38" i="1"/>
  <c r="GB39" i="1"/>
  <c r="GB40" i="1"/>
  <c r="IJ40" i="1" s="1"/>
  <c r="GB41" i="1"/>
  <c r="IJ41" i="1" s="1"/>
  <c r="GB42" i="1"/>
  <c r="GB43" i="1"/>
  <c r="GB44" i="1"/>
  <c r="IJ44" i="1" s="1"/>
  <c r="GB45" i="1"/>
  <c r="GB46" i="1"/>
  <c r="GB47" i="1"/>
  <c r="IJ47" i="1" s="1"/>
  <c r="GB48" i="1"/>
  <c r="IJ48" i="1" s="1"/>
  <c r="GB49" i="1"/>
  <c r="IJ49" i="1" s="1"/>
  <c r="GB50" i="1"/>
  <c r="GB51" i="1"/>
  <c r="GB52" i="1"/>
  <c r="IJ52" i="1" s="1"/>
  <c r="GB53" i="1"/>
  <c r="GB54" i="1"/>
  <c r="GB55" i="1"/>
  <c r="GB56" i="1"/>
  <c r="IJ56" i="1" s="1"/>
  <c r="GB57" i="1"/>
  <c r="IJ57" i="1" s="1"/>
  <c r="GB58" i="1"/>
  <c r="GB59" i="1"/>
  <c r="GB60" i="1"/>
  <c r="IJ60" i="1" s="1"/>
  <c r="GB61" i="1"/>
  <c r="GB62" i="1"/>
  <c r="GB63" i="1"/>
  <c r="IJ63" i="1" s="1"/>
  <c r="GB64" i="1"/>
  <c r="IJ64" i="1" s="1"/>
  <c r="GB65" i="1"/>
  <c r="IJ65" i="1" s="1"/>
  <c r="GB66" i="1"/>
  <c r="GB67" i="1"/>
  <c r="GB68" i="1"/>
  <c r="IJ68" i="1" s="1"/>
  <c r="GB69" i="1"/>
  <c r="GB70" i="1"/>
  <c r="GB71" i="1"/>
  <c r="IJ71" i="1" s="1"/>
  <c r="GB72" i="1"/>
  <c r="IJ72" i="1" s="1"/>
  <c r="GB73" i="1"/>
  <c r="IJ73" i="1" s="1"/>
  <c r="GB74" i="1"/>
  <c r="GB75" i="1"/>
  <c r="GB76" i="1"/>
  <c r="IJ76" i="1" s="1"/>
  <c r="GB77" i="1"/>
  <c r="GB78" i="1"/>
  <c r="GB79" i="1"/>
  <c r="IJ79" i="1" s="1"/>
  <c r="GB80" i="1"/>
  <c r="IJ80" i="1" s="1"/>
  <c r="GB81" i="1"/>
  <c r="IJ81" i="1" s="1"/>
  <c r="GB82" i="1"/>
  <c r="GB83" i="1"/>
  <c r="GB84" i="1"/>
  <c r="IJ84" i="1" s="1"/>
  <c r="GB85" i="1"/>
  <c r="GB86" i="1"/>
  <c r="GB87" i="1"/>
  <c r="IJ87" i="1" s="1"/>
  <c r="GB88" i="1"/>
  <c r="IJ88" i="1" s="1"/>
  <c r="GA7" i="1"/>
  <c r="GA8" i="1"/>
  <c r="II8" i="1" s="1"/>
  <c r="GA9" i="1"/>
  <c r="GA10" i="1"/>
  <c r="GA11" i="1"/>
  <c r="GA12" i="1"/>
  <c r="GA13" i="1"/>
  <c r="GA14" i="1"/>
  <c r="GA15" i="1"/>
  <c r="GA16" i="1"/>
  <c r="GA17" i="1"/>
  <c r="GA18" i="1"/>
  <c r="GA19" i="1"/>
  <c r="GA20" i="1"/>
  <c r="GA21" i="1"/>
  <c r="GA22" i="1"/>
  <c r="GA23" i="1"/>
  <c r="GA24" i="1"/>
  <c r="GA25" i="1"/>
  <c r="GA26" i="1"/>
  <c r="GA27" i="1"/>
  <c r="GA28" i="1"/>
  <c r="GA29" i="1"/>
  <c r="GA30" i="1"/>
  <c r="GA31" i="1"/>
  <c r="GA32" i="1"/>
  <c r="GA33" i="1"/>
  <c r="GA34" i="1"/>
  <c r="GA35" i="1"/>
  <c r="GA36" i="1"/>
  <c r="GA37" i="1"/>
  <c r="GA38" i="1"/>
  <c r="GA39" i="1"/>
  <c r="GA40" i="1"/>
  <c r="GA41" i="1"/>
  <c r="GA42" i="1"/>
  <c r="GA43" i="1"/>
  <c r="GA44" i="1"/>
  <c r="GA45" i="1"/>
  <c r="GA46" i="1"/>
  <c r="GA47" i="1"/>
  <c r="GA48" i="1"/>
  <c r="GA49" i="1"/>
  <c r="GA50" i="1"/>
  <c r="GA51" i="1"/>
  <c r="GA52" i="1"/>
  <c r="GA53" i="1"/>
  <c r="GA54" i="1"/>
  <c r="GA55" i="1"/>
  <c r="GA56" i="1"/>
  <c r="GA57" i="1"/>
  <c r="GA58" i="1"/>
  <c r="GA59" i="1"/>
  <c r="GA60" i="1"/>
  <c r="GA61" i="1"/>
  <c r="GA62" i="1"/>
  <c r="GA63" i="1"/>
  <c r="GA64" i="1"/>
  <c r="GA65" i="1"/>
  <c r="GA66" i="1"/>
  <c r="GA67" i="1"/>
  <c r="GA68" i="1"/>
  <c r="GA69" i="1"/>
  <c r="GA70" i="1"/>
  <c r="GA71" i="1"/>
  <c r="GA72" i="1"/>
  <c r="GA73" i="1"/>
  <c r="GA74" i="1"/>
  <c r="GA75" i="1"/>
  <c r="GA76" i="1"/>
  <c r="GA77" i="1"/>
  <c r="GA78" i="1"/>
  <c r="GA79" i="1"/>
  <c r="GA80" i="1"/>
  <c r="GA81" i="1"/>
  <c r="GA82" i="1"/>
  <c r="GA83" i="1"/>
  <c r="GA84" i="1"/>
  <c r="GA85" i="1"/>
  <c r="GA86" i="1"/>
  <c r="GA87" i="1"/>
  <c r="GA88" i="1"/>
  <c r="FZ7" i="1"/>
  <c r="FZ8" i="1"/>
  <c r="IH8" i="1" s="1"/>
  <c r="FZ9" i="1"/>
  <c r="FZ10" i="1"/>
  <c r="IH10" i="1" s="1"/>
  <c r="FZ11" i="1"/>
  <c r="FZ12" i="1"/>
  <c r="FZ13" i="1"/>
  <c r="FZ14" i="1"/>
  <c r="FZ15" i="1"/>
  <c r="FZ16" i="1"/>
  <c r="FZ17" i="1"/>
  <c r="FZ18" i="1"/>
  <c r="IH18" i="1" s="1"/>
  <c r="FZ19" i="1"/>
  <c r="FZ20" i="1"/>
  <c r="FZ21" i="1"/>
  <c r="FZ22" i="1"/>
  <c r="FZ23" i="1"/>
  <c r="FZ24" i="1"/>
  <c r="FZ25" i="1"/>
  <c r="FZ26" i="1"/>
  <c r="FZ27" i="1"/>
  <c r="FZ28" i="1"/>
  <c r="FZ29" i="1"/>
  <c r="FZ30" i="1"/>
  <c r="FZ31" i="1"/>
  <c r="FZ32" i="1"/>
  <c r="FZ33" i="1"/>
  <c r="FZ34" i="1"/>
  <c r="IH34" i="1" s="1"/>
  <c r="FZ35" i="1"/>
  <c r="FZ36" i="1"/>
  <c r="FZ37" i="1"/>
  <c r="FZ38" i="1"/>
  <c r="FZ39" i="1"/>
  <c r="FZ40" i="1"/>
  <c r="FZ41" i="1"/>
  <c r="FZ42" i="1"/>
  <c r="IH42" i="1" s="1"/>
  <c r="FZ43" i="1"/>
  <c r="FZ44" i="1"/>
  <c r="FZ45" i="1"/>
  <c r="FZ46" i="1"/>
  <c r="FZ47" i="1"/>
  <c r="FZ48" i="1"/>
  <c r="FZ49" i="1"/>
  <c r="FZ50" i="1"/>
  <c r="IH50" i="1" s="1"/>
  <c r="FZ51" i="1"/>
  <c r="FZ52" i="1"/>
  <c r="FZ53" i="1"/>
  <c r="FZ54" i="1"/>
  <c r="FZ55" i="1"/>
  <c r="FZ56" i="1"/>
  <c r="FZ57" i="1"/>
  <c r="FZ58" i="1"/>
  <c r="IH58" i="1" s="1"/>
  <c r="FZ59" i="1"/>
  <c r="FZ60" i="1"/>
  <c r="FZ61" i="1"/>
  <c r="FZ62" i="1"/>
  <c r="FZ63" i="1"/>
  <c r="FZ64" i="1"/>
  <c r="FZ65" i="1"/>
  <c r="FZ66" i="1"/>
  <c r="IH66" i="1" s="1"/>
  <c r="FZ67" i="1"/>
  <c r="FZ68" i="1"/>
  <c r="FZ69" i="1"/>
  <c r="FZ70" i="1"/>
  <c r="FZ71" i="1"/>
  <c r="FZ72" i="1"/>
  <c r="FZ73" i="1"/>
  <c r="FZ74" i="1"/>
  <c r="FZ75" i="1"/>
  <c r="FZ76" i="1"/>
  <c r="FZ77" i="1"/>
  <c r="FZ78" i="1"/>
  <c r="FZ79" i="1"/>
  <c r="FZ80" i="1"/>
  <c r="FZ81" i="1"/>
  <c r="FZ82" i="1"/>
  <c r="FZ83" i="1"/>
  <c r="FZ84" i="1"/>
  <c r="FZ85" i="1"/>
  <c r="FZ86" i="1"/>
  <c r="FZ87" i="1"/>
  <c r="FZ88" i="1"/>
  <c r="FY7" i="1"/>
  <c r="FY8" i="1"/>
  <c r="IG8" i="1" s="1"/>
  <c r="FY9" i="1"/>
  <c r="IG9" i="1" s="1"/>
  <c r="FY10" i="1"/>
  <c r="IG10" i="1" s="1"/>
  <c r="FY11" i="1"/>
  <c r="IG11" i="1" s="1"/>
  <c r="FY12" i="1"/>
  <c r="FY13" i="1"/>
  <c r="FY14" i="1"/>
  <c r="FY15" i="1"/>
  <c r="FY16" i="1"/>
  <c r="FY17" i="1"/>
  <c r="IG17" i="1" s="1"/>
  <c r="FY18" i="1"/>
  <c r="IG18" i="1" s="1"/>
  <c r="FY19" i="1"/>
  <c r="IG19" i="1" s="1"/>
  <c r="FY20" i="1"/>
  <c r="FY21" i="1"/>
  <c r="FY22" i="1"/>
  <c r="IG22" i="1" s="1"/>
  <c r="FY23" i="1"/>
  <c r="FY24" i="1"/>
  <c r="FY25" i="1"/>
  <c r="IG25" i="1" s="1"/>
  <c r="FY26" i="1"/>
  <c r="FY27" i="1"/>
  <c r="FY28" i="1"/>
  <c r="FY29" i="1"/>
  <c r="FY30" i="1"/>
  <c r="FY31" i="1"/>
  <c r="FY32" i="1"/>
  <c r="FY33" i="1"/>
  <c r="IG33" i="1" s="1"/>
  <c r="FY34" i="1"/>
  <c r="IG34" i="1" s="1"/>
  <c r="FY35" i="1"/>
  <c r="IG35" i="1" s="1"/>
  <c r="FY36" i="1"/>
  <c r="FY37" i="1"/>
  <c r="FY38" i="1"/>
  <c r="IG38" i="1" s="1"/>
  <c r="FY39" i="1"/>
  <c r="FY40" i="1"/>
  <c r="FY41" i="1"/>
  <c r="IG41" i="1" s="1"/>
  <c r="FY42" i="1"/>
  <c r="IG42" i="1" s="1"/>
  <c r="FY43" i="1"/>
  <c r="IG43" i="1" s="1"/>
  <c r="FY44" i="1"/>
  <c r="FY45" i="1"/>
  <c r="FY46" i="1"/>
  <c r="IG46" i="1" s="1"/>
  <c r="FY47" i="1"/>
  <c r="FY48" i="1"/>
  <c r="FY49" i="1"/>
  <c r="IG49" i="1" s="1"/>
  <c r="FY50" i="1"/>
  <c r="IG50" i="1" s="1"/>
  <c r="FY51" i="1"/>
  <c r="FY52" i="1"/>
  <c r="FY53" i="1"/>
  <c r="FY54" i="1"/>
  <c r="FY55" i="1"/>
  <c r="FY56" i="1"/>
  <c r="FY57" i="1"/>
  <c r="IG57" i="1" s="1"/>
  <c r="FY58" i="1"/>
  <c r="IG58" i="1" s="1"/>
  <c r="FY59" i="1"/>
  <c r="IG59" i="1" s="1"/>
  <c r="FY60" i="1"/>
  <c r="FY61" i="1"/>
  <c r="FY62" i="1"/>
  <c r="FY63" i="1"/>
  <c r="FY64" i="1"/>
  <c r="FY65" i="1"/>
  <c r="IG65" i="1" s="1"/>
  <c r="FY66" i="1"/>
  <c r="IG66" i="1" s="1"/>
  <c r="FY67" i="1"/>
  <c r="IG67" i="1" s="1"/>
  <c r="FY68" i="1"/>
  <c r="FY69" i="1"/>
  <c r="FY70" i="1"/>
  <c r="IG70" i="1" s="1"/>
  <c r="FY71" i="1"/>
  <c r="FY72" i="1"/>
  <c r="FY73" i="1"/>
  <c r="FY74" i="1"/>
  <c r="FY75" i="1"/>
  <c r="FY76" i="1"/>
  <c r="FY77" i="1"/>
  <c r="FY78" i="1"/>
  <c r="FY79" i="1"/>
  <c r="IG79" i="1" s="1"/>
  <c r="FY80" i="1"/>
  <c r="FY81" i="1"/>
  <c r="IG81" i="1" s="1"/>
  <c r="FY82" i="1"/>
  <c r="FY83" i="1"/>
  <c r="FY84" i="1"/>
  <c r="FY85" i="1"/>
  <c r="FY86" i="1"/>
  <c r="IG86" i="1" s="1"/>
  <c r="FY87" i="1"/>
  <c r="FY88" i="1"/>
  <c r="FX88" i="1"/>
  <c r="IF88" i="1" s="1"/>
  <c r="FX87" i="1"/>
  <c r="FX86" i="1"/>
  <c r="FX85" i="1"/>
  <c r="FX84" i="1"/>
  <c r="FX83" i="1"/>
  <c r="FX82" i="1"/>
  <c r="FX81" i="1"/>
  <c r="IF81" i="1" s="1"/>
  <c r="FX80" i="1"/>
  <c r="IF80" i="1" s="1"/>
  <c r="FX79" i="1"/>
  <c r="IF79" i="1" s="1"/>
  <c r="FX78" i="1"/>
  <c r="FX77" i="1"/>
  <c r="FX76" i="1"/>
  <c r="FX75" i="1"/>
  <c r="FX74" i="1"/>
  <c r="FX73" i="1"/>
  <c r="FX72" i="1"/>
  <c r="IF72" i="1" s="1"/>
  <c r="FX71" i="1"/>
  <c r="FX70" i="1"/>
  <c r="FX69" i="1"/>
  <c r="FX68" i="1"/>
  <c r="IF68" i="1" s="1"/>
  <c r="FX67" i="1"/>
  <c r="FX66" i="1"/>
  <c r="FX65" i="1"/>
  <c r="IF65" i="1" s="1"/>
  <c r="FX64" i="1"/>
  <c r="IF64" i="1" s="1"/>
  <c r="FX63" i="1"/>
  <c r="FX62" i="1"/>
  <c r="FX61" i="1"/>
  <c r="FX60" i="1"/>
  <c r="IF60" i="1" s="1"/>
  <c r="FX59" i="1"/>
  <c r="FX58" i="1"/>
  <c r="FX57" i="1"/>
  <c r="IF57" i="1" s="1"/>
  <c r="FX56" i="1"/>
  <c r="IF56" i="1" s="1"/>
  <c r="FX55" i="1"/>
  <c r="FX54" i="1"/>
  <c r="FX53" i="1"/>
  <c r="FX52" i="1"/>
  <c r="IF52" i="1" s="1"/>
  <c r="FX51" i="1"/>
  <c r="FX50" i="1"/>
  <c r="FX49" i="1"/>
  <c r="IF49" i="1" s="1"/>
  <c r="FX48" i="1"/>
  <c r="IF48" i="1" s="1"/>
  <c r="FX47" i="1"/>
  <c r="FX46" i="1"/>
  <c r="FX45" i="1"/>
  <c r="FX44" i="1"/>
  <c r="IF44" i="1" s="1"/>
  <c r="FX43" i="1"/>
  <c r="FX42" i="1"/>
  <c r="FX41" i="1"/>
  <c r="IF41" i="1" s="1"/>
  <c r="FX40" i="1"/>
  <c r="IF40" i="1" s="1"/>
  <c r="FX39" i="1"/>
  <c r="FX38" i="1"/>
  <c r="FX37" i="1"/>
  <c r="FX36" i="1"/>
  <c r="IF36" i="1" s="1"/>
  <c r="FX35" i="1"/>
  <c r="FX34" i="1"/>
  <c r="FX33" i="1"/>
  <c r="IF33" i="1" s="1"/>
  <c r="FX32" i="1"/>
  <c r="FX31" i="1"/>
  <c r="FX30" i="1"/>
  <c r="FX29" i="1"/>
  <c r="FX28" i="1"/>
  <c r="FX27" i="1"/>
  <c r="IF27" i="1" s="1"/>
  <c r="PF27" i="1" s="1"/>
  <c r="FX26" i="1"/>
  <c r="FX25" i="1"/>
  <c r="IF25" i="1" s="1"/>
  <c r="FX24" i="1"/>
  <c r="FX23" i="1"/>
  <c r="FX22" i="1"/>
  <c r="FX21" i="1"/>
  <c r="FX20" i="1"/>
  <c r="FX19" i="1"/>
  <c r="FX18" i="1"/>
  <c r="FX17" i="1"/>
  <c r="IF17" i="1" s="1"/>
  <c r="FX16" i="1"/>
  <c r="IF16" i="1" s="1"/>
  <c r="FX15" i="1"/>
  <c r="FX14" i="1"/>
  <c r="FX13" i="1"/>
  <c r="FX12" i="1"/>
  <c r="IF12" i="1" s="1"/>
  <c r="FX11" i="1"/>
  <c r="FX10" i="1"/>
  <c r="FX9" i="1"/>
  <c r="IF9" i="1" s="1"/>
  <c r="FX8" i="1"/>
  <c r="IF8" i="1" s="1"/>
  <c r="FX7" i="1"/>
  <c r="FW7" i="1"/>
  <c r="FW8" i="1"/>
  <c r="IE8" i="1" s="1"/>
  <c r="FW9" i="1"/>
  <c r="FW10" i="1"/>
  <c r="FW11" i="1"/>
  <c r="FW12" i="1"/>
  <c r="FW13" i="1"/>
  <c r="FW14" i="1"/>
  <c r="FW15" i="1"/>
  <c r="FW16" i="1"/>
  <c r="FW17" i="1"/>
  <c r="FW18" i="1"/>
  <c r="FW19" i="1"/>
  <c r="FW20" i="1"/>
  <c r="FW21" i="1"/>
  <c r="FW22" i="1"/>
  <c r="FW23" i="1"/>
  <c r="FW24" i="1"/>
  <c r="FW25" i="1"/>
  <c r="FW26" i="1"/>
  <c r="FW27" i="1"/>
  <c r="FW28" i="1"/>
  <c r="FW29" i="1"/>
  <c r="FW30" i="1"/>
  <c r="FW31" i="1"/>
  <c r="FW32" i="1"/>
  <c r="FW33" i="1"/>
  <c r="FW34" i="1"/>
  <c r="FW35" i="1"/>
  <c r="FW36" i="1"/>
  <c r="FW37" i="1"/>
  <c r="FW38" i="1"/>
  <c r="FW39" i="1"/>
  <c r="FW40" i="1"/>
  <c r="FW41" i="1"/>
  <c r="FW42" i="1"/>
  <c r="FW43" i="1"/>
  <c r="FW44" i="1"/>
  <c r="FW45" i="1"/>
  <c r="FW46" i="1"/>
  <c r="FW47" i="1"/>
  <c r="FW48" i="1"/>
  <c r="FW49" i="1"/>
  <c r="FW50" i="1"/>
  <c r="FW51" i="1"/>
  <c r="FW52" i="1"/>
  <c r="FW53" i="1"/>
  <c r="FW54" i="1"/>
  <c r="FW55" i="1"/>
  <c r="FW56" i="1"/>
  <c r="FW57" i="1"/>
  <c r="FW58" i="1"/>
  <c r="FW59" i="1"/>
  <c r="FW60" i="1"/>
  <c r="FW61" i="1"/>
  <c r="FW62" i="1"/>
  <c r="FW63" i="1"/>
  <c r="FW64" i="1"/>
  <c r="FW65" i="1"/>
  <c r="FW66" i="1"/>
  <c r="FW67" i="1"/>
  <c r="FW68" i="1"/>
  <c r="FW69" i="1"/>
  <c r="FW70" i="1"/>
  <c r="FW71" i="1"/>
  <c r="FW72" i="1"/>
  <c r="FW73" i="1"/>
  <c r="FW74" i="1"/>
  <c r="FW75" i="1"/>
  <c r="FW76" i="1"/>
  <c r="FW77" i="1"/>
  <c r="FW78" i="1"/>
  <c r="FW79" i="1"/>
  <c r="FW80" i="1"/>
  <c r="FW81" i="1"/>
  <c r="FW82" i="1"/>
  <c r="FW83" i="1"/>
  <c r="FW84" i="1"/>
  <c r="FW85" i="1"/>
  <c r="FW86" i="1"/>
  <c r="FW87" i="1"/>
  <c r="FW88" i="1"/>
  <c r="FV7" i="1"/>
  <c r="FV8" i="1"/>
  <c r="ID8" i="1" s="1"/>
  <c r="FV9" i="1"/>
  <c r="FV10" i="1"/>
  <c r="FV11" i="1"/>
  <c r="FV12" i="1"/>
  <c r="FV13" i="1"/>
  <c r="FV14" i="1"/>
  <c r="FV15" i="1"/>
  <c r="FV16" i="1"/>
  <c r="FV17" i="1"/>
  <c r="FV18" i="1"/>
  <c r="FV19" i="1"/>
  <c r="FV20" i="1"/>
  <c r="FV21" i="1"/>
  <c r="FV22" i="1"/>
  <c r="FV23" i="1"/>
  <c r="FV24" i="1"/>
  <c r="FV25" i="1"/>
  <c r="FV26" i="1"/>
  <c r="FV27" i="1"/>
  <c r="FV28" i="1"/>
  <c r="FV29" i="1"/>
  <c r="FV30" i="1"/>
  <c r="FV31" i="1"/>
  <c r="FV32" i="1"/>
  <c r="FV33" i="1"/>
  <c r="FV34" i="1"/>
  <c r="FV35" i="1"/>
  <c r="FV36" i="1"/>
  <c r="FV37" i="1"/>
  <c r="FV38" i="1"/>
  <c r="FV39" i="1"/>
  <c r="FV40" i="1"/>
  <c r="FV41" i="1"/>
  <c r="FV42" i="1"/>
  <c r="FV43" i="1"/>
  <c r="FV44" i="1"/>
  <c r="FV45" i="1"/>
  <c r="FV46" i="1"/>
  <c r="FV47" i="1"/>
  <c r="FV48" i="1"/>
  <c r="FV49" i="1"/>
  <c r="FV50" i="1"/>
  <c r="FV51" i="1"/>
  <c r="FV52" i="1"/>
  <c r="FV53" i="1"/>
  <c r="FV54" i="1"/>
  <c r="FV55" i="1"/>
  <c r="FV56" i="1"/>
  <c r="FV57" i="1"/>
  <c r="FV58" i="1"/>
  <c r="FV59" i="1"/>
  <c r="FV60" i="1"/>
  <c r="FV61" i="1"/>
  <c r="FV62" i="1"/>
  <c r="FV63" i="1"/>
  <c r="FV64" i="1"/>
  <c r="FV65" i="1"/>
  <c r="FV66" i="1"/>
  <c r="FV67" i="1"/>
  <c r="FV68" i="1"/>
  <c r="FV69" i="1"/>
  <c r="FV70" i="1"/>
  <c r="FV71" i="1"/>
  <c r="FV72" i="1"/>
  <c r="FV73" i="1"/>
  <c r="FV74" i="1"/>
  <c r="FV75" i="1"/>
  <c r="FV76" i="1"/>
  <c r="FV77" i="1"/>
  <c r="FV78" i="1"/>
  <c r="FV79" i="1"/>
  <c r="FV80" i="1"/>
  <c r="FV81" i="1"/>
  <c r="FV82" i="1"/>
  <c r="FV83" i="1"/>
  <c r="FV84" i="1"/>
  <c r="FV85" i="1"/>
  <c r="FV86" i="1"/>
  <c r="FV87" i="1"/>
  <c r="FV88" i="1"/>
  <c r="FU7" i="1"/>
  <c r="FU8" i="1"/>
  <c r="IC8" i="1" s="1"/>
  <c r="FU9" i="1"/>
  <c r="FU10" i="1"/>
  <c r="FU11" i="1"/>
  <c r="IC11" i="1" s="1"/>
  <c r="FU12" i="1"/>
  <c r="FU13" i="1"/>
  <c r="FU14" i="1"/>
  <c r="FU15" i="1"/>
  <c r="FU16" i="1"/>
  <c r="FU17" i="1"/>
  <c r="IC17" i="1" s="1"/>
  <c r="FU18" i="1"/>
  <c r="IC18" i="1" s="1"/>
  <c r="FU19" i="1"/>
  <c r="IC19" i="1" s="1"/>
  <c r="FU20" i="1"/>
  <c r="FU21" i="1"/>
  <c r="FU22" i="1"/>
  <c r="IC22" i="1" s="1"/>
  <c r="FU23" i="1"/>
  <c r="FU24" i="1"/>
  <c r="FU25" i="1"/>
  <c r="IC25" i="1" s="1"/>
  <c r="FU26" i="1"/>
  <c r="FU27" i="1"/>
  <c r="FU28" i="1"/>
  <c r="FU29" i="1"/>
  <c r="FU30" i="1"/>
  <c r="FU31" i="1"/>
  <c r="FU32" i="1"/>
  <c r="FU33" i="1"/>
  <c r="IC33" i="1" s="1"/>
  <c r="FU34" i="1"/>
  <c r="IC34" i="1" s="1"/>
  <c r="FU35" i="1"/>
  <c r="IC35" i="1" s="1"/>
  <c r="FU36" i="1"/>
  <c r="FU37" i="1"/>
  <c r="FU38" i="1"/>
  <c r="IC38" i="1" s="1"/>
  <c r="FU39" i="1"/>
  <c r="FU40" i="1"/>
  <c r="FU41" i="1"/>
  <c r="FU42" i="1"/>
  <c r="FU43" i="1"/>
  <c r="IC43" i="1" s="1"/>
  <c r="FU44" i="1"/>
  <c r="FU45" i="1"/>
  <c r="FU46" i="1"/>
  <c r="FU47" i="1"/>
  <c r="FU48" i="1"/>
  <c r="FU49" i="1"/>
  <c r="FU50" i="1"/>
  <c r="IC50" i="1" s="1"/>
  <c r="FU51" i="1"/>
  <c r="FU52" i="1"/>
  <c r="FU53" i="1"/>
  <c r="FU54" i="1"/>
  <c r="FU55" i="1"/>
  <c r="FU56" i="1"/>
  <c r="FU57" i="1"/>
  <c r="FU58" i="1"/>
  <c r="FU59" i="1"/>
  <c r="FU60" i="1"/>
  <c r="FU61" i="1"/>
  <c r="FU62" i="1"/>
  <c r="FU63" i="1"/>
  <c r="FU64" i="1"/>
  <c r="FU65" i="1"/>
  <c r="IC65" i="1" s="1"/>
  <c r="FU66" i="1"/>
  <c r="FU67" i="1"/>
  <c r="IC67" i="1" s="1"/>
  <c r="FU68" i="1"/>
  <c r="FU69" i="1"/>
  <c r="FU70" i="1"/>
  <c r="FU71" i="1"/>
  <c r="FU72" i="1"/>
  <c r="FU73" i="1"/>
  <c r="FU74" i="1"/>
  <c r="FU75" i="1"/>
  <c r="FU76" i="1"/>
  <c r="FU77" i="1"/>
  <c r="FU78" i="1"/>
  <c r="FU79" i="1"/>
  <c r="IC79" i="1" s="1"/>
  <c r="FU80" i="1"/>
  <c r="FU81" i="1"/>
  <c r="IC81" i="1" s="1"/>
  <c r="FU82" i="1"/>
  <c r="FU83" i="1"/>
  <c r="FU84" i="1"/>
  <c r="FU85" i="1"/>
  <c r="FU86" i="1"/>
  <c r="FU87" i="1"/>
  <c r="FU88" i="1"/>
  <c r="FT7" i="1"/>
  <c r="IB7" i="1" s="1"/>
  <c r="FT8" i="1"/>
  <c r="IB8" i="1" s="1"/>
  <c r="FT9" i="1"/>
  <c r="FT10" i="1"/>
  <c r="FT11" i="1"/>
  <c r="FT12" i="1"/>
  <c r="IB12" i="1" s="1"/>
  <c r="FT13" i="1"/>
  <c r="FT14" i="1"/>
  <c r="FT15" i="1"/>
  <c r="FT16" i="1"/>
  <c r="FT17" i="1"/>
  <c r="IB17" i="1" s="1"/>
  <c r="FT18" i="1"/>
  <c r="FT19" i="1"/>
  <c r="FT20" i="1"/>
  <c r="FT21" i="1"/>
  <c r="FT22" i="1"/>
  <c r="FT23" i="1"/>
  <c r="FT24" i="1"/>
  <c r="FT25" i="1"/>
  <c r="IB25" i="1" s="1"/>
  <c r="FT26" i="1"/>
  <c r="FT27" i="1"/>
  <c r="FT28" i="1"/>
  <c r="FT29" i="1"/>
  <c r="FT30" i="1"/>
  <c r="FT31" i="1"/>
  <c r="FT32" i="1"/>
  <c r="FT33" i="1"/>
  <c r="IB33" i="1" s="1"/>
  <c r="FT34" i="1"/>
  <c r="FT35" i="1"/>
  <c r="FT36" i="1"/>
  <c r="FT37" i="1"/>
  <c r="FT38" i="1"/>
  <c r="FT39" i="1"/>
  <c r="FT40" i="1"/>
  <c r="IB40" i="1" s="1"/>
  <c r="FT41" i="1"/>
  <c r="FT42" i="1"/>
  <c r="FT43" i="1"/>
  <c r="FT44" i="1"/>
  <c r="IB44" i="1" s="1"/>
  <c r="FT45" i="1"/>
  <c r="FT46" i="1"/>
  <c r="FT47" i="1"/>
  <c r="IB47" i="1" s="1"/>
  <c r="FT48" i="1"/>
  <c r="FT49" i="1"/>
  <c r="FT50" i="1"/>
  <c r="FT51" i="1"/>
  <c r="FT52" i="1"/>
  <c r="IB52" i="1" s="1"/>
  <c r="FT53" i="1"/>
  <c r="FT54" i="1"/>
  <c r="FT55" i="1"/>
  <c r="FT56" i="1"/>
  <c r="FT57" i="1"/>
  <c r="FT58" i="1"/>
  <c r="FT59" i="1"/>
  <c r="FT60" i="1"/>
  <c r="IB60" i="1" s="1"/>
  <c r="FT61" i="1"/>
  <c r="FT62" i="1"/>
  <c r="FT63" i="1"/>
  <c r="FT64" i="1"/>
  <c r="IB64" i="1" s="1"/>
  <c r="FT65" i="1"/>
  <c r="IB65" i="1" s="1"/>
  <c r="FT66" i="1"/>
  <c r="FT67" i="1"/>
  <c r="FT68" i="1"/>
  <c r="IB68" i="1" s="1"/>
  <c r="FT69" i="1"/>
  <c r="FT70" i="1"/>
  <c r="FT71" i="1"/>
  <c r="IB71" i="1" s="1"/>
  <c r="FT72" i="1"/>
  <c r="FT73" i="1"/>
  <c r="FT74" i="1"/>
  <c r="FT75" i="1"/>
  <c r="FT76" i="1"/>
  <c r="FT77" i="1"/>
  <c r="FT78" i="1"/>
  <c r="FT79" i="1"/>
  <c r="IB79" i="1" s="1"/>
  <c r="FT80" i="1"/>
  <c r="IB80" i="1" s="1"/>
  <c r="FT81" i="1"/>
  <c r="IB81" i="1" s="1"/>
  <c r="FT82" i="1"/>
  <c r="FT83" i="1"/>
  <c r="FT84" i="1"/>
  <c r="FT85" i="1"/>
  <c r="FT86" i="1"/>
  <c r="FT87" i="1"/>
  <c r="IB87" i="1" s="1"/>
  <c r="FT88" i="1"/>
  <c r="FS7" i="1"/>
  <c r="FS8" i="1"/>
  <c r="FS9" i="1"/>
  <c r="FS10" i="1"/>
  <c r="FS11" i="1"/>
  <c r="FS12" i="1"/>
  <c r="FS13" i="1"/>
  <c r="FS14" i="1"/>
  <c r="FS15" i="1"/>
  <c r="FS16" i="1"/>
  <c r="FS17" i="1"/>
  <c r="FS18" i="1"/>
  <c r="FS19" i="1"/>
  <c r="FS20" i="1"/>
  <c r="FS21" i="1"/>
  <c r="FS22" i="1"/>
  <c r="FS23" i="1"/>
  <c r="FS24" i="1"/>
  <c r="FS25" i="1"/>
  <c r="FS26" i="1"/>
  <c r="FS27" i="1"/>
  <c r="FS28" i="1"/>
  <c r="FS29" i="1"/>
  <c r="FS30" i="1"/>
  <c r="FS31" i="1"/>
  <c r="FS32" i="1"/>
  <c r="FS33" i="1"/>
  <c r="IA33" i="1" s="1"/>
  <c r="FS34" i="1"/>
  <c r="FS35" i="1"/>
  <c r="FS36" i="1"/>
  <c r="FS37" i="1"/>
  <c r="FS38" i="1"/>
  <c r="FS39" i="1"/>
  <c r="FS40" i="1"/>
  <c r="FS41" i="1"/>
  <c r="FS42" i="1"/>
  <c r="FS43" i="1"/>
  <c r="FS44" i="1"/>
  <c r="FS45" i="1"/>
  <c r="FS46" i="1"/>
  <c r="FS47" i="1"/>
  <c r="FS48" i="1"/>
  <c r="FS49" i="1"/>
  <c r="FS50" i="1"/>
  <c r="FS51" i="1"/>
  <c r="FS52" i="1"/>
  <c r="FS53" i="1"/>
  <c r="FS54" i="1"/>
  <c r="FS55" i="1"/>
  <c r="FS56" i="1"/>
  <c r="FS57" i="1"/>
  <c r="FS58" i="1"/>
  <c r="FS59" i="1"/>
  <c r="FS60" i="1"/>
  <c r="FS61" i="1"/>
  <c r="FS62" i="1"/>
  <c r="FS63" i="1"/>
  <c r="FS64" i="1"/>
  <c r="FS65" i="1"/>
  <c r="FS66" i="1"/>
  <c r="FS67" i="1"/>
  <c r="FS68" i="1"/>
  <c r="FS69" i="1"/>
  <c r="FS70" i="1"/>
  <c r="FS71" i="1"/>
  <c r="FS72" i="1"/>
  <c r="FS73" i="1"/>
  <c r="FS74" i="1"/>
  <c r="FS75" i="1"/>
  <c r="FS76" i="1"/>
  <c r="FS77" i="1"/>
  <c r="FS78" i="1"/>
  <c r="FS79" i="1"/>
  <c r="FS80" i="1"/>
  <c r="FS81" i="1"/>
  <c r="FS82" i="1"/>
  <c r="FS83" i="1"/>
  <c r="FS84" i="1"/>
  <c r="FS85" i="1"/>
  <c r="FS86" i="1"/>
  <c r="FS87" i="1"/>
  <c r="FS88" i="1"/>
  <c r="FR7" i="1"/>
  <c r="FR8" i="1"/>
  <c r="FR9" i="1"/>
  <c r="FR10" i="1"/>
  <c r="FR11" i="1"/>
  <c r="FR12" i="1"/>
  <c r="FR13" i="1"/>
  <c r="FR14" i="1"/>
  <c r="FR15" i="1"/>
  <c r="FR16" i="1"/>
  <c r="FR17" i="1"/>
  <c r="FR18" i="1"/>
  <c r="FR19" i="1"/>
  <c r="FR20" i="1"/>
  <c r="FR21" i="1"/>
  <c r="FR22" i="1"/>
  <c r="FR23" i="1"/>
  <c r="FR24" i="1"/>
  <c r="FR25" i="1"/>
  <c r="FR26" i="1"/>
  <c r="FR27" i="1"/>
  <c r="FR28" i="1"/>
  <c r="FR29" i="1"/>
  <c r="FR30" i="1"/>
  <c r="FR31" i="1"/>
  <c r="FR32" i="1"/>
  <c r="FR33" i="1"/>
  <c r="HZ33" i="1" s="1"/>
  <c r="FR34" i="1"/>
  <c r="FR35" i="1"/>
  <c r="FR36" i="1"/>
  <c r="FR37" i="1"/>
  <c r="FR38" i="1"/>
  <c r="FR39" i="1"/>
  <c r="FR40" i="1"/>
  <c r="FR41" i="1"/>
  <c r="FR42" i="1"/>
  <c r="FR43" i="1"/>
  <c r="FR44" i="1"/>
  <c r="FR45" i="1"/>
  <c r="FR46" i="1"/>
  <c r="FR47" i="1"/>
  <c r="FR48" i="1"/>
  <c r="FR49" i="1"/>
  <c r="FR50" i="1"/>
  <c r="FR51" i="1"/>
  <c r="FR52" i="1"/>
  <c r="FR53" i="1"/>
  <c r="FR54" i="1"/>
  <c r="FR55" i="1"/>
  <c r="FR56" i="1"/>
  <c r="FR57" i="1"/>
  <c r="FR58" i="1"/>
  <c r="FR59" i="1"/>
  <c r="FR60" i="1"/>
  <c r="FR61" i="1"/>
  <c r="FR62" i="1"/>
  <c r="FR63" i="1"/>
  <c r="FR64" i="1"/>
  <c r="FR65" i="1"/>
  <c r="FR66" i="1"/>
  <c r="FR67" i="1"/>
  <c r="FR68" i="1"/>
  <c r="FR69" i="1"/>
  <c r="FR70" i="1"/>
  <c r="FR71" i="1"/>
  <c r="FR72" i="1"/>
  <c r="FR73" i="1"/>
  <c r="FR74" i="1"/>
  <c r="FR75" i="1"/>
  <c r="FR76" i="1"/>
  <c r="FR77" i="1"/>
  <c r="FR78" i="1"/>
  <c r="FR79" i="1"/>
  <c r="FR80" i="1"/>
  <c r="FR81" i="1"/>
  <c r="FR82" i="1"/>
  <c r="FR83" i="1"/>
  <c r="FR84" i="1"/>
  <c r="FR85" i="1"/>
  <c r="FR86" i="1"/>
  <c r="FR87" i="1"/>
  <c r="FR88" i="1"/>
  <c r="FQ7" i="1"/>
  <c r="FQ8" i="1"/>
  <c r="FQ9" i="1"/>
  <c r="FQ10" i="1"/>
  <c r="HY10" i="1" s="1"/>
  <c r="FQ11" i="1"/>
  <c r="HY11" i="1" s="1"/>
  <c r="FQ12" i="1"/>
  <c r="FQ13" i="1"/>
  <c r="FQ14" i="1"/>
  <c r="FQ15" i="1"/>
  <c r="FQ16" i="1"/>
  <c r="FQ17" i="1"/>
  <c r="HY17" i="1" s="1"/>
  <c r="FQ18" i="1"/>
  <c r="HY18" i="1" s="1"/>
  <c r="FQ19" i="1"/>
  <c r="HY19" i="1" s="1"/>
  <c r="FQ20" i="1"/>
  <c r="FQ21" i="1"/>
  <c r="FQ22" i="1"/>
  <c r="FQ23" i="1"/>
  <c r="FQ24" i="1"/>
  <c r="FQ25" i="1"/>
  <c r="FQ26" i="1"/>
  <c r="FQ27" i="1"/>
  <c r="FQ28" i="1"/>
  <c r="FQ29" i="1"/>
  <c r="FQ30" i="1"/>
  <c r="FQ31" i="1"/>
  <c r="FQ32" i="1"/>
  <c r="FQ33" i="1"/>
  <c r="HY33" i="1" s="1"/>
  <c r="FQ34" i="1"/>
  <c r="FQ35" i="1"/>
  <c r="HY35" i="1" s="1"/>
  <c r="FQ36" i="1"/>
  <c r="FQ37" i="1"/>
  <c r="FQ38" i="1"/>
  <c r="FQ39" i="1"/>
  <c r="FQ40" i="1"/>
  <c r="FQ41" i="1"/>
  <c r="FQ42" i="1"/>
  <c r="FQ43" i="1"/>
  <c r="FQ44" i="1"/>
  <c r="FQ45" i="1"/>
  <c r="FQ46" i="1"/>
  <c r="FQ47" i="1"/>
  <c r="FQ48" i="1"/>
  <c r="FQ49" i="1"/>
  <c r="FQ50" i="1"/>
  <c r="HY50" i="1" s="1"/>
  <c r="FQ51" i="1"/>
  <c r="HY51" i="1" s="1"/>
  <c r="FQ52" i="1"/>
  <c r="FQ53" i="1"/>
  <c r="FQ54" i="1"/>
  <c r="FQ55" i="1"/>
  <c r="FQ56" i="1"/>
  <c r="FQ57" i="1"/>
  <c r="HY57" i="1" s="1"/>
  <c r="FQ58" i="1"/>
  <c r="HY58" i="1" s="1"/>
  <c r="FQ59" i="1"/>
  <c r="FQ60" i="1"/>
  <c r="FQ61" i="1"/>
  <c r="FQ62" i="1"/>
  <c r="HY62" i="1" s="1"/>
  <c r="FQ63" i="1"/>
  <c r="FQ64" i="1"/>
  <c r="FQ65" i="1"/>
  <c r="FQ66" i="1"/>
  <c r="HY66" i="1" s="1"/>
  <c r="FQ67" i="1"/>
  <c r="HY67" i="1" s="1"/>
  <c r="FQ68" i="1"/>
  <c r="FQ69" i="1"/>
  <c r="FQ70" i="1"/>
  <c r="FQ71" i="1"/>
  <c r="FQ72" i="1"/>
  <c r="FQ73" i="1"/>
  <c r="HY73" i="1" s="1"/>
  <c r="FQ74" i="1"/>
  <c r="HY74" i="1" s="1"/>
  <c r="FQ75" i="1"/>
  <c r="HY75" i="1" s="1"/>
  <c r="FQ76" i="1"/>
  <c r="FQ77" i="1"/>
  <c r="FQ78" i="1"/>
  <c r="HY78" i="1" s="1"/>
  <c r="FQ79" i="1"/>
  <c r="FQ80" i="1"/>
  <c r="FQ81" i="1"/>
  <c r="FQ82" i="1"/>
  <c r="FQ83" i="1"/>
  <c r="FQ84" i="1"/>
  <c r="FQ85" i="1"/>
  <c r="FQ86" i="1"/>
  <c r="HY86" i="1" s="1"/>
  <c r="FQ87" i="1"/>
  <c r="FQ88" i="1"/>
  <c r="FP7" i="1"/>
  <c r="HX7" i="1" s="1"/>
  <c r="FP8" i="1"/>
  <c r="FP9" i="1"/>
  <c r="FP10" i="1"/>
  <c r="FP11" i="1"/>
  <c r="FP12" i="1"/>
  <c r="FP13" i="1"/>
  <c r="FP14" i="1"/>
  <c r="FP15" i="1"/>
  <c r="HX15" i="1" s="1"/>
  <c r="FP16" i="1"/>
  <c r="FP17" i="1"/>
  <c r="HX17" i="1" s="1"/>
  <c r="FP18" i="1"/>
  <c r="FP19" i="1"/>
  <c r="FP20" i="1"/>
  <c r="FP21" i="1"/>
  <c r="FP22" i="1"/>
  <c r="FP23" i="1"/>
  <c r="HX23" i="1" s="1"/>
  <c r="FP24" i="1"/>
  <c r="FP25" i="1"/>
  <c r="FP26" i="1"/>
  <c r="FP27" i="1"/>
  <c r="FP28" i="1"/>
  <c r="FP29" i="1"/>
  <c r="FP30" i="1"/>
  <c r="FP31" i="1"/>
  <c r="FP32" i="1"/>
  <c r="FP33" i="1"/>
  <c r="HX33" i="1" s="1"/>
  <c r="FP34" i="1"/>
  <c r="FP35" i="1"/>
  <c r="FP36" i="1"/>
  <c r="FP37" i="1"/>
  <c r="FP38" i="1"/>
  <c r="FP39" i="1"/>
  <c r="FP40" i="1"/>
  <c r="HX40" i="1" s="1"/>
  <c r="FP41" i="1"/>
  <c r="FP42" i="1"/>
  <c r="FP43" i="1"/>
  <c r="FP44" i="1"/>
  <c r="HX44" i="1" s="1"/>
  <c r="FP45" i="1"/>
  <c r="FP46" i="1"/>
  <c r="FP47" i="1"/>
  <c r="FP48" i="1"/>
  <c r="HX48" i="1" s="1"/>
  <c r="FP49" i="1"/>
  <c r="FP50" i="1"/>
  <c r="FP51" i="1"/>
  <c r="FP52" i="1"/>
  <c r="HX52" i="1" s="1"/>
  <c r="FP53" i="1"/>
  <c r="FP54" i="1"/>
  <c r="FP55" i="1"/>
  <c r="FP56" i="1"/>
  <c r="FP57" i="1"/>
  <c r="HX57" i="1" s="1"/>
  <c r="FP58" i="1"/>
  <c r="FP59" i="1"/>
  <c r="FP60" i="1"/>
  <c r="FP61" i="1"/>
  <c r="FP62" i="1"/>
  <c r="FP63" i="1"/>
  <c r="FP64" i="1"/>
  <c r="FP65" i="1"/>
  <c r="FP66" i="1"/>
  <c r="FP67" i="1"/>
  <c r="FP68" i="1"/>
  <c r="FP69" i="1"/>
  <c r="FP70" i="1"/>
  <c r="FP71" i="1"/>
  <c r="HX71" i="1" s="1"/>
  <c r="FP72" i="1"/>
  <c r="HX72" i="1" s="1"/>
  <c r="FP73" i="1"/>
  <c r="HX73" i="1" s="1"/>
  <c r="FP74" i="1"/>
  <c r="FP75" i="1"/>
  <c r="FP76" i="1"/>
  <c r="HX76" i="1" s="1"/>
  <c r="FP77" i="1"/>
  <c r="FP78" i="1"/>
  <c r="FP79" i="1"/>
  <c r="HX79" i="1" s="1"/>
  <c r="FP80" i="1"/>
  <c r="FP81" i="1"/>
  <c r="FP82" i="1"/>
  <c r="FP83" i="1"/>
  <c r="FP84" i="1"/>
  <c r="FP85" i="1"/>
  <c r="FP86" i="1"/>
  <c r="FP87" i="1"/>
  <c r="FP88" i="1"/>
  <c r="IF22" i="1" l="1"/>
  <c r="IR46" i="1"/>
  <c r="HX62" i="1"/>
  <c r="HY48" i="1"/>
  <c r="HZ74" i="1"/>
  <c r="HZ58" i="1"/>
  <c r="HZ18" i="1"/>
  <c r="IA76" i="1"/>
  <c r="IA52" i="1"/>
  <c r="IF38" i="1"/>
  <c r="IF86" i="1"/>
  <c r="IR86" i="1"/>
  <c r="IF7" i="1"/>
  <c r="IF23" i="1"/>
  <c r="IR70" i="1"/>
  <c r="IF70" i="1"/>
  <c r="IR38" i="1"/>
  <c r="HX86" i="1"/>
  <c r="ID50" i="1"/>
  <c r="ID18" i="1"/>
  <c r="IE68" i="1"/>
  <c r="IE52" i="1"/>
  <c r="IG88" i="1"/>
  <c r="IG80" i="1"/>
  <c r="IG72" i="1"/>
  <c r="IG56" i="1"/>
  <c r="IG48" i="1"/>
  <c r="IG40" i="1"/>
  <c r="IG16" i="1"/>
  <c r="II68" i="1"/>
  <c r="II60" i="1"/>
  <c r="II52" i="1"/>
  <c r="II44" i="1"/>
  <c r="II36" i="1"/>
  <c r="II12" i="1"/>
  <c r="IJ86" i="1"/>
  <c r="IJ78" i="1"/>
  <c r="IJ70" i="1"/>
  <c r="IJ62" i="1"/>
  <c r="IJ46" i="1"/>
  <c r="IJ38" i="1"/>
  <c r="IJ22" i="1"/>
  <c r="IK88" i="1"/>
  <c r="IK80" i="1"/>
  <c r="IK72" i="1"/>
  <c r="IK64" i="1"/>
  <c r="IK56" i="1"/>
  <c r="IK48" i="1"/>
  <c r="IK40" i="1"/>
  <c r="IK24" i="1"/>
  <c r="IK16" i="1"/>
  <c r="IL74" i="1"/>
  <c r="IL66" i="1"/>
  <c r="IL58" i="1"/>
  <c r="IL50" i="1"/>
  <c r="IL42" i="1"/>
  <c r="IL34" i="1"/>
  <c r="IL18" i="1"/>
  <c r="IL10" i="1"/>
  <c r="IM84" i="1"/>
  <c r="IM76" i="1"/>
  <c r="IM68" i="1"/>
  <c r="IR62" i="1"/>
  <c r="HX78" i="1"/>
  <c r="HY72" i="1"/>
  <c r="HY40" i="1"/>
  <c r="HZ66" i="1"/>
  <c r="HZ50" i="1"/>
  <c r="HZ10" i="1"/>
  <c r="IB38" i="1"/>
  <c r="IB22" i="1"/>
  <c r="IC80" i="1"/>
  <c r="IC64" i="1"/>
  <c r="IC40" i="1"/>
  <c r="ID34" i="1"/>
  <c r="IE60" i="1"/>
  <c r="IE44" i="1"/>
  <c r="IE12" i="1"/>
  <c r="IG64" i="1"/>
  <c r="IF46" i="1"/>
  <c r="IV75" i="1"/>
  <c r="IV67" i="1"/>
  <c r="IV59" i="1"/>
  <c r="IV51" i="1"/>
  <c r="IK33" i="1"/>
  <c r="IK25" i="1"/>
  <c r="IK17" i="1"/>
  <c r="IK9" i="1"/>
  <c r="IS81" i="1"/>
  <c r="IS73" i="1"/>
  <c r="IS49" i="1"/>
  <c r="IS25" i="1"/>
  <c r="IM60" i="1"/>
  <c r="IM52" i="1"/>
  <c r="IM44" i="1"/>
  <c r="IM36" i="1"/>
  <c r="IM20" i="1"/>
  <c r="IM12" i="1"/>
  <c r="IP50" i="1"/>
  <c r="IP42" i="1"/>
  <c r="IS40" i="1"/>
  <c r="IU68" i="1"/>
  <c r="IU12" i="1"/>
  <c r="IW38" i="1"/>
  <c r="IX32" i="1"/>
  <c r="IX24" i="1"/>
  <c r="IY74" i="1"/>
  <c r="IY66" i="1"/>
  <c r="IY58" i="1"/>
  <c r="IY50" i="1"/>
  <c r="IY42" i="1"/>
  <c r="IY34" i="1"/>
  <c r="IY18" i="1"/>
  <c r="IY10" i="1"/>
  <c r="IZ84" i="1"/>
  <c r="IZ76" i="1"/>
  <c r="IZ68" i="1"/>
  <c r="IZ60" i="1"/>
  <c r="IZ52" i="1"/>
  <c r="IZ44" i="1"/>
  <c r="IZ36" i="1"/>
  <c r="IZ28" i="1"/>
  <c r="IZ20" i="1"/>
  <c r="IZ12" i="1"/>
  <c r="JA86" i="1"/>
  <c r="JA78" i="1"/>
  <c r="JA70" i="1"/>
  <c r="JA62" i="1"/>
  <c r="JA54" i="1"/>
  <c r="JA46" i="1"/>
  <c r="JA38" i="1"/>
  <c r="JA22" i="1"/>
  <c r="JA14" i="1"/>
  <c r="JB80" i="1"/>
  <c r="JB72" i="1"/>
  <c r="JB64" i="1"/>
  <c r="JB56" i="1"/>
  <c r="JB48" i="1"/>
  <c r="JB40" i="1"/>
  <c r="JB32" i="1"/>
  <c r="JB24" i="1"/>
  <c r="JB8" i="1"/>
  <c r="JC82" i="1"/>
  <c r="JC74" i="1"/>
  <c r="JC66" i="1"/>
  <c r="JC58" i="1"/>
  <c r="JC50" i="1"/>
  <c r="JC42" i="1"/>
  <c r="JD12" i="1"/>
  <c r="JE38" i="1"/>
  <c r="JE14" i="1"/>
  <c r="JI70" i="1"/>
  <c r="JI46" i="1"/>
  <c r="JM9" i="1"/>
  <c r="JM17" i="1"/>
  <c r="JM25" i="1"/>
  <c r="JM33" i="1"/>
  <c r="JM41" i="1"/>
  <c r="JM49" i="1"/>
  <c r="JM57" i="1"/>
  <c r="JM65" i="1"/>
  <c r="JM73" i="1"/>
  <c r="JM81" i="1"/>
  <c r="JP84" i="1"/>
  <c r="JP76" i="1"/>
  <c r="JP68" i="1"/>
  <c r="JP52" i="1"/>
  <c r="JP28" i="1"/>
  <c r="JP12" i="1"/>
  <c r="JQ78" i="1"/>
  <c r="JQ70" i="1"/>
  <c r="JQ54" i="1"/>
  <c r="JQ38" i="1"/>
  <c r="JQ14" i="1"/>
  <c r="JX66" i="1"/>
  <c r="JX68" i="1"/>
  <c r="JX70" i="1"/>
  <c r="JM10" i="1"/>
  <c r="JM18" i="1"/>
  <c r="JM26" i="1"/>
  <c r="JM34" i="1"/>
  <c r="JM42" i="1"/>
  <c r="JM50" i="1"/>
  <c r="JM58" i="1"/>
  <c r="JM66" i="1"/>
  <c r="JM74" i="1"/>
  <c r="JM82" i="1"/>
  <c r="IJ83" i="1"/>
  <c r="IJ75" i="1"/>
  <c r="IJ67" i="1"/>
  <c r="IJ59" i="1"/>
  <c r="IJ51" i="1"/>
  <c r="IJ43" i="1"/>
  <c r="IJ35" i="1"/>
  <c r="IJ19" i="1"/>
  <c r="IJ11" i="1"/>
  <c r="IK85" i="1"/>
  <c r="IK77" i="1"/>
  <c r="IK69" i="1"/>
  <c r="IK61" i="1"/>
  <c r="IK45" i="1"/>
  <c r="IK37" i="1"/>
  <c r="IK29" i="1"/>
  <c r="IK21" i="1"/>
  <c r="IS85" i="1"/>
  <c r="IS53" i="1"/>
  <c r="IS45" i="1"/>
  <c r="IS37" i="1"/>
  <c r="IS29" i="1"/>
  <c r="IW35" i="1"/>
  <c r="IW27" i="1"/>
  <c r="IW19" i="1"/>
  <c r="IW11" i="1"/>
  <c r="IZ81" i="1"/>
  <c r="IZ73" i="1"/>
  <c r="IZ65" i="1"/>
  <c r="IZ57" i="1"/>
  <c r="IZ49" i="1"/>
  <c r="IZ41" i="1"/>
  <c r="IZ33" i="1"/>
  <c r="IZ25" i="1"/>
  <c r="IZ17" i="1"/>
  <c r="IZ9" i="1"/>
  <c r="JA75" i="1"/>
  <c r="JA67" i="1"/>
  <c r="JA59" i="1"/>
  <c r="JA51" i="1"/>
  <c r="JA43" i="1"/>
  <c r="JA35" i="1"/>
  <c r="JA27" i="1"/>
  <c r="JA19" i="1"/>
  <c r="JA11" i="1"/>
  <c r="JD81" i="1"/>
  <c r="JD57" i="1"/>
  <c r="JD49" i="1"/>
  <c r="JD25" i="1"/>
  <c r="JD17" i="1"/>
  <c r="JE75" i="1"/>
  <c r="JE67" i="1"/>
  <c r="JE51" i="1"/>
  <c r="IF21" i="1"/>
  <c r="IF29" i="1"/>
  <c r="IF37" i="1"/>
  <c r="IF45" i="1"/>
  <c r="IF69" i="1"/>
  <c r="IF77" i="1"/>
  <c r="IF85" i="1"/>
  <c r="IV81" i="1"/>
  <c r="IV73" i="1"/>
  <c r="IV65" i="1"/>
  <c r="IV49" i="1"/>
  <c r="IV41" i="1"/>
  <c r="JC34" i="1"/>
  <c r="JC18" i="1"/>
  <c r="JC10" i="1"/>
  <c r="JF72" i="1"/>
  <c r="JF64" i="1"/>
  <c r="JF48" i="1"/>
  <c r="JF8" i="1"/>
  <c r="JG82" i="1"/>
  <c r="JG74" i="1"/>
  <c r="JG58" i="1"/>
  <c r="JG50" i="1"/>
  <c r="JG34" i="1"/>
  <c r="JI38" i="1"/>
  <c r="JI14" i="1"/>
  <c r="JX72" i="1"/>
  <c r="JX74" i="1"/>
  <c r="JX76" i="1"/>
  <c r="HX67" i="1"/>
  <c r="HX35" i="1"/>
  <c r="HY85" i="1"/>
  <c r="HY53" i="1"/>
  <c r="HY37" i="1"/>
  <c r="IB67" i="1"/>
  <c r="IB43" i="1"/>
  <c r="IB35" i="1"/>
  <c r="IB19" i="1"/>
  <c r="IB11" i="1"/>
  <c r="IC85" i="1"/>
  <c r="IC69" i="1"/>
  <c r="IC37" i="1"/>
  <c r="IC29" i="1"/>
  <c r="IC21" i="1"/>
  <c r="IG85" i="1"/>
  <c r="IG77" i="1"/>
  <c r="IG69" i="1"/>
  <c r="IG45" i="1"/>
  <c r="IG37" i="1"/>
  <c r="IG29" i="1"/>
  <c r="IG21" i="1"/>
  <c r="HX75" i="1"/>
  <c r="HX11" i="1"/>
  <c r="HX51" i="1"/>
  <c r="HX19" i="1"/>
  <c r="IF31" i="1"/>
  <c r="IF47" i="1"/>
  <c r="IF71" i="1"/>
  <c r="IF87" i="1"/>
  <c r="IA44" i="1"/>
  <c r="HX85" i="1"/>
  <c r="HX53" i="1"/>
  <c r="HX37" i="1"/>
  <c r="HY79" i="1"/>
  <c r="HY71" i="1"/>
  <c r="HY23" i="1"/>
  <c r="HY15" i="1"/>
  <c r="HY7" i="1"/>
  <c r="IB85" i="1"/>
  <c r="IB69" i="1"/>
  <c r="IB37" i="1"/>
  <c r="IB29" i="1"/>
  <c r="IB21" i="1"/>
  <c r="IC87" i="1"/>
  <c r="IC71" i="1"/>
  <c r="IC47" i="1"/>
  <c r="IC7" i="1"/>
  <c r="IG87" i="1"/>
  <c r="IG71" i="1"/>
  <c r="IG47" i="1"/>
  <c r="IG31" i="1"/>
  <c r="IG23" i="1"/>
  <c r="IG7" i="1"/>
  <c r="IJ85" i="1"/>
  <c r="IJ77" i="1"/>
  <c r="IJ69" i="1"/>
  <c r="IF11" i="1"/>
  <c r="IF19" i="1"/>
  <c r="IF35" i="1"/>
  <c r="IF43" i="1"/>
  <c r="IF59" i="1"/>
  <c r="IF67" i="1"/>
  <c r="IR29" i="1"/>
  <c r="IR37" i="1"/>
  <c r="IR45" i="1"/>
  <c r="IR53" i="1"/>
  <c r="IR85" i="1"/>
  <c r="IV25" i="1"/>
  <c r="IV17" i="1"/>
  <c r="IV9" i="1"/>
  <c r="IW75" i="1"/>
  <c r="IW67" i="1"/>
  <c r="IW59" i="1"/>
  <c r="IW51" i="1"/>
  <c r="JL87" i="1"/>
  <c r="JL71" i="1"/>
  <c r="JL47" i="1"/>
  <c r="JL31" i="1"/>
  <c r="JL23" i="1"/>
  <c r="JL15" i="1"/>
  <c r="JL7" i="1"/>
  <c r="JP88" i="1"/>
  <c r="JP80" i="1"/>
  <c r="JP72" i="1"/>
  <c r="JP64" i="1"/>
  <c r="JP56" i="1"/>
  <c r="JP48" i="1"/>
  <c r="JP24" i="1"/>
  <c r="JP8" i="1"/>
  <c r="JQ82" i="1"/>
  <c r="JQ74" i="1"/>
  <c r="JQ66" i="1"/>
  <c r="JQ58" i="1"/>
  <c r="JQ50" i="1"/>
  <c r="JQ42" i="1"/>
  <c r="JQ34" i="1"/>
  <c r="JQ26" i="1"/>
  <c r="JQ10" i="1"/>
  <c r="JX85" i="1"/>
  <c r="JH87" i="1"/>
  <c r="JH71" i="1"/>
  <c r="JH47" i="1"/>
  <c r="JH31" i="1"/>
  <c r="JH23" i="1"/>
  <c r="JH15" i="1"/>
  <c r="JI81" i="1"/>
  <c r="JI73" i="1"/>
  <c r="JI65" i="1"/>
  <c r="JI57" i="1"/>
  <c r="JI49" i="1"/>
  <c r="JI41" i="1"/>
  <c r="JI33" i="1"/>
  <c r="JI25" i="1"/>
  <c r="JI17" i="1"/>
  <c r="JI9" i="1"/>
  <c r="IR7" i="1"/>
  <c r="IR47" i="1"/>
  <c r="IR71" i="1"/>
  <c r="JL85" i="1"/>
  <c r="JL77" i="1"/>
  <c r="JL69" i="1"/>
  <c r="JL61" i="1"/>
  <c r="JL53" i="1"/>
  <c r="JL45" i="1"/>
  <c r="JL37" i="1"/>
  <c r="JL29" i="1"/>
  <c r="JL21" i="1"/>
  <c r="JA63" i="1"/>
  <c r="JA55" i="1"/>
  <c r="JA47" i="1"/>
  <c r="JA7" i="1"/>
  <c r="JD69" i="1"/>
  <c r="JD37" i="1"/>
  <c r="JD21" i="1"/>
  <c r="JE87" i="1"/>
  <c r="JE71" i="1"/>
  <c r="JE23" i="1"/>
  <c r="JE15" i="1"/>
  <c r="JE7" i="1"/>
  <c r="JM8" i="1"/>
  <c r="JM16" i="1"/>
  <c r="JM24" i="1"/>
  <c r="JM40" i="1"/>
  <c r="JM48" i="1"/>
  <c r="JM56" i="1"/>
  <c r="JM64" i="1"/>
  <c r="JM72" i="1"/>
  <c r="JM80" i="1"/>
  <c r="JM88" i="1"/>
  <c r="JP85" i="1"/>
  <c r="JP77" i="1"/>
  <c r="JP69" i="1"/>
  <c r="JP61" i="1"/>
  <c r="JP53" i="1"/>
  <c r="JP37" i="1"/>
  <c r="JQ71" i="1"/>
  <c r="JQ63" i="1"/>
  <c r="JQ47" i="1"/>
  <c r="JQ31" i="1"/>
  <c r="JQ23" i="1"/>
  <c r="JQ15" i="1"/>
  <c r="JQ7" i="1"/>
  <c r="JX78" i="1"/>
  <c r="JX80" i="1"/>
  <c r="JX82" i="1"/>
  <c r="JX84" i="1"/>
  <c r="JX86" i="1"/>
  <c r="JX88" i="1"/>
  <c r="IJ61" i="1"/>
  <c r="IJ45" i="1"/>
  <c r="IJ37" i="1"/>
  <c r="IJ29" i="1"/>
  <c r="IJ21" i="1"/>
  <c r="IK87" i="1"/>
  <c r="IK71" i="1"/>
  <c r="IK63" i="1"/>
  <c r="IK47" i="1"/>
  <c r="IK31" i="1"/>
  <c r="IK23" i="1"/>
  <c r="IK15" i="1"/>
  <c r="IK7" i="1"/>
  <c r="IS71" i="1"/>
  <c r="IS47" i="1"/>
  <c r="IS7" i="1"/>
  <c r="IV85" i="1"/>
  <c r="IV69" i="1"/>
  <c r="IV53" i="1"/>
  <c r="IV45" i="1"/>
  <c r="IV36" i="1"/>
  <c r="IV28" i="1"/>
  <c r="IV20" i="1"/>
  <c r="IV12" i="1"/>
  <c r="IW86" i="1"/>
  <c r="IW78" i="1"/>
  <c r="IW70" i="1"/>
  <c r="IW62" i="1"/>
  <c r="IW46" i="1"/>
  <c r="IW37" i="1"/>
  <c r="IW29" i="1"/>
  <c r="IZ75" i="1"/>
  <c r="IZ67" i="1"/>
  <c r="IZ59" i="1"/>
  <c r="IZ51" i="1"/>
  <c r="IZ43" i="1"/>
  <c r="IZ35" i="1"/>
  <c r="IZ27" i="1"/>
  <c r="IZ19" i="1"/>
  <c r="IZ11" i="1"/>
  <c r="JA85" i="1"/>
  <c r="JA69" i="1"/>
  <c r="JA61" i="1"/>
  <c r="JA53" i="1"/>
  <c r="JA45" i="1"/>
  <c r="JA37" i="1"/>
  <c r="JA29" i="1"/>
  <c r="JD75" i="1"/>
  <c r="JD67" i="1"/>
  <c r="JD51" i="1"/>
  <c r="JD19" i="1"/>
  <c r="JE69" i="1"/>
  <c r="JE37" i="1"/>
  <c r="JE21" i="1"/>
  <c r="JH75" i="1"/>
  <c r="JH67" i="1"/>
  <c r="JH59" i="1"/>
  <c r="JH51" i="1"/>
  <c r="JH43" i="1"/>
  <c r="JH19" i="1"/>
  <c r="JH11" i="1"/>
  <c r="JI85" i="1"/>
  <c r="JI77" i="1"/>
  <c r="JI69" i="1"/>
  <c r="JI53" i="1"/>
  <c r="JI45" i="1"/>
  <c r="JI37" i="1"/>
  <c r="JI29" i="1"/>
  <c r="JI21" i="1"/>
  <c r="JP83" i="1"/>
  <c r="JP75" i="1"/>
  <c r="JP67" i="1"/>
  <c r="JP59" i="1"/>
  <c r="JP51" i="1"/>
  <c r="JP43" i="1"/>
  <c r="JP35" i="1"/>
  <c r="JP27" i="1"/>
  <c r="JP19" i="1"/>
  <c r="JP11" i="1"/>
  <c r="JQ85" i="1"/>
  <c r="JQ77" i="1"/>
  <c r="JQ69" i="1"/>
  <c r="JQ61" i="1"/>
  <c r="JQ53" i="1"/>
  <c r="JQ37" i="1"/>
  <c r="IR11" i="1"/>
  <c r="IR19" i="1"/>
  <c r="IR51" i="1"/>
  <c r="IV84" i="1"/>
  <c r="IV76" i="1"/>
  <c r="IV68" i="1"/>
  <c r="IV60" i="1"/>
  <c r="IV52" i="1"/>
  <c r="IV44" i="1"/>
  <c r="IV35" i="1"/>
  <c r="IV27" i="1"/>
  <c r="IV19" i="1"/>
  <c r="IV11" i="1"/>
  <c r="IW85" i="1"/>
  <c r="IW69" i="1"/>
  <c r="IW53" i="1"/>
  <c r="IW45" i="1"/>
  <c r="JH82" i="1"/>
  <c r="JH74" i="1"/>
  <c r="JH58" i="1"/>
  <c r="JH50" i="1"/>
  <c r="JH34" i="1"/>
  <c r="JH10" i="1"/>
  <c r="JI84" i="1"/>
  <c r="JI76" i="1"/>
  <c r="JI68" i="1"/>
  <c r="JI52" i="1"/>
  <c r="JI44" i="1"/>
  <c r="JI12" i="1"/>
  <c r="JK7" i="1"/>
  <c r="JL81" i="1"/>
  <c r="JL73" i="1"/>
  <c r="JL65" i="1"/>
  <c r="JL57" i="1"/>
  <c r="JL49" i="1"/>
  <c r="JL41" i="1"/>
  <c r="JL33" i="1"/>
  <c r="JL25" i="1"/>
  <c r="JL17" i="1"/>
  <c r="JL9" i="1"/>
  <c r="RP30" i="1"/>
  <c r="RO86" i="1"/>
  <c r="RN40" i="1"/>
  <c r="RH27" i="1"/>
  <c r="RF8" i="1"/>
  <c r="RL60" i="1"/>
  <c r="RL18" i="1"/>
  <c r="RK88" i="1"/>
  <c r="RK16" i="1"/>
  <c r="RK60" i="1"/>
  <c r="RH28" i="1"/>
  <c r="RC33" i="1"/>
  <c r="RG27" i="1"/>
  <c r="RG40" i="1"/>
  <c r="RG28" i="1"/>
  <c r="RE8" i="1"/>
  <c r="RD8" i="1"/>
  <c r="HX38" i="1"/>
  <c r="OX38" i="1" s="1"/>
  <c r="HY80" i="1"/>
  <c r="OY80" i="1" s="1"/>
  <c r="HY24" i="1"/>
  <c r="OY24" i="1" s="1"/>
  <c r="IA36" i="1"/>
  <c r="PA36" i="1" s="1"/>
  <c r="IC56" i="1"/>
  <c r="PC56" i="1" s="1"/>
  <c r="IC16" i="1"/>
  <c r="PC16" i="1" s="1"/>
  <c r="ID66" i="1"/>
  <c r="PD66" i="1" s="1"/>
  <c r="ID10" i="1"/>
  <c r="PD10" i="1" s="1"/>
  <c r="IE76" i="1"/>
  <c r="PE76" i="1" s="1"/>
  <c r="IE28" i="1"/>
  <c r="PE28" i="1" s="1"/>
  <c r="HX83" i="1"/>
  <c r="OX83" i="1" s="1"/>
  <c r="HX59" i="1"/>
  <c r="OX59" i="1" s="1"/>
  <c r="HX43" i="1"/>
  <c r="OX43" i="1" s="1"/>
  <c r="HX27" i="1"/>
  <c r="OX27" i="1" s="1"/>
  <c r="HY77" i="1"/>
  <c r="OY77" i="1" s="1"/>
  <c r="HY69" i="1"/>
  <c r="OY69" i="1" s="1"/>
  <c r="HY61" i="1"/>
  <c r="OY61" i="1" s="1"/>
  <c r="HY45" i="1"/>
  <c r="OY45" i="1" s="1"/>
  <c r="HY29" i="1"/>
  <c r="OY29" i="1" s="1"/>
  <c r="HY21" i="1"/>
  <c r="OY21" i="1" s="1"/>
  <c r="HY13" i="1"/>
  <c r="OY13" i="1" s="1"/>
  <c r="HZ87" i="1"/>
  <c r="OZ87" i="1" s="1"/>
  <c r="HZ79" i="1"/>
  <c r="HZ71" i="1"/>
  <c r="HZ63" i="1"/>
  <c r="OZ63" i="1" s="1"/>
  <c r="HZ55" i="1"/>
  <c r="OZ55" i="1" s="1"/>
  <c r="HZ47" i="1"/>
  <c r="OZ47" i="1" s="1"/>
  <c r="HZ39" i="1"/>
  <c r="OZ39" i="1" s="1"/>
  <c r="HZ31" i="1"/>
  <c r="OZ31" i="1" s="1"/>
  <c r="HZ23" i="1"/>
  <c r="HX54" i="1"/>
  <c r="OX54" i="1" s="1"/>
  <c r="IB62" i="1"/>
  <c r="PB62" i="1" s="1"/>
  <c r="IC24" i="1"/>
  <c r="PC24" i="1" s="1"/>
  <c r="IE36" i="1"/>
  <c r="PE36" i="1" s="1"/>
  <c r="HX82" i="1"/>
  <c r="OX82" i="1" s="1"/>
  <c r="HX74" i="1"/>
  <c r="HX66" i="1"/>
  <c r="HX58" i="1"/>
  <c r="HX50" i="1"/>
  <c r="HX42" i="1"/>
  <c r="OX42" i="1" s="1"/>
  <c r="HX34" i="1"/>
  <c r="OX34" i="1" s="1"/>
  <c r="HX26" i="1"/>
  <c r="OX26" i="1" s="1"/>
  <c r="HX18" i="1"/>
  <c r="HX10" i="1"/>
  <c r="HY84" i="1"/>
  <c r="OY84" i="1" s="1"/>
  <c r="HY76" i="1"/>
  <c r="RC76" i="1" s="1"/>
  <c r="HY68" i="1"/>
  <c r="OY68" i="1" s="1"/>
  <c r="HY60" i="1"/>
  <c r="OY60" i="1" s="1"/>
  <c r="HY52" i="1"/>
  <c r="RC52" i="1" s="1"/>
  <c r="HY44" i="1"/>
  <c r="RC44" i="1" s="1"/>
  <c r="HY36" i="1"/>
  <c r="OY36" i="1" s="1"/>
  <c r="HY28" i="1"/>
  <c r="OY28" i="1" s="1"/>
  <c r="HY20" i="1"/>
  <c r="OY20" i="1" s="1"/>
  <c r="HY12" i="1"/>
  <c r="OY12" i="1" s="1"/>
  <c r="HZ86" i="1"/>
  <c r="HZ78" i="1"/>
  <c r="HZ70" i="1"/>
  <c r="OZ70" i="1" s="1"/>
  <c r="HZ62" i="1"/>
  <c r="HZ54" i="1"/>
  <c r="OZ54" i="1" s="1"/>
  <c r="HZ46" i="1"/>
  <c r="OZ46" i="1" s="1"/>
  <c r="HZ38" i="1"/>
  <c r="OZ38" i="1" s="1"/>
  <c r="HZ30" i="1"/>
  <c r="OZ30" i="1" s="1"/>
  <c r="HZ22" i="1"/>
  <c r="OZ22" i="1" s="1"/>
  <c r="HX30" i="1"/>
  <c r="OX30" i="1" s="1"/>
  <c r="HY64" i="1"/>
  <c r="OY64" i="1" s="1"/>
  <c r="HZ34" i="1"/>
  <c r="OZ34" i="1" s="1"/>
  <c r="IA68" i="1"/>
  <c r="PA68" i="1" s="1"/>
  <c r="IB70" i="1"/>
  <c r="PB70" i="1" s="1"/>
  <c r="IC32" i="1"/>
  <c r="PC32" i="1" s="1"/>
  <c r="HX81" i="1"/>
  <c r="OX81" i="1" s="1"/>
  <c r="HX65" i="1"/>
  <c r="OX65" i="1" s="1"/>
  <c r="HX49" i="1"/>
  <c r="OX49" i="1" s="1"/>
  <c r="HX41" i="1"/>
  <c r="OX41" i="1" s="1"/>
  <c r="HX25" i="1"/>
  <c r="OX25" i="1" s="1"/>
  <c r="HX9" i="1"/>
  <c r="OX9" i="1" s="1"/>
  <c r="HY83" i="1"/>
  <c r="OY83" i="1" s="1"/>
  <c r="HY59" i="1"/>
  <c r="OY59" i="1" s="1"/>
  <c r="HY43" i="1"/>
  <c r="OY43" i="1" s="1"/>
  <c r="HY27" i="1"/>
  <c r="OY27" i="1" s="1"/>
  <c r="HZ85" i="1"/>
  <c r="HZ77" i="1"/>
  <c r="OZ77" i="1" s="1"/>
  <c r="HZ69" i="1"/>
  <c r="OZ69" i="1" s="1"/>
  <c r="HZ61" i="1"/>
  <c r="OZ61" i="1" s="1"/>
  <c r="HZ53" i="1"/>
  <c r="HZ45" i="1"/>
  <c r="OZ45" i="1" s="1"/>
  <c r="HX46" i="1"/>
  <c r="OX46" i="1" s="1"/>
  <c r="HY88" i="1"/>
  <c r="OY88" i="1" s="1"/>
  <c r="IB86" i="1"/>
  <c r="PB86" i="1" s="1"/>
  <c r="IB46" i="1"/>
  <c r="PB46" i="1" s="1"/>
  <c r="IC72" i="1"/>
  <c r="PC72" i="1" s="1"/>
  <c r="ID74" i="1"/>
  <c r="PD74" i="1" s="1"/>
  <c r="IE20" i="1"/>
  <c r="PE20" i="1" s="1"/>
  <c r="HX88" i="1"/>
  <c r="OX88" i="1" s="1"/>
  <c r="HX80" i="1"/>
  <c r="OX80" i="1" s="1"/>
  <c r="HX64" i="1"/>
  <c r="OX64" i="1" s="1"/>
  <c r="HX56" i="1"/>
  <c r="OX56" i="1" s="1"/>
  <c r="HX32" i="1"/>
  <c r="OX32" i="1" s="1"/>
  <c r="HX24" i="1"/>
  <c r="OX24" i="1" s="1"/>
  <c r="HX16" i="1"/>
  <c r="OX16" i="1" s="1"/>
  <c r="HX8" i="1"/>
  <c r="OX8" i="1" s="1"/>
  <c r="HY82" i="1"/>
  <c r="OY82" i="1" s="1"/>
  <c r="HY42" i="1"/>
  <c r="OY42" i="1" s="1"/>
  <c r="HY34" i="1"/>
  <c r="OY34" i="1" s="1"/>
  <c r="HY26" i="1"/>
  <c r="OY26" i="1" s="1"/>
  <c r="HZ84" i="1"/>
  <c r="OZ84" i="1" s="1"/>
  <c r="HZ76" i="1"/>
  <c r="HZ68" i="1"/>
  <c r="OZ68" i="1" s="1"/>
  <c r="HZ60" i="1"/>
  <c r="OZ60" i="1" s="1"/>
  <c r="HZ52" i="1"/>
  <c r="HX22" i="1"/>
  <c r="OX22" i="1" s="1"/>
  <c r="HY56" i="1"/>
  <c r="OY56" i="1" s="1"/>
  <c r="HY8" i="1"/>
  <c r="OY8" i="1" s="1"/>
  <c r="IA20" i="1"/>
  <c r="PA20" i="1" s="1"/>
  <c r="IB54" i="1"/>
  <c r="PB54" i="1" s="1"/>
  <c r="ID42" i="1"/>
  <c r="PD42" i="1" s="1"/>
  <c r="HX87" i="1"/>
  <c r="OX87" i="1" s="1"/>
  <c r="HX63" i="1"/>
  <c r="OX63" i="1" s="1"/>
  <c r="HX55" i="1"/>
  <c r="OX55" i="1" s="1"/>
  <c r="HX47" i="1"/>
  <c r="OX47" i="1" s="1"/>
  <c r="HX39" i="1"/>
  <c r="OX39" i="1" s="1"/>
  <c r="HX31" i="1"/>
  <c r="OX31" i="1" s="1"/>
  <c r="HY81" i="1"/>
  <c r="OY81" i="1" s="1"/>
  <c r="HY65" i="1"/>
  <c r="OY65" i="1" s="1"/>
  <c r="HY49" i="1"/>
  <c r="OY49" i="1" s="1"/>
  <c r="HY41" i="1"/>
  <c r="OY41" i="1" s="1"/>
  <c r="HY25" i="1"/>
  <c r="OY25" i="1" s="1"/>
  <c r="HY9" i="1"/>
  <c r="OY9" i="1" s="1"/>
  <c r="HZ83" i="1"/>
  <c r="OZ83" i="1" s="1"/>
  <c r="HZ75" i="1"/>
  <c r="HZ67" i="1"/>
  <c r="HZ59" i="1"/>
  <c r="OZ59" i="1" s="1"/>
  <c r="HZ51" i="1"/>
  <c r="HZ43" i="1"/>
  <c r="OZ43" i="1" s="1"/>
  <c r="HZ35" i="1"/>
  <c r="HZ27" i="1"/>
  <c r="OZ27" i="1" s="1"/>
  <c r="HZ19" i="1"/>
  <c r="HZ11" i="1"/>
  <c r="IA85" i="1"/>
  <c r="RC85" i="1" s="1"/>
  <c r="IA77" i="1"/>
  <c r="PA77" i="1" s="1"/>
  <c r="HY16" i="1"/>
  <c r="OY16" i="1" s="1"/>
  <c r="IB78" i="1"/>
  <c r="PB78" i="1" s="1"/>
  <c r="IB14" i="1"/>
  <c r="PB14" i="1" s="1"/>
  <c r="ID58" i="1"/>
  <c r="PD58" i="1" s="1"/>
  <c r="HX14" i="1"/>
  <c r="OX14" i="1" s="1"/>
  <c r="HY32" i="1"/>
  <c r="OY32" i="1" s="1"/>
  <c r="HZ82" i="1"/>
  <c r="OZ82" i="1" s="1"/>
  <c r="HZ42" i="1"/>
  <c r="OZ42" i="1" s="1"/>
  <c r="IA84" i="1"/>
  <c r="PA84" i="1" s="1"/>
  <c r="IA60" i="1"/>
  <c r="PA60" i="1" s="1"/>
  <c r="IA12" i="1"/>
  <c r="PA12" i="1" s="1"/>
  <c r="IB30" i="1"/>
  <c r="PB30" i="1" s="1"/>
  <c r="IE84" i="1"/>
  <c r="PE84" i="1" s="1"/>
  <c r="HX77" i="1"/>
  <c r="OX77" i="1" s="1"/>
  <c r="HX69" i="1"/>
  <c r="OX69" i="1" s="1"/>
  <c r="HX61" i="1"/>
  <c r="OX61" i="1" s="1"/>
  <c r="HX45" i="1"/>
  <c r="OX45" i="1" s="1"/>
  <c r="HX29" i="1"/>
  <c r="OX29" i="1" s="1"/>
  <c r="HX21" i="1"/>
  <c r="OX21" i="1" s="1"/>
  <c r="HX13" i="1"/>
  <c r="OX13" i="1" s="1"/>
  <c r="HY87" i="1"/>
  <c r="OY87" i="1" s="1"/>
  <c r="HY63" i="1"/>
  <c r="OY63" i="1" s="1"/>
  <c r="HY55" i="1"/>
  <c r="OY55" i="1" s="1"/>
  <c r="HY47" i="1"/>
  <c r="OY47" i="1" s="1"/>
  <c r="HY39" i="1"/>
  <c r="OY39" i="1" s="1"/>
  <c r="HY31" i="1"/>
  <c r="OY31" i="1" s="1"/>
  <c r="HZ81" i="1"/>
  <c r="OZ81" i="1" s="1"/>
  <c r="HZ73" i="1"/>
  <c r="HZ65" i="1"/>
  <c r="OZ65" i="1" s="1"/>
  <c r="HZ57" i="1"/>
  <c r="HZ49" i="1"/>
  <c r="OZ49" i="1" s="1"/>
  <c r="HZ41" i="1"/>
  <c r="OZ41" i="1" s="1"/>
  <c r="HX70" i="1"/>
  <c r="OX70" i="1" s="1"/>
  <c r="HZ26" i="1"/>
  <c r="OZ26" i="1" s="1"/>
  <c r="IA28" i="1"/>
  <c r="PA28" i="1" s="1"/>
  <c r="IC88" i="1"/>
  <c r="PC88" i="1" s="1"/>
  <c r="IC48" i="1"/>
  <c r="PC48" i="1" s="1"/>
  <c r="ID82" i="1"/>
  <c r="PD82" i="1" s="1"/>
  <c r="ID26" i="1"/>
  <c r="PD26" i="1" s="1"/>
  <c r="HX84" i="1"/>
  <c r="OX84" i="1" s="1"/>
  <c r="HX68" i="1"/>
  <c r="OX68" i="1" s="1"/>
  <c r="HX60" i="1"/>
  <c r="OX60" i="1" s="1"/>
  <c r="HX36" i="1"/>
  <c r="OX36" i="1" s="1"/>
  <c r="HX28" i="1"/>
  <c r="OX28" i="1" s="1"/>
  <c r="HX20" i="1"/>
  <c r="OX20" i="1" s="1"/>
  <c r="HX12" i="1"/>
  <c r="OX12" i="1" s="1"/>
  <c r="HY70" i="1"/>
  <c r="OY70" i="1" s="1"/>
  <c r="HY54" i="1"/>
  <c r="OY54" i="1" s="1"/>
  <c r="HY46" i="1"/>
  <c r="OY46" i="1" s="1"/>
  <c r="HY38" i="1"/>
  <c r="OY38" i="1" s="1"/>
  <c r="HY30" i="1"/>
  <c r="OY30" i="1" s="1"/>
  <c r="HY22" i="1"/>
  <c r="OY22" i="1" s="1"/>
  <c r="HY14" i="1"/>
  <c r="OY14" i="1" s="1"/>
  <c r="HZ88" i="1"/>
  <c r="OZ88" i="1" s="1"/>
  <c r="HZ80" i="1"/>
  <c r="OZ80" i="1" s="1"/>
  <c r="HZ72" i="1"/>
  <c r="HZ64" i="1"/>
  <c r="OZ64" i="1" s="1"/>
  <c r="HZ56" i="1"/>
  <c r="OZ56" i="1" s="1"/>
  <c r="HZ48" i="1"/>
  <c r="HZ40" i="1"/>
  <c r="HZ15" i="1"/>
  <c r="HZ7" i="1"/>
  <c r="IA81" i="1"/>
  <c r="PA81" i="1" s="1"/>
  <c r="IA73" i="1"/>
  <c r="RC73" i="1" s="1"/>
  <c r="IA65" i="1"/>
  <c r="PA65" i="1" s="1"/>
  <c r="IA57" i="1"/>
  <c r="RC57" i="1" s="1"/>
  <c r="IA49" i="1"/>
  <c r="PA49" i="1" s="1"/>
  <c r="IA41" i="1"/>
  <c r="PA41" i="1" s="1"/>
  <c r="IA25" i="1"/>
  <c r="PA25" i="1" s="1"/>
  <c r="IA17" i="1"/>
  <c r="RC17" i="1" s="1"/>
  <c r="IA9" i="1"/>
  <c r="PA9" i="1" s="1"/>
  <c r="IB83" i="1"/>
  <c r="PB83" i="1" s="1"/>
  <c r="IB75" i="1"/>
  <c r="PB75" i="1" s="1"/>
  <c r="IB59" i="1"/>
  <c r="PB59" i="1" s="1"/>
  <c r="IB51" i="1"/>
  <c r="PB51" i="1" s="1"/>
  <c r="IB27" i="1"/>
  <c r="PB27" i="1" s="1"/>
  <c r="IC77" i="1"/>
  <c r="PC77" i="1" s="1"/>
  <c r="IC61" i="1"/>
  <c r="PC61" i="1" s="1"/>
  <c r="IC53" i="1"/>
  <c r="PC53" i="1" s="1"/>
  <c r="IC45" i="1"/>
  <c r="PC45" i="1" s="1"/>
  <c r="IC13" i="1"/>
  <c r="PC13" i="1" s="1"/>
  <c r="ID87" i="1"/>
  <c r="ID79" i="1"/>
  <c r="ID71" i="1"/>
  <c r="ID63" i="1"/>
  <c r="PD63" i="1" s="1"/>
  <c r="ID55" i="1"/>
  <c r="PD55" i="1" s="1"/>
  <c r="ID47" i="1"/>
  <c r="ID39" i="1"/>
  <c r="PD39" i="1" s="1"/>
  <c r="ID31" i="1"/>
  <c r="PD31" i="1" s="1"/>
  <c r="ID23" i="1"/>
  <c r="PD23" i="1" s="1"/>
  <c r="ID15" i="1"/>
  <c r="PD15" i="1" s="1"/>
  <c r="ID7" i="1"/>
  <c r="IE81" i="1"/>
  <c r="RD81" i="1" s="1"/>
  <c r="IE73" i="1"/>
  <c r="PE73" i="1" s="1"/>
  <c r="IE65" i="1"/>
  <c r="RD65" i="1" s="1"/>
  <c r="IE57" i="1"/>
  <c r="PE57" i="1" s="1"/>
  <c r="IE49" i="1"/>
  <c r="PE49" i="1" s="1"/>
  <c r="IE41" i="1"/>
  <c r="PE41" i="1" s="1"/>
  <c r="IE33" i="1"/>
  <c r="RD33" i="1" s="1"/>
  <c r="IE25" i="1"/>
  <c r="IE17" i="1"/>
  <c r="IE9" i="1"/>
  <c r="PE9" i="1" s="1"/>
  <c r="IF20" i="1"/>
  <c r="PF20" i="1" s="1"/>
  <c r="IF28" i="1"/>
  <c r="PF28" i="1" s="1"/>
  <c r="IF76" i="1"/>
  <c r="PF76" i="1" s="1"/>
  <c r="IF84" i="1"/>
  <c r="PF84" i="1" s="1"/>
  <c r="IG61" i="1"/>
  <c r="PG61" i="1" s="1"/>
  <c r="IG53" i="1"/>
  <c r="PG53" i="1" s="1"/>
  <c r="IG13" i="1"/>
  <c r="PG13" i="1" s="1"/>
  <c r="IH87" i="1"/>
  <c r="IH79" i="1"/>
  <c r="IH71" i="1"/>
  <c r="IH63" i="1"/>
  <c r="PH63" i="1" s="1"/>
  <c r="IH55" i="1"/>
  <c r="PH55" i="1" s="1"/>
  <c r="IH47" i="1"/>
  <c r="IH39" i="1"/>
  <c r="PH39" i="1" s="1"/>
  <c r="IH31" i="1"/>
  <c r="IH23" i="1"/>
  <c r="IH15" i="1"/>
  <c r="PH15" i="1" s="1"/>
  <c r="IH7" i="1"/>
  <c r="II81" i="1"/>
  <c r="RE81" i="1" s="1"/>
  <c r="II73" i="1"/>
  <c r="PI73" i="1" s="1"/>
  <c r="II65" i="1"/>
  <c r="RE65" i="1" s="1"/>
  <c r="II57" i="1"/>
  <c r="RE57" i="1" s="1"/>
  <c r="II49" i="1"/>
  <c r="RE49" i="1" s="1"/>
  <c r="II41" i="1"/>
  <c r="RE41" i="1" s="1"/>
  <c r="II33" i="1"/>
  <c r="RE33" i="1" s="1"/>
  <c r="II25" i="1"/>
  <c r="RE25" i="1" s="1"/>
  <c r="II17" i="1"/>
  <c r="RE17" i="1" s="1"/>
  <c r="II9" i="1"/>
  <c r="RE9" i="1" s="1"/>
  <c r="IJ27" i="1"/>
  <c r="PJ27" i="1" s="1"/>
  <c r="IK53" i="1"/>
  <c r="PK53" i="1" s="1"/>
  <c r="IK13" i="1"/>
  <c r="PK13" i="1" s="1"/>
  <c r="IL87" i="1"/>
  <c r="IL79" i="1"/>
  <c r="IL71" i="1"/>
  <c r="IL63" i="1"/>
  <c r="IL55" i="1"/>
  <c r="PL55" i="1" s="1"/>
  <c r="IL47" i="1"/>
  <c r="IL39" i="1"/>
  <c r="PL39" i="1" s="1"/>
  <c r="IL31" i="1"/>
  <c r="IL23" i="1"/>
  <c r="IL15" i="1"/>
  <c r="IL7" i="1"/>
  <c r="IM81" i="1"/>
  <c r="RF81" i="1" s="1"/>
  <c r="IM73" i="1"/>
  <c r="RF73" i="1" s="1"/>
  <c r="IM65" i="1"/>
  <c r="RF65" i="1" s="1"/>
  <c r="IM57" i="1"/>
  <c r="RF57" i="1" s="1"/>
  <c r="IM49" i="1"/>
  <c r="RF49" i="1" s="1"/>
  <c r="IM41" i="1"/>
  <c r="RF41" i="1" s="1"/>
  <c r="IM33" i="1"/>
  <c r="RF33" i="1" s="1"/>
  <c r="IM25" i="1"/>
  <c r="RF25" i="1" s="1"/>
  <c r="IM17" i="1"/>
  <c r="IM9" i="1"/>
  <c r="RF9" i="1" s="1"/>
  <c r="IN83" i="1"/>
  <c r="PN83" i="1" s="1"/>
  <c r="IN75" i="1"/>
  <c r="PN75" i="1" s="1"/>
  <c r="IN67" i="1"/>
  <c r="PN67" i="1" s="1"/>
  <c r="IN59" i="1"/>
  <c r="PN59" i="1" s="1"/>
  <c r="IN51" i="1"/>
  <c r="PN51" i="1" s="1"/>
  <c r="IN43" i="1"/>
  <c r="PN43" i="1" s="1"/>
  <c r="IN35" i="1"/>
  <c r="PN35" i="1" s="1"/>
  <c r="IN19" i="1"/>
  <c r="PN19" i="1" s="1"/>
  <c r="IN11" i="1"/>
  <c r="PN11" i="1" s="1"/>
  <c r="IO77" i="1"/>
  <c r="PO77" i="1" s="1"/>
  <c r="IO69" i="1"/>
  <c r="PO69" i="1" s="1"/>
  <c r="IO61" i="1"/>
  <c r="PO61" i="1" s="1"/>
  <c r="IO53" i="1"/>
  <c r="PO53" i="1" s="1"/>
  <c r="IO45" i="1"/>
  <c r="PO45" i="1" s="1"/>
  <c r="IO37" i="1"/>
  <c r="PO37" i="1" s="1"/>
  <c r="IO29" i="1"/>
  <c r="PO29" i="1" s="1"/>
  <c r="IO21" i="1"/>
  <c r="PO21" i="1" s="1"/>
  <c r="IO13" i="1"/>
  <c r="PO13" i="1" s="1"/>
  <c r="IP87" i="1"/>
  <c r="PP87" i="1" s="1"/>
  <c r="IP79" i="1"/>
  <c r="IP71" i="1"/>
  <c r="PP71" i="1" s="1"/>
  <c r="IP63" i="1"/>
  <c r="PP63" i="1" s="1"/>
  <c r="IP55" i="1"/>
  <c r="PP55" i="1" s="1"/>
  <c r="IP47" i="1"/>
  <c r="PP47" i="1" s="1"/>
  <c r="IP39" i="1"/>
  <c r="PP39" i="1" s="1"/>
  <c r="IP31" i="1"/>
  <c r="PP31" i="1" s="1"/>
  <c r="IP23" i="1"/>
  <c r="PP23" i="1" s="1"/>
  <c r="IP15" i="1"/>
  <c r="PP15" i="1" s="1"/>
  <c r="IP7" i="1"/>
  <c r="PP7" i="1" s="1"/>
  <c r="IQ81" i="1"/>
  <c r="PQ81" i="1" s="1"/>
  <c r="IQ73" i="1"/>
  <c r="PQ73" i="1" s="1"/>
  <c r="IQ65" i="1"/>
  <c r="PQ65" i="1" s="1"/>
  <c r="IQ57" i="1"/>
  <c r="PQ57" i="1" s="1"/>
  <c r="IQ49" i="1"/>
  <c r="PQ49" i="1" s="1"/>
  <c r="IQ41" i="1"/>
  <c r="PQ41" i="1" s="1"/>
  <c r="IQ33" i="1"/>
  <c r="PQ33" i="1" s="1"/>
  <c r="IQ25" i="1"/>
  <c r="PQ25" i="1" s="1"/>
  <c r="IQ17" i="1"/>
  <c r="RG17" i="1" s="1"/>
  <c r="IQ9" i="1"/>
  <c r="PQ9" i="1" s="1"/>
  <c r="IR20" i="1"/>
  <c r="PR20" i="1" s="1"/>
  <c r="IR36" i="1"/>
  <c r="PR36" i="1" s="1"/>
  <c r="IR44" i="1"/>
  <c r="PR44" i="1" s="1"/>
  <c r="IR52" i="1"/>
  <c r="PR52" i="1" s="1"/>
  <c r="IR60" i="1"/>
  <c r="PR60" i="1" s="1"/>
  <c r="IR76" i="1"/>
  <c r="PR76" i="1" s="1"/>
  <c r="IR84" i="1"/>
  <c r="PR84" i="1" s="1"/>
  <c r="IS77" i="1"/>
  <c r="PS77" i="1" s="1"/>
  <c r="IS69" i="1"/>
  <c r="PS69" i="1" s="1"/>
  <c r="IS61" i="1"/>
  <c r="PS61" i="1" s="1"/>
  <c r="IS21" i="1"/>
  <c r="PS21" i="1" s="1"/>
  <c r="IS13" i="1"/>
  <c r="PS13" i="1" s="1"/>
  <c r="IT87" i="1"/>
  <c r="PT87" i="1" s="1"/>
  <c r="IT79" i="1"/>
  <c r="IT71" i="1"/>
  <c r="IT63" i="1"/>
  <c r="PT63" i="1" s="1"/>
  <c r="IT55" i="1"/>
  <c r="PT55" i="1" s="1"/>
  <c r="IT47" i="1"/>
  <c r="IT39" i="1"/>
  <c r="PT39" i="1" s="1"/>
  <c r="IT31" i="1"/>
  <c r="PT31" i="1" s="1"/>
  <c r="IT23" i="1"/>
  <c r="PT23" i="1" s="1"/>
  <c r="IT15" i="1"/>
  <c r="PT15" i="1" s="1"/>
  <c r="IT7" i="1"/>
  <c r="IU81" i="1"/>
  <c r="RH81" i="1" s="1"/>
  <c r="IU73" i="1"/>
  <c r="RH73" i="1" s="1"/>
  <c r="IU65" i="1"/>
  <c r="PU65" i="1" s="1"/>
  <c r="IU57" i="1"/>
  <c r="PU57" i="1" s="1"/>
  <c r="IU49" i="1"/>
  <c r="RH49" i="1" s="1"/>
  <c r="IU41" i="1"/>
  <c r="PU41" i="1" s="1"/>
  <c r="IU33" i="1"/>
  <c r="PU33" i="1" s="1"/>
  <c r="IU25" i="1"/>
  <c r="RH25" i="1" s="1"/>
  <c r="IU17" i="1"/>
  <c r="RH17" i="1" s="1"/>
  <c r="IU9" i="1"/>
  <c r="PU9" i="1" s="1"/>
  <c r="IV83" i="1"/>
  <c r="PV83" i="1" s="1"/>
  <c r="IV43" i="1"/>
  <c r="PV43" i="1" s="1"/>
  <c r="IV26" i="1"/>
  <c r="PV26" i="1" s="1"/>
  <c r="IX85" i="1"/>
  <c r="IX77" i="1"/>
  <c r="PX77" i="1" s="1"/>
  <c r="IX69" i="1"/>
  <c r="IX61" i="1"/>
  <c r="PX61" i="1" s="1"/>
  <c r="IX53" i="1"/>
  <c r="IX45" i="1"/>
  <c r="IX37" i="1"/>
  <c r="IX29" i="1"/>
  <c r="IX21" i="1"/>
  <c r="PX21" i="1" s="1"/>
  <c r="IX13" i="1"/>
  <c r="PX13" i="1" s="1"/>
  <c r="IY87" i="1"/>
  <c r="RI87" i="1" s="1"/>
  <c r="IY79" i="1"/>
  <c r="RI79" i="1" s="1"/>
  <c r="IY71" i="1"/>
  <c r="RI71" i="1" s="1"/>
  <c r="IY63" i="1"/>
  <c r="RI63" i="1" s="1"/>
  <c r="IY55" i="1"/>
  <c r="RI55" i="1" s="1"/>
  <c r="IY47" i="1"/>
  <c r="RI47" i="1" s="1"/>
  <c r="IY39" i="1"/>
  <c r="PY39" i="1" s="1"/>
  <c r="IY31" i="1"/>
  <c r="PY31" i="1" s="1"/>
  <c r="IY23" i="1"/>
  <c r="PY23" i="1" s="1"/>
  <c r="IY15" i="1"/>
  <c r="PY15" i="1" s="1"/>
  <c r="IY7" i="1"/>
  <c r="RI7" i="1" s="1"/>
  <c r="JA83" i="1"/>
  <c r="QA83" i="1" s="1"/>
  <c r="JB85" i="1"/>
  <c r="JB77" i="1"/>
  <c r="QB77" i="1" s="1"/>
  <c r="JB69" i="1"/>
  <c r="JB61" i="1"/>
  <c r="JB53" i="1"/>
  <c r="JB45" i="1"/>
  <c r="JB37" i="1"/>
  <c r="JB29" i="1"/>
  <c r="JB21" i="1"/>
  <c r="QB21" i="1" s="1"/>
  <c r="JB13" i="1"/>
  <c r="QB13" i="1" s="1"/>
  <c r="JC87" i="1"/>
  <c r="RJ87" i="1" s="1"/>
  <c r="JC79" i="1"/>
  <c r="RJ79" i="1" s="1"/>
  <c r="JC71" i="1"/>
  <c r="RJ71" i="1" s="1"/>
  <c r="JC63" i="1"/>
  <c r="RJ63" i="1" s="1"/>
  <c r="HZ14" i="1"/>
  <c r="OZ14" i="1" s="1"/>
  <c r="IA88" i="1"/>
  <c r="PA88" i="1" s="1"/>
  <c r="IA80" i="1"/>
  <c r="PA80" i="1" s="1"/>
  <c r="IA72" i="1"/>
  <c r="RC72" i="1" s="1"/>
  <c r="IA64" i="1"/>
  <c r="PA64" i="1" s="1"/>
  <c r="IA56" i="1"/>
  <c r="PA56" i="1" s="1"/>
  <c r="IA48" i="1"/>
  <c r="RC48" i="1" s="1"/>
  <c r="IA40" i="1"/>
  <c r="RC40" i="1" s="1"/>
  <c r="IA32" i="1"/>
  <c r="PA32" i="1" s="1"/>
  <c r="IA24" i="1"/>
  <c r="PA24" i="1" s="1"/>
  <c r="IA16" i="1"/>
  <c r="PA16" i="1" s="1"/>
  <c r="IA8" i="1"/>
  <c r="PA8" i="1" s="1"/>
  <c r="IB82" i="1"/>
  <c r="PB82" i="1" s="1"/>
  <c r="IB74" i="1"/>
  <c r="PB74" i="1" s="1"/>
  <c r="IB66" i="1"/>
  <c r="PB66" i="1" s="1"/>
  <c r="IB58" i="1"/>
  <c r="PB58" i="1" s="1"/>
  <c r="IB50" i="1"/>
  <c r="IB42" i="1"/>
  <c r="PB42" i="1" s="1"/>
  <c r="IB34" i="1"/>
  <c r="IB26" i="1"/>
  <c r="PB26" i="1" s="1"/>
  <c r="IB18" i="1"/>
  <c r="IB10" i="1"/>
  <c r="PB10" i="1" s="1"/>
  <c r="IC84" i="1"/>
  <c r="PC84" i="1" s="1"/>
  <c r="IC76" i="1"/>
  <c r="PC76" i="1" s="1"/>
  <c r="IC68" i="1"/>
  <c r="IC60" i="1"/>
  <c r="IC52" i="1"/>
  <c r="IC44" i="1"/>
  <c r="IC36" i="1"/>
  <c r="PC36" i="1" s="1"/>
  <c r="IC28" i="1"/>
  <c r="PC28" i="1" s="1"/>
  <c r="IC20" i="1"/>
  <c r="PC20" i="1" s="1"/>
  <c r="IC12" i="1"/>
  <c r="ID86" i="1"/>
  <c r="PD86" i="1" s="1"/>
  <c r="ID78" i="1"/>
  <c r="PD78" i="1" s="1"/>
  <c r="ID70" i="1"/>
  <c r="PD70" i="1" s="1"/>
  <c r="ID62" i="1"/>
  <c r="PD62" i="1" s="1"/>
  <c r="ID54" i="1"/>
  <c r="PD54" i="1" s="1"/>
  <c r="ID46" i="1"/>
  <c r="PD46" i="1" s="1"/>
  <c r="ID38" i="1"/>
  <c r="ID30" i="1"/>
  <c r="PD30" i="1" s="1"/>
  <c r="ID22" i="1"/>
  <c r="ID14" i="1"/>
  <c r="PD14" i="1" s="1"/>
  <c r="IE88" i="1"/>
  <c r="PE88" i="1" s="1"/>
  <c r="IE80" i="1"/>
  <c r="RD80" i="1" s="1"/>
  <c r="IE72" i="1"/>
  <c r="PE72" i="1" s="1"/>
  <c r="IE64" i="1"/>
  <c r="RD64" i="1" s="1"/>
  <c r="IE56" i="1"/>
  <c r="PE56" i="1" s="1"/>
  <c r="IE48" i="1"/>
  <c r="PE48" i="1" s="1"/>
  <c r="IE40" i="1"/>
  <c r="RD40" i="1" s="1"/>
  <c r="IE32" i="1"/>
  <c r="PE32" i="1" s="1"/>
  <c r="IE24" i="1"/>
  <c r="PE24" i="1" s="1"/>
  <c r="IE16" i="1"/>
  <c r="PE16" i="1" s="1"/>
  <c r="IF13" i="1"/>
  <c r="PF13" i="1" s="1"/>
  <c r="IF53" i="1"/>
  <c r="PF53" i="1" s="1"/>
  <c r="IF61" i="1"/>
  <c r="PF61" i="1" s="1"/>
  <c r="IG84" i="1"/>
  <c r="PG84" i="1" s="1"/>
  <c r="IG76" i="1"/>
  <c r="PG76" i="1" s="1"/>
  <c r="IG68" i="1"/>
  <c r="IG60" i="1"/>
  <c r="IG52" i="1"/>
  <c r="IG44" i="1"/>
  <c r="IG36" i="1"/>
  <c r="IG28" i="1"/>
  <c r="PG28" i="1" s="1"/>
  <c r="IG20" i="1"/>
  <c r="PG20" i="1" s="1"/>
  <c r="IG12" i="1"/>
  <c r="IH86" i="1"/>
  <c r="IH78" i="1"/>
  <c r="PH78" i="1" s="1"/>
  <c r="IH70" i="1"/>
  <c r="IH62" i="1"/>
  <c r="PH62" i="1" s="1"/>
  <c r="IH54" i="1"/>
  <c r="PH54" i="1" s="1"/>
  <c r="IH46" i="1"/>
  <c r="IH38" i="1"/>
  <c r="IH30" i="1"/>
  <c r="PH30" i="1" s="1"/>
  <c r="IH22" i="1"/>
  <c r="IH14" i="1"/>
  <c r="PH14" i="1" s="1"/>
  <c r="II88" i="1"/>
  <c r="II80" i="1"/>
  <c r="RE80" i="1" s="1"/>
  <c r="II72" i="1"/>
  <c r="RE72" i="1" s="1"/>
  <c r="II64" i="1"/>
  <c r="RE64" i="1" s="1"/>
  <c r="II56" i="1"/>
  <c r="RE56" i="1" s="1"/>
  <c r="II48" i="1"/>
  <c r="RE48" i="1" s="1"/>
  <c r="II40" i="1"/>
  <c r="RE40" i="1" s="1"/>
  <c r="II32" i="1"/>
  <c r="PI32" i="1" s="1"/>
  <c r="II24" i="1"/>
  <c r="PI24" i="1" s="1"/>
  <c r="II16" i="1"/>
  <c r="RE16" i="1" s="1"/>
  <c r="IJ82" i="1"/>
  <c r="PJ82" i="1" s="1"/>
  <c r="IJ74" i="1"/>
  <c r="IJ66" i="1"/>
  <c r="IJ58" i="1"/>
  <c r="IJ50" i="1"/>
  <c r="IJ42" i="1"/>
  <c r="IJ34" i="1"/>
  <c r="IJ26" i="1"/>
  <c r="PJ26" i="1" s="1"/>
  <c r="IJ18" i="1"/>
  <c r="IJ10" i="1"/>
  <c r="IK84" i="1"/>
  <c r="RF84" i="1" s="1"/>
  <c r="IK76" i="1"/>
  <c r="RF76" i="1" s="1"/>
  <c r="IK68" i="1"/>
  <c r="RF68" i="1" s="1"/>
  <c r="IK60" i="1"/>
  <c r="RF60" i="1" s="1"/>
  <c r="IK52" i="1"/>
  <c r="RF52" i="1" s="1"/>
  <c r="IK44" i="1"/>
  <c r="IK36" i="1"/>
  <c r="RF36" i="1" s="1"/>
  <c r="IK28" i="1"/>
  <c r="PK28" i="1" s="1"/>
  <c r="IK20" i="1"/>
  <c r="RF20" i="1" s="1"/>
  <c r="IK12" i="1"/>
  <c r="RF12" i="1" s="1"/>
  <c r="IL86" i="1"/>
  <c r="IL78" i="1"/>
  <c r="IL70" i="1"/>
  <c r="IL62" i="1"/>
  <c r="IL54" i="1"/>
  <c r="PL54" i="1" s="1"/>
  <c r="IL46" i="1"/>
  <c r="IL38" i="1"/>
  <c r="IL30" i="1"/>
  <c r="PL30" i="1" s="1"/>
  <c r="IL22" i="1"/>
  <c r="IM88" i="1"/>
  <c r="RF88" i="1" s="1"/>
  <c r="IM80" i="1"/>
  <c r="RF80" i="1" s="1"/>
  <c r="IM72" i="1"/>
  <c r="RF72" i="1" s="1"/>
  <c r="IM64" i="1"/>
  <c r="RF64" i="1" s="1"/>
  <c r="IM56" i="1"/>
  <c r="RF56" i="1" s="1"/>
  <c r="IM48" i="1"/>
  <c r="RF48" i="1" s="1"/>
  <c r="IM40" i="1"/>
  <c r="RF40" i="1" s="1"/>
  <c r="IM32" i="1"/>
  <c r="PM32" i="1" s="1"/>
  <c r="IM24" i="1"/>
  <c r="RF24" i="1" s="1"/>
  <c r="IM16" i="1"/>
  <c r="RF16" i="1" s="1"/>
  <c r="IN82" i="1"/>
  <c r="PN82" i="1" s="1"/>
  <c r="IN74" i="1"/>
  <c r="PN74" i="1" s="1"/>
  <c r="IN66" i="1"/>
  <c r="PN66" i="1" s="1"/>
  <c r="IN58" i="1"/>
  <c r="PN58" i="1" s="1"/>
  <c r="IN50" i="1"/>
  <c r="IN42" i="1"/>
  <c r="IN34" i="1"/>
  <c r="PN34" i="1" s="1"/>
  <c r="IN26" i="1"/>
  <c r="PN26" i="1" s="1"/>
  <c r="IN18" i="1"/>
  <c r="PN18" i="1" s="1"/>
  <c r="IN10" i="1"/>
  <c r="PN10" i="1" s="1"/>
  <c r="IO84" i="1"/>
  <c r="PO84" i="1" s="1"/>
  <c r="IO76" i="1"/>
  <c r="PO76" i="1" s="1"/>
  <c r="IO68" i="1"/>
  <c r="PO68" i="1" s="1"/>
  <c r="IO60" i="1"/>
  <c r="PO60" i="1" s="1"/>
  <c r="IO52" i="1"/>
  <c r="PO52" i="1" s="1"/>
  <c r="IO44" i="1"/>
  <c r="PO44" i="1" s="1"/>
  <c r="IO36" i="1"/>
  <c r="PO36" i="1" s="1"/>
  <c r="IO20" i="1"/>
  <c r="PO20" i="1" s="1"/>
  <c r="IO12" i="1"/>
  <c r="PO12" i="1" s="1"/>
  <c r="IP86" i="1"/>
  <c r="PP86" i="1" s="1"/>
  <c r="IP78" i="1"/>
  <c r="PP78" i="1" s="1"/>
  <c r="IP70" i="1"/>
  <c r="PP70" i="1" s="1"/>
  <c r="IP62" i="1"/>
  <c r="PP62" i="1" s="1"/>
  <c r="IP54" i="1"/>
  <c r="PP54" i="1" s="1"/>
  <c r="IP46" i="1"/>
  <c r="PP46" i="1" s="1"/>
  <c r="IP38" i="1"/>
  <c r="PP38" i="1" s="1"/>
  <c r="IP30" i="1"/>
  <c r="PP30" i="1" s="1"/>
  <c r="IP22" i="1"/>
  <c r="PP22" i="1" s="1"/>
  <c r="IP14" i="1"/>
  <c r="PP14" i="1" s="1"/>
  <c r="IQ88" i="1"/>
  <c r="PQ88" i="1" s="1"/>
  <c r="IQ80" i="1"/>
  <c r="PQ80" i="1" s="1"/>
  <c r="IQ72" i="1"/>
  <c r="PQ72" i="1" s="1"/>
  <c r="IQ64" i="1"/>
  <c r="PQ64" i="1" s="1"/>
  <c r="IQ56" i="1"/>
  <c r="PQ56" i="1" s="1"/>
  <c r="IQ48" i="1"/>
  <c r="PQ48" i="1" s="1"/>
  <c r="IQ32" i="1"/>
  <c r="PQ32" i="1" s="1"/>
  <c r="IQ24" i="1"/>
  <c r="PQ24" i="1" s="1"/>
  <c r="IQ16" i="1"/>
  <c r="PQ16" i="1" s="1"/>
  <c r="IQ8" i="1"/>
  <c r="PQ8" i="1" s="1"/>
  <c r="IR13" i="1"/>
  <c r="PR13" i="1" s="1"/>
  <c r="IR21" i="1"/>
  <c r="PR21" i="1" s="1"/>
  <c r="IR61" i="1"/>
  <c r="PR61" i="1" s="1"/>
  <c r="IR69" i="1"/>
  <c r="PR69" i="1" s="1"/>
  <c r="IR77" i="1"/>
  <c r="PR77" i="1" s="1"/>
  <c r="IS84" i="1"/>
  <c r="PS84" i="1" s="1"/>
  <c r="IS76" i="1"/>
  <c r="PS76" i="1" s="1"/>
  <c r="IS68" i="1"/>
  <c r="RH68" i="1" s="1"/>
  <c r="IS60" i="1"/>
  <c r="PS60" i="1" s="1"/>
  <c r="IS52" i="1"/>
  <c r="PS52" i="1" s="1"/>
  <c r="IS44" i="1"/>
  <c r="PS44" i="1" s="1"/>
  <c r="IS36" i="1"/>
  <c r="PS36" i="1" s="1"/>
  <c r="IS20" i="1"/>
  <c r="PS20" i="1" s="1"/>
  <c r="IS12" i="1"/>
  <c r="IT86" i="1"/>
  <c r="IT78" i="1"/>
  <c r="PT78" i="1" s="1"/>
  <c r="IT70" i="1"/>
  <c r="IT62" i="1"/>
  <c r="IT54" i="1"/>
  <c r="PT54" i="1" s="1"/>
  <c r="IT46" i="1"/>
  <c r="IT38" i="1"/>
  <c r="IT30" i="1"/>
  <c r="PT30" i="1" s="1"/>
  <c r="IT22" i="1"/>
  <c r="PT22" i="1" s="1"/>
  <c r="IT14" i="1"/>
  <c r="PT14" i="1" s="1"/>
  <c r="IU88" i="1"/>
  <c r="PU88" i="1" s="1"/>
  <c r="IU80" i="1"/>
  <c r="PU80" i="1" s="1"/>
  <c r="IU72" i="1"/>
  <c r="PU72" i="1" s="1"/>
  <c r="IU64" i="1"/>
  <c r="PU64" i="1" s="1"/>
  <c r="IU56" i="1"/>
  <c r="PU56" i="1" s="1"/>
  <c r="IU48" i="1"/>
  <c r="PU48" i="1" s="1"/>
  <c r="IU40" i="1"/>
  <c r="RH40" i="1" s="1"/>
  <c r="IU32" i="1"/>
  <c r="PU32" i="1" s="1"/>
  <c r="IU24" i="1"/>
  <c r="PU24" i="1" s="1"/>
  <c r="IU16" i="1"/>
  <c r="PU16" i="1" s="1"/>
  <c r="IU8" i="1"/>
  <c r="PU8" i="1" s="1"/>
  <c r="IV82" i="1"/>
  <c r="PV82" i="1" s="1"/>
  <c r="IV33" i="1"/>
  <c r="PV33" i="1" s="1"/>
  <c r="IW83" i="1"/>
  <c r="PW83" i="1" s="1"/>
  <c r="IW43" i="1"/>
  <c r="PW43" i="1" s="1"/>
  <c r="IW34" i="1"/>
  <c r="RI34" i="1" s="1"/>
  <c r="IW26" i="1"/>
  <c r="PW26" i="1" s="1"/>
  <c r="IW18" i="1"/>
  <c r="RI18" i="1" s="1"/>
  <c r="IW10" i="1"/>
  <c r="RI10" i="1" s="1"/>
  <c r="IX76" i="1"/>
  <c r="IX68" i="1"/>
  <c r="IX60" i="1"/>
  <c r="IX52" i="1"/>
  <c r="IX44" i="1"/>
  <c r="IX36" i="1"/>
  <c r="IX28" i="1"/>
  <c r="IX20" i="1"/>
  <c r="IX12" i="1"/>
  <c r="IY86" i="1"/>
  <c r="IY78" i="1"/>
  <c r="IY70" i="1"/>
  <c r="IY62" i="1"/>
  <c r="IY54" i="1"/>
  <c r="PY54" i="1" s="1"/>
  <c r="IY46" i="1"/>
  <c r="IY38" i="1"/>
  <c r="RI38" i="1" s="1"/>
  <c r="IY30" i="1"/>
  <c r="PY30" i="1" s="1"/>
  <c r="IY22" i="1"/>
  <c r="PY22" i="1" s="1"/>
  <c r="IY14" i="1"/>
  <c r="PY14" i="1" s="1"/>
  <c r="IZ88" i="1"/>
  <c r="PZ88" i="1" s="1"/>
  <c r="IZ80" i="1"/>
  <c r="IZ72" i="1"/>
  <c r="IZ64" i="1"/>
  <c r="IZ56" i="1"/>
  <c r="IZ48" i="1"/>
  <c r="IZ40" i="1"/>
  <c r="IZ32" i="1"/>
  <c r="IZ24" i="1"/>
  <c r="IZ16" i="1"/>
  <c r="PZ16" i="1" s="1"/>
  <c r="IZ8" i="1"/>
  <c r="JA82" i="1"/>
  <c r="JA74" i="1"/>
  <c r="JA66" i="1"/>
  <c r="JA58" i="1"/>
  <c r="JA50" i="1"/>
  <c r="JA42" i="1"/>
  <c r="JA34" i="1"/>
  <c r="JA26" i="1"/>
  <c r="QA26" i="1" s="1"/>
  <c r="JA18" i="1"/>
  <c r="JA10" i="1"/>
  <c r="JB84" i="1"/>
  <c r="JB76" i="1"/>
  <c r="JB68" i="1"/>
  <c r="JB60" i="1"/>
  <c r="JB52" i="1"/>
  <c r="JB44" i="1"/>
  <c r="JB36" i="1"/>
  <c r="JB28" i="1"/>
  <c r="JB20" i="1"/>
  <c r="JB12" i="1"/>
  <c r="JC86" i="1"/>
  <c r="RJ86" i="1" s="1"/>
  <c r="JC78" i="1"/>
  <c r="RJ78" i="1" s="1"/>
  <c r="HZ37" i="1"/>
  <c r="HZ29" i="1"/>
  <c r="OZ29" i="1" s="1"/>
  <c r="HZ21" i="1"/>
  <c r="OZ21" i="1" s="1"/>
  <c r="HZ13" i="1"/>
  <c r="OZ13" i="1" s="1"/>
  <c r="IA87" i="1"/>
  <c r="PA87" i="1" s="1"/>
  <c r="IA79" i="1"/>
  <c r="RC79" i="1" s="1"/>
  <c r="IA71" i="1"/>
  <c r="RC71" i="1" s="1"/>
  <c r="IA63" i="1"/>
  <c r="PA63" i="1" s="1"/>
  <c r="IA55" i="1"/>
  <c r="PA55" i="1" s="1"/>
  <c r="IA47" i="1"/>
  <c r="PA47" i="1" s="1"/>
  <c r="IA39" i="1"/>
  <c r="PA39" i="1" s="1"/>
  <c r="IA31" i="1"/>
  <c r="PA31" i="1" s="1"/>
  <c r="IA23" i="1"/>
  <c r="RC23" i="1" s="1"/>
  <c r="IA15" i="1"/>
  <c r="RC15" i="1" s="1"/>
  <c r="IA7" i="1"/>
  <c r="RC7" i="1" s="1"/>
  <c r="IB73" i="1"/>
  <c r="PB73" i="1" s="1"/>
  <c r="IB57" i="1"/>
  <c r="PB57" i="1" s="1"/>
  <c r="IB49" i="1"/>
  <c r="PB49" i="1" s="1"/>
  <c r="IB41" i="1"/>
  <c r="PB41" i="1" s="1"/>
  <c r="IB9" i="1"/>
  <c r="PB9" i="1" s="1"/>
  <c r="IC83" i="1"/>
  <c r="PC83" i="1" s="1"/>
  <c r="IC75" i="1"/>
  <c r="PC75" i="1" s="1"/>
  <c r="IC59" i="1"/>
  <c r="PC59" i="1" s="1"/>
  <c r="IC51" i="1"/>
  <c r="PC51" i="1" s="1"/>
  <c r="IC27" i="1"/>
  <c r="PC27" i="1" s="1"/>
  <c r="ID85" i="1"/>
  <c r="ID77" i="1"/>
  <c r="PD77" i="1" s="1"/>
  <c r="ID69" i="1"/>
  <c r="ID61" i="1"/>
  <c r="PD61" i="1" s="1"/>
  <c r="ID53" i="1"/>
  <c r="PD53" i="1" s="1"/>
  <c r="ID45" i="1"/>
  <c r="PD45" i="1" s="1"/>
  <c r="ID37" i="1"/>
  <c r="ID29" i="1"/>
  <c r="ID21" i="1"/>
  <c r="ID13" i="1"/>
  <c r="PD13" i="1" s="1"/>
  <c r="IE87" i="1"/>
  <c r="RD87" i="1" s="1"/>
  <c r="IE79" i="1"/>
  <c r="RD79" i="1" s="1"/>
  <c r="IE71" i="1"/>
  <c r="RD71" i="1" s="1"/>
  <c r="IE63" i="1"/>
  <c r="PE63" i="1" s="1"/>
  <c r="IE55" i="1"/>
  <c r="PE55" i="1" s="1"/>
  <c r="IE47" i="1"/>
  <c r="RD47" i="1" s="1"/>
  <c r="IE39" i="1"/>
  <c r="PE39" i="1" s="1"/>
  <c r="IE31" i="1"/>
  <c r="PE31" i="1" s="1"/>
  <c r="IE23" i="1"/>
  <c r="PE23" i="1" s="1"/>
  <c r="IE15" i="1"/>
  <c r="PE15" i="1" s="1"/>
  <c r="IE7" i="1"/>
  <c r="RD7" i="1" s="1"/>
  <c r="IF14" i="1"/>
  <c r="PF14" i="1" s="1"/>
  <c r="IF30" i="1"/>
  <c r="PF30" i="1" s="1"/>
  <c r="IF54" i="1"/>
  <c r="PF54" i="1" s="1"/>
  <c r="IF62" i="1"/>
  <c r="PF62" i="1" s="1"/>
  <c r="IF78" i="1"/>
  <c r="PF78" i="1" s="1"/>
  <c r="IG83" i="1"/>
  <c r="PG83" i="1" s="1"/>
  <c r="IG75" i="1"/>
  <c r="PG75" i="1" s="1"/>
  <c r="IG51" i="1"/>
  <c r="PG51" i="1" s="1"/>
  <c r="IG27" i="1"/>
  <c r="PG27" i="1" s="1"/>
  <c r="IH85" i="1"/>
  <c r="IH77" i="1"/>
  <c r="IH69" i="1"/>
  <c r="IH61" i="1"/>
  <c r="PH61" i="1" s="1"/>
  <c r="IH53" i="1"/>
  <c r="PH53" i="1" s="1"/>
  <c r="IH45" i="1"/>
  <c r="IH37" i="1"/>
  <c r="IH29" i="1"/>
  <c r="IH21" i="1"/>
  <c r="IH13" i="1"/>
  <c r="PH13" i="1" s="1"/>
  <c r="II87" i="1"/>
  <c r="RE87" i="1" s="1"/>
  <c r="II79" i="1"/>
  <c r="RE79" i="1" s="1"/>
  <c r="II71" i="1"/>
  <c r="II63" i="1"/>
  <c r="PI63" i="1" s="1"/>
  <c r="II55" i="1"/>
  <c r="PI55" i="1" s="1"/>
  <c r="II47" i="1"/>
  <c r="RE47" i="1" s="1"/>
  <c r="II39" i="1"/>
  <c r="PI39" i="1" s="1"/>
  <c r="II31" i="1"/>
  <c r="RE31" i="1" s="1"/>
  <c r="II23" i="1"/>
  <c r="RE23" i="1" s="1"/>
  <c r="II15" i="1"/>
  <c r="PI15" i="1" s="1"/>
  <c r="II7" i="1"/>
  <c r="RE7" i="1" s="1"/>
  <c r="IK27" i="1"/>
  <c r="PK27" i="1" s="1"/>
  <c r="IL85" i="1"/>
  <c r="IL77" i="1"/>
  <c r="IL69" i="1"/>
  <c r="IL61" i="1"/>
  <c r="IL53" i="1"/>
  <c r="PL53" i="1" s="1"/>
  <c r="IL45" i="1"/>
  <c r="IL37" i="1"/>
  <c r="IL29" i="1"/>
  <c r="IL21" i="1"/>
  <c r="IL13" i="1"/>
  <c r="PL13" i="1" s="1"/>
  <c r="IM87" i="1"/>
  <c r="RF87" i="1" s="1"/>
  <c r="IM79" i="1"/>
  <c r="RF79" i="1" s="1"/>
  <c r="IM71" i="1"/>
  <c r="RF71" i="1" s="1"/>
  <c r="IM63" i="1"/>
  <c r="RF63" i="1" s="1"/>
  <c r="IM55" i="1"/>
  <c r="PM55" i="1" s="1"/>
  <c r="IM47" i="1"/>
  <c r="RF47" i="1" s="1"/>
  <c r="IM39" i="1"/>
  <c r="PM39" i="1" s="1"/>
  <c r="IM31" i="1"/>
  <c r="RF31" i="1" s="1"/>
  <c r="IM23" i="1"/>
  <c r="RF23" i="1" s="1"/>
  <c r="IM15" i="1"/>
  <c r="RF15" i="1" s="1"/>
  <c r="IM7" i="1"/>
  <c r="RF7" i="1" s="1"/>
  <c r="IN81" i="1"/>
  <c r="PN81" i="1" s="1"/>
  <c r="IN73" i="1"/>
  <c r="PN73" i="1" s="1"/>
  <c r="IN65" i="1"/>
  <c r="PN65" i="1" s="1"/>
  <c r="IN57" i="1"/>
  <c r="PN57" i="1" s="1"/>
  <c r="IN49" i="1"/>
  <c r="PN49" i="1" s="1"/>
  <c r="IN41" i="1"/>
  <c r="PN41" i="1" s="1"/>
  <c r="IN33" i="1"/>
  <c r="PN33" i="1" s="1"/>
  <c r="IN25" i="1"/>
  <c r="PN25" i="1" s="1"/>
  <c r="IN9" i="1"/>
  <c r="PN9" i="1" s="1"/>
  <c r="IO83" i="1"/>
  <c r="PO83" i="1" s="1"/>
  <c r="IO75" i="1"/>
  <c r="PO75" i="1" s="1"/>
  <c r="IO67" i="1"/>
  <c r="PO67" i="1" s="1"/>
  <c r="IO59" i="1"/>
  <c r="PO59" i="1" s="1"/>
  <c r="IO51" i="1"/>
  <c r="PO51" i="1" s="1"/>
  <c r="IO43" i="1"/>
  <c r="PO43" i="1" s="1"/>
  <c r="IO35" i="1"/>
  <c r="PO35" i="1" s="1"/>
  <c r="IO19" i="1"/>
  <c r="PO19" i="1" s="1"/>
  <c r="IO11" i="1"/>
  <c r="PO11" i="1" s="1"/>
  <c r="IP85" i="1"/>
  <c r="IP77" i="1"/>
  <c r="PP77" i="1" s="1"/>
  <c r="IP69" i="1"/>
  <c r="PP69" i="1" s="1"/>
  <c r="IP61" i="1"/>
  <c r="PP61" i="1" s="1"/>
  <c r="IP53" i="1"/>
  <c r="PP53" i="1" s="1"/>
  <c r="IP45" i="1"/>
  <c r="PP45" i="1" s="1"/>
  <c r="IP37" i="1"/>
  <c r="PP37" i="1" s="1"/>
  <c r="IP29" i="1"/>
  <c r="PP29" i="1" s="1"/>
  <c r="IP21" i="1"/>
  <c r="PP21" i="1" s="1"/>
  <c r="IP13" i="1"/>
  <c r="PP13" i="1" s="1"/>
  <c r="IQ87" i="1"/>
  <c r="PQ87" i="1" s="1"/>
  <c r="IQ79" i="1"/>
  <c r="RG79" i="1" s="1"/>
  <c r="IQ71" i="1"/>
  <c r="PQ71" i="1" s="1"/>
  <c r="IQ63" i="1"/>
  <c r="PQ63" i="1" s="1"/>
  <c r="IQ55" i="1"/>
  <c r="PQ55" i="1" s="1"/>
  <c r="IQ47" i="1"/>
  <c r="PQ47" i="1" s="1"/>
  <c r="IQ39" i="1"/>
  <c r="PQ39" i="1" s="1"/>
  <c r="IQ31" i="1"/>
  <c r="PQ31" i="1" s="1"/>
  <c r="IQ23" i="1"/>
  <c r="PQ23" i="1" s="1"/>
  <c r="IQ15" i="1"/>
  <c r="PQ15" i="1" s="1"/>
  <c r="IQ7" i="1"/>
  <c r="PQ7" i="1" s="1"/>
  <c r="IR14" i="1"/>
  <c r="PR14" i="1" s="1"/>
  <c r="IR22" i="1"/>
  <c r="PR22" i="1" s="1"/>
  <c r="IR30" i="1"/>
  <c r="PR30" i="1" s="1"/>
  <c r="IR54" i="1"/>
  <c r="PR54" i="1" s="1"/>
  <c r="IR78" i="1"/>
  <c r="PR78" i="1" s="1"/>
  <c r="IS83" i="1"/>
  <c r="PS83" i="1" s="1"/>
  <c r="IS75" i="1"/>
  <c r="PS75" i="1" s="1"/>
  <c r="IS67" i="1"/>
  <c r="PS67" i="1" s="1"/>
  <c r="IS59" i="1"/>
  <c r="PS59" i="1" s="1"/>
  <c r="IS43" i="1"/>
  <c r="PS43" i="1" s="1"/>
  <c r="IS35" i="1"/>
  <c r="PS35" i="1" s="1"/>
  <c r="IT85" i="1"/>
  <c r="IT77" i="1"/>
  <c r="PT77" i="1" s="1"/>
  <c r="IT69" i="1"/>
  <c r="PT69" i="1" s="1"/>
  <c r="IT61" i="1"/>
  <c r="PT61" i="1" s="1"/>
  <c r="IT53" i="1"/>
  <c r="IT45" i="1"/>
  <c r="IT37" i="1"/>
  <c r="IT29" i="1"/>
  <c r="IT21" i="1"/>
  <c r="PT21" i="1" s="1"/>
  <c r="IT13" i="1"/>
  <c r="PT13" i="1" s="1"/>
  <c r="IU87" i="1"/>
  <c r="PU87" i="1" s="1"/>
  <c r="IU79" i="1"/>
  <c r="RH79" i="1" s="1"/>
  <c r="IU71" i="1"/>
  <c r="RH71" i="1" s="1"/>
  <c r="IU63" i="1"/>
  <c r="PU63" i="1" s="1"/>
  <c r="IU55" i="1"/>
  <c r="PU55" i="1" s="1"/>
  <c r="IU47" i="1"/>
  <c r="RH47" i="1" s="1"/>
  <c r="IU39" i="1"/>
  <c r="PU39" i="1" s="1"/>
  <c r="IU31" i="1"/>
  <c r="PU31" i="1" s="1"/>
  <c r="IU23" i="1"/>
  <c r="PU23" i="1" s="1"/>
  <c r="IU15" i="1"/>
  <c r="PU15" i="1" s="1"/>
  <c r="IU7" i="1"/>
  <c r="RH7" i="1" s="1"/>
  <c r="IV57" i="1"/>
  <c r="PV57" i="1" s="1"/>
  <c r="IV32" i="1"/>
  <c r="IV24" i="1"/>
  <c r="IV16" i="1"/>
  <c r="PV16" i="1" s="1"/>
  <c r="IV8" i="1"/>
  <c r="PV8" i="1" s="1"/>
  <c r="IW82" i="1"/>
  <c r="PW82" i="1" s="1"/>
  <c r="IW74" i="1"/>
  <c r="RI74" i="1" s="1"/>
  <c r="IW66" i="1"/>
  <c r="RI66" i="1" s="1"/>
  <c r="IW58" i="1"/>
  <c r="RI58" i="1" s="1"/>
  <c r="IW50" i="1"/>
  <c r="RI50" i="1" s="1"/>
  <c r="IW42" i="1"/>
  <c r="IW33" i="1"/>
  <c r="PW33" i="1" s="1"/>
  <c r="IX83" i="1"/>
  <c r="PX83" i="1" s="1"/>
  <c r="IX75" i="1"/>
  <c r="IX67" i="1"/>
  <c r="IX59" i="1"/>
  <c r="IX51" i="1"/>
  <c r="IX43" i="1"/>
  <c r="PX43" i="1" s="1"/>
  <c r="IX35" i="1"/>
  <c r="IX27" i="1"/>
  <c r="IX19" i="1"/>
  <c r="IX11" i="1"/>
  <c r="IY85" i="1"/>
  <c r="IY77" i="1"/>
  <c r="PY77" i="1" s="1"/>
  <c r="IY69" i="1"/>
  <c r="IY61" i="1"/>
  <c r="PY61" i="1" s="1"/>
  <c r="IY53" i="1"/>
  <c r="IY45" i="1"/>
  <c r="IY37" i="1"/>
  <c r="IY29" i="1"/>
  <c r="IY21" i="1"/>
  <c r="PY21" i="1" s="1"/>
  <c r="IY13" i="1"/>
  <c r="PY13" i="1" s="1"/>
  <c r="IZ39" i="1"/>
  <c r="PZ39" i="1" s="1"/>
  <c r="IZ31" i="1"/>
  <c r="PZ31" i="1" s="1"/>
  <c r="IZ23" i="1"/>
  <c r="PZ23" i="1" s="1"/>
  <c r="IZ15" i="1"/>
  <c r="PZ15" i="1" s="1"/>
  <c r="JB83" i="1"/>
  <c r="QB83" i="1" s="1"/>
  <c r="JB75" i="1"/>
  <c r="JB67" i="1"/>
  <c r="JB59" i="1"/>
  <c r="JB51" i="1"/>
  <c r="JB43" i="1"/>
  <c r="JB35" i="1"/>
  <c r="JB27" i="1"/>
  <c r="JB19" i="1"/>
  <c r="JB11" i="1"/>
  <c r="JC85" i="1"/>
  <c r="JC77" i="1"/>
  <c r="QC77" i="1" s="1"/>
  <c r="JC69" i="1"/>
  <c r="RJ69" i="1" s="1"/>
  <c r="JC61" i="1"/>
  <c r="RJ61" i="1" s="1"/>
  <c r="HZ44" i="1"/>
  <c r="HZ36" i="1"/>
  <c r="OZ36" i="1" s="1"/>
  <c r="HZ28" i="1"/>
  <c r="OZ28" i="1" s="1"/>
  <c r="HZ20" i="1"/>
  <c r="OZ20" i="1" s="1"/>
  <c r="HZ12" i="1"/>
  <c r="OZ12" i="1" s="1"/>
  <c r="IA86" i="1"/>
  <c r="RC86" i="1" s="1"/>
  <c r="IA78" i="1"/>
  <c r="RC78" i="1" s="1"/>
  <c r="IA70" i="1"/>
  <c r="PA70" i="1" s="1"/>
  <c r="IA62" i="1"/>
  <c r="RC62" i="1" s="1"/>
  <c r="IA54" i="1"/>
  <c r="PA54" i="1" s="1"/>
  <c r="IA46" i="1"/>
  <c r="PA46" i="1" s="1"/>
  <c r="IA38" i="1"/>
  <c r="PA38" i="1" s="1"/>
  <c r="IA30" i="1"/>
  <c r="PA30" i="1" s="1"/>
  <c r="IA22" i="1"/>
  <c r="PA22" i="1" s="1"/>
  <c r="IA14" i="1"/>
  <c r="PA14" i="1" s="1"/>
  <c r="IB88" i="1"/>
  <c r="PB88" i="1" s="1"/>
  <c r="IB72" i="1"/>
  <c r="PB72" i="1" s="1"/>
  <c r="IB56" i="1"/>
  <c r="PB56" i="1" s="1"/>
  <c r="IB48" i="1"/>
  <c r="PB48" i="1" s="1"/>
  <c r="IB32" i="1"/>
  <c r="PB32" i="1" s="1"/>
  <c r="IB24" i="1"/>
  <c r="PB24" i="1" s="1"/>
  <c r="IB16" i="1"/>
  <c r="PB16" i="1" s="1"/>
  <c r="IC82" i="1"/>
  <c r="PC82" i="1" s="1"/>
  <c r="IC74" i="1"/>
  <c r="PC74" i="1" s="1"/>
  <c r="IC66" i="1"/>
  <c r="PC66" i="1" s="1"/>
  <c r="IC58" i="1"/>
  <c r="PC58" i="1" s="1"/>
  <c r="IC42" i="1"/>
  <c r="PC42" i="1" s="1"/>
  <c r="IC26" i="1"/>
  <c r="PC26" i="1" s="1"/>
  <c r="IC10" i="1"/>
  <c r="PC10" i="1" s="1"/>
  <c r="ID84" i="1"/>
  <c r="PD84" i="1" s="1"/>
  <c r="ID76" i="1"/>
  <c r="PD76" i="1" s="1"/>
  <c r="ID68" i="1"/>
  <c r="ID60" i="1"/>
  <c r="ID52" i="1"/>
  <c r="ID44" i="1"/>
  <c r="ID36" i="1"/>
  <c r="PD36" i="1" s="1"/>
  <c r="ID28" i="1"/>
  <c r="PD28" i="1" s="1"/>
  <c r="ID20" i="1"/>
  <c r="PD20" i="1" s="1"/>
  <c r="ID12" i="1"/>
  <c r="IE86" i="1"/>
  <c r="PE86" i="1" s="1"/>
  <c r="IE78" i="1"/>
  <c r="PE78" i="1" s="1"/>
  <c r="IE70" i="1"/>
  <c r="PE70" i="1" s="1"/>
  <c r="IE62" i="1"/>
  <c r="PE62" i="1" s="1"/>
  <c r="IE54" i="1"/>
  <c r="PE54" i="1" s="1"/>
  <c r="IE46" i="1"/>
  <c r="PE46" i="1" s="1"/>
  <c r="IE38" i="1"/>
  <c r="RD38" i="1" s="1"/>
  <c r="IE30" i="1"/>
  <c r="PE30" i="1" s="1"/>
  <c r="IE22" i="1"/>
  <c r="RD22" i="1" s="1"/>
  <c r="IE14" i="1"/>
  <c r="PE14" i="1" s="1"/>
  <c r="IF15" i="1"/>
  <c r="PF15" i="1" s="1"/>
  <c r="IF39" i="1"/>
  <c r="PF39" i="1" s="1"/>
  <c r="IF55" i="1"/>
  <c r="PF55" i="1" s="1"/>
  <c r="IF63" i="1"/>
  <c r="PF63" i="1" s="1"/>
  <c r="IG82" i="1"/>
  <c r="PG82" i="1" s="1"/>
  <c r="IG74" i="1"/>
  <c r="PG74" i="1" s="1"/>
  <c r="IG26" i="1"/>
  <c r="PG26" i="1" s="1"/>
  <c r="IH84" i="1"/>
  <c r="PH84" i="1" s="1"/>
  <c r="IH76" i="1"/>
  <c r="PH76" i="1" s="1"/>
  <c r="IH68" i="1"/>
  <c r="IH60" i="1"/>
  <c r="IH52" i="1"/>
  <c r="IH44" i="1"/>
  <c r="IH36" i="1"/>
  <c r="IH28" i="1"/>
  <c r="PH28" i="1" s="1"/>
  <c r="IH20" i="1"/>
  <c r="PH20" i="1" s="1"/>
  <c r="IH12" i="1"/>
  <c r="II86" i="1"/>
  <c r="RE86" i="1" s="1"/>
  <c r="II78" i="1"/>
  <c r="PI78" i="1" s="1"/>
  <c r="II70" i="1"/>
  <c r="RE70" i="1" s="1"/>
  <c r="II62" i="1"/>
  <c r="PI62" i="1" s="1"/>
  <c r="II54" i="1"/>
  <c r="PI54" i="1" s="1"/>
  <c r="II46" i="1"/>
  <c r="RE46" i="1" s="1"/>
  <c r="II38" i="1"/>
  <c r="RE38" i="1" s="1"/>
  <c r="II30" i="1"/>
  <c r="PI30" i="1" s="1"/>
  <c r="II22" i="1"/>
  <c r="RE22" i="1" s="1"/>
  <c r="II14" i="1"/>
  <c r="PI14" i="1" s="1"/>
  <c r="IJ32" i="1"/>
  <c r="PJ32" i="1" s="1"/>
  <c r="IK82" i="1"/>
  <c r="PK82" i="1" s="1"/>
  <c r="IK26" i="1"/>
  <c r="PK26" i="1" s="1"/>
  <c r="IL84" i="1"/>
  <c r="IL76" i="1"/>
  <c r="IL68" i="1"/>
  <c r="IL60" i="1"/>
  <c r="IL52" i="1"/>
  <c r="IL44" i="1"/>
  <c r="IL36" i="1"/>
  <c r="IL28" i="1"/>
  <c r="PL28" i="1" s="1"/>
  <c r="IL20" i="1"/>
  <c r="IL12" i="1"/>
  <c r="IM86" i="1"/>
  <c r="RF86" i="1" s="1"/>
  <c r="IM78" i="1"/>
  <c r="RF78" i="1" s="1"/>
  <c r="IM70" i="1"/>
  <c r="RF70" i="1" s="1"/>
  <c r="IM62" i="1"/>
  <c r="RF62" i="1" s="1"/>
  <c r="IM54" i="1"/>
  <c r="PM54" i="1" s="1"/>
  <c r="IM46" i="1"/>
  <c r="RF46" i="1" s="1"/>
  <c r="IM38" i="1"/>
  <c r="RF38" i="1" s="1"/>
  <c r="IM30" i="1"/>
  <c r="PM30" i="1" s="1"/>
  <c r="IM22" i="1"/>
  <c r="RF22" i="1" s="1"/>
  <c r="IN88" i="1"/>
  <c r="PN88" i="1" s="1"/>
  <c r="IN80" i="1"/>
  <c r="PN80" i="1" s="1"/>
  <c r="IN72" i="1"/>
  <c r="PN72" i="1" s="1"/>
  <c r="IN64" i="1"/>
  <c r="PN64" i="1" s="1"/>
  <c r="IN56" i="1"/>
  <c r="PN56" i="1" s="1"/>
  <c r="IN48" i="1"/>
  <c r="PN48" i="1" s="1"/>
  <c r="IN32" i="1"/>
  <c r="PN32" i="1" s="1"/>
  <c r="IN24" i="1"/>
  <c r="PN24" i="1" s="1"/>
  <c r="IN16" i="1"/>
  <c r="PN16" i="1" s="1"/>
  <c r="IN8" i="1"/>
  <c r="PN8" i="1" s="1"/>
  <c r="IO82" i="1"/>
  <c r="PO82" i="1" s="1"/>
  <c r="IO74" i="1"/>
  <c r="PO74" i="1" s="1"/>
  <c r="IO66" i="1"/>
  <c r="PO66" i="1" s="1"/>
  <c r="IO58" i="1"/>
  <c r="PO58" i="1" s="1"/>
  <c r="IO34" i="1"/>
  <c r="PO34" i="1" s="1"/>
  <c r="IO26" i="1"/>
  <c r="PO26" i="1" s="1"/>
  <c r="IO18" i="1"/>
  <c r="PO18" i="1" s="1"/>
  <c r="IO10" i="1"/>
  <c r="PO10" i="1" s="1"/>
  <c r="IP84" i="1"/>
  <c r="PP84" i="1" s="1"/>
  <c r="IP76" i="1"/>
  <c r="PP76" i="1" s="1"/>
  <c r="IP68" i="1"/>
  <c r="PP68" i="1" s="1"/>
  <c r="IP60" i="1"/>
  <c r="PP60" i="1" s="1"/>
  <c r="IP52" i="1"/>
  <c r="PP52" i="1" s="1"/>
  <c r="IP44" i="1"/>
  <c r="PP44" i="1" s="1"/>
  <c r="IP36" i="1"/>
  <c r="PP36" i="1" s="1"/>
  <c r="IP20" i="1"/>
  <c r="PP20" i="1" s="1"/>
  <c r="IP12" i="1"/>
  <c r="PP12" i="1" s="1"/>
  <c r="IQ86" i="1"/>
  <c r="PQ86" i="1" s="1"/>
  <c r="IQ78" i="1"/>
  <c r="PQ78" i="1" s="1"/>
  <c r="IQ70" i="1"/>
  <c r="PQ70" i="1" s="1"/>
  <c r="IQ62" i="1"/>
  <c r="PQ62" i="1" s="1"/>
  <c r="IQ54" i="1"/>
  <c r="PQ54" i="1" s="1"/>
  <c r="IQ46" i="1"/>
  <c r="PQ46" i="1" s="1"/>
  <c r="IQ38" i="1"/>
  <c r="PQ38" i="1" s="1"/>
  <c r="IQ30" i="1"/>
  <c r="PQ30" i="1" s="1"/>
  <c r="IQ22" i="1"/>
  <c r="PQ22" i="1" s="1"/>
  <c r="IQ14" i="1"/>
  <c r="PQ14" i="1" s="1"/>
  <c r="IR15" i="1"/>
  <c r="PR15" i="1" s="1"/>
  <c r="IR23" i="1"/>
  <c r="PR23" i="1" s="1"/>
  <c r="IR31" i="1"/>
  <c r="PR31" i="1" s="1"/>
  <c r="IR39" i="1"/>
  <c r="PR39" i="1" s="1"/>
  <c r="IR55" i="1"/>
  <c r="PR55" i="1" s="1"/>
  <c r="IR63" i="1"/>
  <c r="PR63" i="1" s="1"/>
  <c r="IR87" i="1"/>
  <c r="PR87" i="1" s="1"/>
  <c r="IS82" i="1"/>
  <c r="PS82" i="1" s="1"/>
  <c r="IS74" i="1"/>
  <c r="PS74" i="1" s="1"/>
  <c r="IS66" i="1"/>
  <c r="PS66" i="1" s="1"/>
  <c r="IS58" i="1"/>
  <c r="PS58" i="1" s="1"/>
  <c r="IS26" i="1"/>
  <c r="PS26" i="1" s="1"/>
  <c r="IT84" i="1"/>
  <c r="PT84" i="1" s="1"/>
  <c r="IT76" i="1"/>
  <c r="PT76" i="1" s="1"/>
  <c r="IT68" i="1"/>
  <c r="IT60" i="1"/>
  <c r="PT60" i="1" s="1"/>
  <c r="IT52" i="1"/>
  <c r="PT52" i="1" s="1"/>
  <c r="IT44" i="1"/>
  <c r="PT44" i="1" s="1"/>
  <c r="IT36" i="1"/>
  <c r="PT36" i="1" s="1"/>
  <c r="IT20" i="1"/>
  <c r="PT20" i="1" s="1"/>
  <c r="IT12" i="1"/>
  <c r="IU86" i="1"/>
  <c r="RH86" i="1" s="1"/>
  <c r="IU78" i="1"/>
  <c r="PU78" i="1" s="1"/>
  <c r="IU70" i="1"/>
  <c r="RH70" i="1" s="1"/>
  <c r="IU62" i="1"/>
  <c r="RH62" i="1" s="1"/>
  <c r="IU54" i="1"/>
  <c r="PU54" i="1" s="1"/>
  <c r="IU46" i="1"/>
  <c r="RH46" i="1" s="1"/>
  <c r="IU38" i="1"/>
  <c r="RH38" i="1" s="1"/>
  <c r="IU30" i="1"/>
  <c r="PU30" i="1" s="1"/>
  <c r="IU22" i="1"/>
  <c r="PU22" i="1" s="1"/>
  <c r="IU14" i="1"/>
  <c r="PU14" i="1" s="1"/>
  <c r="IV88" i="1"/>
  <c r="PV88" i="1" s="1"/>
  <c r="IV80" i="1"/>
  <c r="IV72" i="1"/>
  <c r="IV64" i="1"/>
  <c r="PV64" i="1" s="1"/>
  <c r="IV56" i="1"/>
  <c r="IV48" i="1"/>
  <c r="IV40" i="1"/>
  <c r="IV31" i="1"/>
  <c r="PV31" i="1" s="1"/>
  <c r="IV23" i="1"/>
  <c r="PV23" i="1" s="1"/>
  <c r="IV15" i="1"/>
  <c r="PV15" i="1" s="1"/>
  <c r="IW57" i="1"/>
  <c r="PW57" i="1" s="1"/>
  <c r="IW16" i="1"/>
  <c r="PW16" i="1" s="1"/>
  <c r="IW8" i="1"/>
  <c r="PW8" i="1" s="1"/>
  <c r="IX82" i="1"/>
  <c r="PX82" i="1" s="1"/>
  <c r="IX74" i="1"/>
  <c r="IX66" i="1"/>
  <c r="IX58" i="1"/>
  <c r="IX50" i="1"/>
  <c r="IX42" i="1"/>
  <c r="IX34" i="1"/>
  <c r="IX26" i="1"/>
  <c r="PX26" i="1" s="1"/>
  <c r="IX18" i="1"/>
  <c r="IX10" i="1"/>
  <c r="IY76" i="1"/>
  <c r="RI76" i="1" s="1"/>
  <c r="IY68" i="1"/>
  <c r="RI68" i="1" s="1"/>
  <c r="IY60" i="1"/>
  <c r="RI60" i="1" s="1"/>
  <c r="IY52" i="1"/>
  <c r="RI52" i="1" s="1"/>
  <c r="IY44" i="1"/>
  <c r="RI44" i="1" s="1"/>
  <c r="IY36" i="1"/>
  <c r="RI36" i="1" s="1"/>
  <c r="IY28" i="1"/>
  <c r="RI28" i="1" s="1"/>
  <c r="IY20" i="1"/>
  <c r="RI20" i="1" s="1"/>
  <c r="IY12" i="1"/>
  <c r="RI12" i="1" s="1"/>
  <c r="IZ30" i="1"/>
  <c r="PZ30" i="1" s="1"/>
  <c r="JA88" i="1"/>
  <c r="QA88" i="1" s="1"/>
  <c r="JA16" i="1"/>
  <c r="QA16" i="1" s="1"/>
  <c r="JB82" i="1"/>
  <c r="JB74" i="1"/>
  <c r="JB66" i="1"/>
  <c r="JB58" i="1"/>
  <c r="JB50" i="1"/>
  <c r="JB42" i="1"/>
  <c r="JB34" i="1"/>
  <c r="JB26" i="1"/>
  <c r="QB26" i="1" s="1"/>
  <c r="JB18" i="1"/>
  <c r="IA69" i="1"/>
  <c r="PA69" i="1" s="1"/>
  <c r="IA61" i="1"/>
  <c r="PA61" i="1" s="1"/>
  <c r="IA53" i="1"/>
  <c r="RC53" i="1" s="1"/>
  <c r="IA45" i="1"/>
  <c r="PA45" i="1" s="1"/>
  <c r="IA37" i="1"/>
  <c r="RC37" i="1" s="1"/>
  <c r="IA29" i="1"/>
  <c r="PA29" i="1" s="1"/>
  <c r="IA21" i="1"/>
  <c r="PA21" i="1" s="1"/>
  <c r="IA13" i="1"/>
  <c r="PA13" i="1" s="1"/>
  <c r="IB63" i="1"/>
  <c r="PB63" i="1" s="1"/>
  <c r="IB55" i="1"/>
  <c r="PB55" i="1" s="1"/>
  <c r="IB39" i="1"/>
  <c r="PB39" i="1" s="1"/>
  <c r="IB31" i="1"/>
  <c r="PB31" i="1" s="1"/>
  <c r="IB23" i="1"/>
  <c r="PB23" i="1" s="1"/>
  <c r="IB15" i="1"/>
  <c r="PB15" i="1" s="1"/>
  <c r="IC73" i="1"/>
  <c r="PC73" i="1" s="1"/>
  <c r="IC57" i="1"/>
  <c r="PC57" i="1" s="1"/>
  <c r="IC49" i="1"/>
  <c r="PC49" i="1" s="1"/>
  <c r="IC41" i="1"/>
  <c r="PC41" i="1" s="1"/>
  <c r="IC9" i="1"/>
  <c r="PC9" i="1" s="1"/>
  <c r="ID83" i="1"/>
  <c r="PD83" i="1" s="1"/>
  <c r="ID75" i="1"/>
  <c r="PD75" i="1" s="1"/>
  <c r="ID67" i="1"/>
  <c r="ID59" i="1"/>
  <c r="PD59" i="1" s="1"/>
  <c r="ID51" i="1"/>
  <c r="PD51" i="1" s="1"/>
  <c r="ID43" i="1"/>
  <c r="ID35" i="1"/>
  <c r="ID27" i="1"/>
  <c r="PD27" i="1" s="1"/>
  <c r="ID19" i="1"/>
  <c r="ID11" i="1"/>
  <c r="IE85" i="1"/>
  <c r="RD85" i="1" s="1"/>
  <c r="IE77" i="1"/>
  <c r="PE77" i="1" s="1"/>
  <c r="IE69" i="1"/>
  <c r="RD69" i="1" s="1"/>
  <c r="IE61" i="1"/>
  <c r="PE61" i="1" s="1"/>
  <c r="IE53" i="1"/>
  <c r="PE53" i="1" s="1"/>
  <c r="IE45" i="1"/>
  <c r="PE45" i="1" s="1"/>
  <c r="IE37" i="1"/>
  <c r="RD37" i="1" s="1"/>
  <c r="IE29" i="1"/>
  <c r="RD29" i="1" s="1"/>
  <c r="IE21" i="1"/>
  <c r="RD21" i="1" s="1"/>
  <c r="IE13" i="1"/>
  <c r="PE13" i="1" s="1"/>
  <c r="IF24" i="1"/>
  <c r="PF24" i="1" s="1"/>
  <c r="IF32" i="1"/>
  <c r="PF32" i="1" s="1"/>
  <c r="IG73" i="1"/>
  <c r="PG73" i="1" s="1"/>
  <c r="IH83" i="1"/>
  <c r="PH83" i="1" s="1"/>
  <c r="IH75" i="1"/>
  <c r="PH75" i="1" s="1"/>
  <c r="IH67" i="1"/>
  <c r="IH59" i="1"/>
  <c r="IH51" i="1"/>
  <c r="PH51" i="1" s="1"/>
  <c r="IH43" i="1"/>
  <c r="IH35" i="1"/>
  <c r="IH27" i="1"/>
  <c r="PH27" i="1" s="1"/>
  <c r="IH19" i="1"/>
  <c r="IH11" i="1"/>
  <c r="II85" i="1"/>
  <c r="RE85" i="1" s="1"/>
  <c r="II77" i="1"/>
  <c r="RE77" i="1" s="1"/>
  <c r="II69" i="1"/>
  <c r="II61" i="1"/>
  <c r="PI61" i="1" s="1"/>
  <c r="II53" i="1"/>
  <c r="PI53" i="1" s="1"/>
  <c r="II45" i="1"/>
  <c r="RE45" i="1" s="1"/>
  <c r="II37" i="1"/>
  <c r="RE37" i="1" s="1"/>
  <c r="II29" i="1"/>
  <c r="RE29" i="1" s="1"/>
  <c r="II21" i="1"/>
  <c r="RE21" i="1" s="1"/>
  <c r="II13" i="1"/>
  <c r="PI13" i="1" s="1"/>
  <c r="IJ55" i="1"/>
  <c r="PJ55" i="1" s="1"/>
  <c r="IJ39" i="1"/>
  <c r="PJ39" i="1" s="1"/>
  <c r="IL83" i="1"/>
  <c r="IL75" i="1"/>
  <c r="IL67" i="1"/>
  <c r="IL59" i="1"/>
  <c r="IL51" i="1"/>
  <c r="IL43" i="1"/>
  <c r="IL35" i="1"/>
  <c r="IL27" i="1"/>
  <c r="PL27" i="1" s="1"/>
  <c r="IL19" i="1"/>
  <c r="IL11" i="1"/>
  <c r="IM85" i="1"/>
  <c r="RF85" i="1" s="1"/>
  <c r="IM77" i="1"/>
  <c r="RF77" i="1" s="1"/>
  <c r="IM69" i="1"/>
  <c r="IM61" i="1"/>
  <c r="RF61" i="1" s="1"/>
  <c r="IM53" i="1"/>
  <c r="PM53" i="1" s="1"/>
  <c r="IM45" i="1"/>
  <c r="RF45" i="1" s="1"/>
  <c r="IM37" i="1"/>
  <c r="RF37" i="1" s="1"/>
  <c r="IM29" i="1"/>
  <c r="RF29" i="1" s="1"/>
  <c r="IM21" i="1"/>
  <c r="RF21" i="1" s="1"/>
  <c r="IM13" i="1"/>
  <c r="PM13" i="1" s="1"/>
  <c r="IN87" i="1"/>
  <c r="PN87" i="1" s="1"/>
  <c r="IN71" i="1"/>
  <c r="PN71" i="1" s="1"/>
  <c r="IN63" i="1"/>
  <c r="PN63" i="1" s="1"/>
  <c r="IN55" i="1"/>
  <c r="PN55" i="1" s="1"/>
  <c r="IN47" i="1"/>
  <c r="PN47" i="1" s="1"/>
  <c r="IN39" i="1"/>
  <c r="PN39" i="1" s="1"/>
  <c r="IN31" i="1"/>
  <c r="PN31" i="1" s="1"/>
  <c r="IN23" i="1"/>
  <c r="PN23" i="1" s="1"/>
  <c r="IN15" i="1"/>
  <c r="PN15" i="1" s="1"/>
  <c r="IN7" i="1"/>
  <c r="PN7" i="1" s="1"/>
  <c r="IO81" i="1"/>
  <c r="PO81" i="1" s="1"/>
  <c r="IO73" i="1"/>
  <c r="PO73" i="1" s="1"/>
  <c r="IO65" i="1"/>
  <c r="PO65" i="1" s="1"/>
  <c r="IO57" i="1"/>
  <c r="PO57" i="1" s="1"/>
  <c r="IO49" i="1"/>
  <c r="PO49" i="1" s="1"/>
  <c r="IO41" i="1"/>
  <c r="PO41" i="1" s="1"/>
  <c r="IO33" i="1"/>
  <c r="PO33" i="1" s="1"/>
  <c r="IO25" i="1"/>
  <c r="PO25" i="1" s="1"/>
  <c r="IO9" i="1"/>
  <c r="PO9" i="1" s="1"/>
  <c r="IP83" i="1"/>
  <c r="PP83" i="1" s="1"/>
  <c r="IP75" i="1"/>
  <c r="PP75" i="1" s="1"/>
  <c r="IP67" i="1"/>
  <c r="PP67" i="1" s="1"/>
  <c r="IP59" i="1"/>
  <c r="PP59" i="1" s="1"/>
  <c r="IP51" i="1"/>
  <c r="PP51" i="1" s="1"/>
  <c r="IP43" i="1"/>
  <c r="PP43" i="1" s="1"/>
  <c r="IP35" i="1"/>
  <c r="PP35" i="1" s="1"/>
  <c r="IP19" i="1"/>
  <c r="PP19" i="1" s="1"/>
  <c r="IP11" i="1"/>
  <c r="PP11" i="1" s="1"/>
  <c r="IQ85" i="1"/>
  <c r="RG85" i="1" s="1"/>
  <c r="IQ77" i="1"/>
  <c r="PQ77" i="1" s="1"/>
  <c r="IQ69" i="1"/>
  <c r="PQ69" i="1" s="1"/>
  <c r="IQ61" i="1"/>
  <c r="PQ61" i="1" s="1"/>
  <c r="IQ53" i="1"/>
  <c r="PQ53" i="1" s="1"/>
  <c r="IQ45" i="1"/>
  <c r="PQ45" i="1" s="1"/>
  <c r="IQ37" i="1"/>
  <c r="PQ37" i="1" s="1"/>
  <c r="IQ29" i="1"/>
  <c r="PQ29" i="1" s="1"/>
  <c r="IQ21" i="1"/>
  <c r="PQ21" i="1" s="1"/>
  <c r="IQ13" i="1"/>
  <c r="PQ13" i="1" s="1"/>
  <c r="IR8" i="1"/>
  <c r="PR8" i="1" s="1"/>
  <c r="IR16" i="1"/>
  <c r="PR16" i="1" s="1"/>
  <c r="IR24" i="1"/>
  <c r="PR24" i="1" s="1"/>
  <c r="IR32" i="1"/>
  <c r="PR32" i="1" s="1"/>
  <c r="IR48" i="1"/>
  <c r="PR48" i="1" s="1"/>
  <c r="IR56" i="1"/>
  <c r="PR56" i="1" s="1"/>
  <c r="IR64" i="1"/>
  <c r="PR64" i="1" s="1"/>
  <c r="IR72" i="1"/>
  <c r="PR72" i="1" s="1"/>
  <c r="IR80" i="1"/>
  <c r="PR80" i="1" s="1"/>
  <c r="IR88" i="1"/>
  <c r="PR88" i="1" s="1"/>
  <c r="IS65" i="1"/>
  <c r="IS57" i="1"/>
  <c r="PS57" i="1" s="1"/>
  <c r="IS41" i="1"/>
  <c r="PS41" i="1" s="1"/>
  <c r="IS33" i="1"/>
  <c r="IS9" i="1"/>
  <c r="IT83" i="1"/>
  <c r="PT83" i="1" s="1"/>
  <c r="IT75" i="1"/>
  <c r="PT75" i="1" s="1"/>
  <c r="IT67" i="1"/>
  <c r="PT67" i="1" s="1"/>
  <c r="IT59" i="1"/>
  <c r="PT59" i="1" s="1"/>
  <c r="IT51" i="1"/>
  <c r="IT43" i="1"/>
  <c r="PT43" i="1" s="1"/>
  <c r="IT35" i="1"/>
  <c r="PT35" i="1" s="1"/>
  <c r="IT19" i="1"/>
  <c r="IT11" i="1"/>
  <c r="IU85" i="1"/>
  <c r="RH85" i="1" s="1"/>
  <c r="IU77" i="1"/>
  <c r="PU77" i="1" s="1"/>
  <c r="IU69" i="1"/>
  <c r="PU69" i="1" s="1"/>
  <c r="IU61" i="1"/>
  <c r="PU61" i="1" s="1"/>
  <c r="IU53" i="1"/>
  <c r="RH53" i="1" s="1"/>
  <c r="IU45" i="1"/>
  <c r="RH45" i="1" s="1"/>
  <c r="IU37" i="1"/>
  <c r="RH37" i="1" s="1"/>
  <c r="IU29" i="1"/>
  <c r="RH29" i="1" s="1"/>
  <c r="IU21" i="1"/>
  <c r="PU21" i="1" s="1"/>
  <c r="IU13" i="1"/>
  <c r="PU13" i="1" s="1"/>
  <c r="IV30" i="1"/>
  <c r="PV30" i="1" s="1"/>
  <c r="IV22" i="1"/>
  <c r="PV22" i="1" s="1"/>
  <c r="IV14" i="1"/>
  <c r="PV14" i="1" s="1"/>
  <c r="IW88" i="1"/>
  <c r="PW88" i="1" s="1"/>
  <c r="IW64" i="1"/>
  <c r="PW64" i="1" s="1"/>
  <c r="IW31" i="1"/>
  <c r="IW23" i="1"/>
  <c r="IW15" i="1"/>
  <c r="IX81" i="1"/>
  <c r="IX73" i="1"/>
  <c r="IX65" i="1"/>
  <c r="IX57" i="1"/>
  <c r="PX57" i="1" s="1"/>
  <c r="IX49" i="1"/>
  <c r="IX41" i="1"/>
  <c r="IX33" i="1"/>
  <c r="PX33" i="1" s="1"/>
  <c r="IX25" i="1"/>
  <c r="IX17" i="1"/>
  <c r="IX9" i="1"/>
  <c r="IY83" i="1"/>
  <c r="PY83" i="1" s="1"/>
  <c r="IY75" i="1"/>
  <c r="IY67" i="1"/>
  <c r="IY59" i="1"/>
  <c r="IY51" i="1"/>
  <c r="IY43" i="1"/>
  <c r="PY43" i="1" s="1"/>
  <c r="IY35" i="1"/>
  <c r="RI35" i="1" s="1"/>
  <c r="IY27" i="1"/>
  <c r="RI27" i="1" s="1"/>
  <c r="IY19" i="1"/>
  <c r="RI19" i="1" s="1"/>
  <c r="IY11" i="1"/>
  <c r="RI11" i="1" s="1"/>
  <c r="IZ77" i="1"/>
  <c r="PZ77" i="1" s="1"/>
  <c r="IZ21" i="1"/>
  <c r="PZ21" i="1" s="1"/>
  <c r="IZ13" i="1"/>
  <c r="PZ13" i="1" s="1"/>
  <c r="JA39" i="1"/>
  <c r="QA39" i="1" s="1"/>
  <c r="JA31" i="1"/>
  <c r="QA31" i="1" s="1"/>
  <c r="JA23" i="1"/>
  <c r="QA23" i="1" s="1"/>
  <c r="JA15" i="1"/>
  <c r="QA15" i="1" s="1"/>
  <c r="JB81" i="1"/>
  <c r="JB73" i="1"/>
  <c r="JB65" i="1"/>
  <c r="JB57" i="1"/>
  <c r="JB49" i="1"/>
  <c r="JB41" i="1"/>
  <c r="JB33" i="1"/>
  <c r="JB25" i="1"/>
  <c r="JB17" i="1"/>
  <c r="JB9" i="1"/>
  <c r="JC83" i="1"/>
  <c r="QC83" i="1" s="1"/>
  <c r="JC75" i="1"/>
  <c r="RJ75" i="1" s="1"/>
  <c r="JC67" i="1"/>
  <c r="RJ67" i="1" s="1"/>
  <c r="JC59" i="1"/>
  <c r="RJ59" i="1" s="1"/>
  <c r="IF73" i="1"/>
  <c r="PF73" i="1" s="1"/>
  <c r="IG32" i="1"/>
  <c r="PG32" i="1" s="1"/>
  <c r="IG24" i="1"/>
  <c r="PG24" i="1" s="1"/>
  <c r="IH82" i="1"/>
  <c r="PH82" i="1" s="1"/>
  <c r="IH74" i="1"/>
  <c r="PH74" i="1" s="1"/>
  <c r="IH26" i="1"/>
  <c r="PH26" i="1" s="1"/>
  <c r="II84" i="1"/>
  <c r="PI84" i="1" s="1"/>
  <c r="II76" i="1"/>
  <c r="PI76" i="1" s="1"/>
  <c r="II28" i="1"/>
  <c r="PI28" i="1" s="1"/>
  <c r="II20" i="1"/>
  <c r="PI20" i="1" s="1"/>
  <c r="IJ54" i="1"/>
  <c r="PJ54" i="1" s="1"/>
  <c r="IJ30" i="1"/>
  <c r="PJ30" i="1" s="1"/>
  <c r="IK32" i="1"/>
  <c r="IL82" i="1"/>
  <c r="PL82" i="1" s="1"/>
  <c r="IL26" i="1"/>
  <c r="PL26" i="1" s="1"/>
  <c r="IM28" i="1"/>
  <c r="PM28" i="1" s="1"/>
  <c r="IN86" i="1"/>
  <c r="PN86" i="1" s="1"/>
  <c r="IN78" i="1"/>
  <c r="PN78" i="1" s="1"/>
  <c r="IN70" i="1"/>
  <c r="PN70" i="1" s="1"/>
  <c r="IN62" i="1"/>
  <c r="PN62" i="1" s="1"/>
  <c r="IN54" i="1"/>
  <c r="PN54" i="1" s="1"/>
  <c r="IN46" i="1"/>
  <c r="PN46" i="1" s="1"/>
  <c r="IN38" i="1"/>
  <c r="PN38" i="1" s="1"/>
  <c r="IN30" i="1"/>
  <c r="PN30" i="1" s="1"/>
  <c r="IN22" i="1"/>
  <c r="PN22" i="1" s="1"/>
  <c r="IN14" i="1"/>
  <c r="PN14" i="1" s="1"/>
  <c r="IO88" i="1"/>
  <c r="PO88" i="1" s="1"/>
  <c r="IO80" i="1"/>
  <c r="PO80" i="1" s="1"/>
  <c r="IO72" i="1"/>
  <c r="PO72" i="1" s="1"/>
  <c r="IO64" i="1"/>
  <c r="PO64" i="1" s="1"/>
  <c r="IO56" i="1"/>
  <c r="PO56" i="1" s="1"/>
  <c r="IO48" i="1"/>
  <c r="PO48" i="1" s="1"/>
  <c r="IO32" i="1"/>
  <c r="PO32" i="1" s="1"/>
  <c r="IO24" i="1"/>
  <c r="PO24" i="1" s="1"/>
  <c r="IO16" i="1"/>
  <c r="PO16" i="1" s="1"/>
  <c r="IO8" i="1"/>
  <c r="PO8" i="1" s="1"/>
  <c r="IP82" i="1"/>
  <c r="PP82" i="1" s="1"/>
  <c r="IP74" i="1"/>
  <c r="PP74" i="1" s="1"/>
  <c r="IP66" i="1"/>
  <c r="PP66" i="1" s="1"/>
  <c r="IP58" i="1"/>
  <c r="PP58" i="1" s="1"/>
  <c r="IP34" i="1"/>
  <c r="PP34" i="1" s="1"/>
  <c r="IP26" i="1"/>
  <c r="PP26" i="1" s="1"/>
  <c r="IP18" i="1"/>
  <c r="PP18" i="1" s="1"/>
  <c r="IP10" i="1"/>
  <c r="PP10" i="1" s="1"/>
  <c r="IQ84" i="1"/>
  <c r="PQ84" i="1" s="1"/>
  <c r="IQ76" i="1"/>
  <c r="PQ76" i="1" s="1"/>
  <c r="IQ68" i="1"/>
  <c r="PQ68" i="1" s="1"/>
  <c r="IQ60" i="1"/>
  <c r="PQ60" i="1" s="1"/>
  <c r="IQ52" i="1"/>
  <c r="PQ52" i="1" s="1"/>
  <c r="IQ44" i="1"/>
  <c r="PQ44" i="1" s="1"/>
  <c r="IQ36" i="1"/>
  <c r="PQ36" i="1" s="1"/>
  <c r="IQ20" i="1"/>
  <c r="PQ20" i="1" s="1"/>
  <c r="IQ12" i="1"/>
  <c r="PQ12" i="1" s="1"/>
  <c r="IR9" i="1"/>
  <c r="PR9" i="1" s="1"/>
  <c r="IR33" i="1"/>
  <c r="PR33" i="1" s="1"/>
  <c r="IR41" i="1"/>
  <c r="PR41" i="1" s="1"/>
  <c r="IR57" i="1"/>
  <c r="PR57" i="1" s="1"/>
  <c r="IR65" i="1"/>
  <c r="PR65" i="1" s="1"/>
  <c r="IS88" i="1"/>
  <c r="PS88" i="1" s="1"/>
  <c r="IS80" i="1"/>
  <c r="IS72" i="1"/>
  <c r="IS64" i="1"/>
  <c r="PS64" i="1" s="1"/>
  <c r="IS56" i="1"/>
  <c r="PS56" i="1" s="1"/>
  <c r="IS48" i="1"/>
  <c r="IS32" i="1"/>
  <c r="IS24" i="1"/>
  <c r="IS16" i="1"/>
  <c r="PS16" i="1" s="1"/>
  <c r="IS8" i="1"/>
  <c r="IT82" i="1"/>
  <c r="PT82" i="1" s="1"/>
  <c r="IT74" i="1"/>
  <c r="PT74" i="1" s="1"/>
  <c r="IT66" i="1"/>
  <c r="PT66" i="1" s="1"/>
  <c r="IT58" i="1"/>
  <c r="PT58" i="1" s="1"/>
  <c r="IT26" i="1"/>
  <c r="PT26" i="1" s="1"/>
  <c r="IU84" i="1"/>
  <c r="PU84" i="1" s="1"/>
  <c r="IU76" i="1"/>
  <c r="PU76" i="1" s="1"/>
  <c r="IU60" i="1"/>
  <c r="PU60" i="1" s="1"/>
  <c r="IU52" i="1"/>
  <c r="PU52" i="1" s="1"/>
  <c r="IU44" i="1"/>
  <c r="PU44" i="1" s="1"/>
  <c r="IU36" i="1"/>
  <c r="PU36" i="1" s="1"/>
  <c r="IU20" i="1"/>
  <c r="PU20" i="1" s="1"/>
  <c r="IV54" i="1"/>
  <c r="PV54" i="1" s="1"/>
  <c r="IV21" i="1"/>
  <c r="PV21" i="1" s="1"/>
  <c r="IV13" i="1"/>
  <c r="PV13" i="1" s="1"/>
  <c r="IW30" i="1"/>
  <c r="IW22" i="1"/>
  <c r="IW14" i="1"/>
  <c r="IX88" i="1"/>
  <c r="PX88" i="1" s="1"/>
  <c r="IX64" i="1"/>
  <c r="PX64" i="1" s="1"/>
  <c r="IX16" i="1"/>
  <c r="PX16" i="1" s="1"/>
  <c r="IX8" i="1"/>
  <c r="PX8" i="1" s="1"/>
  <c r="IY82" i="1"/>
  <c r="PY82" i="1" s="1"/>
  <c r="IY26" i="1"/>
  <c r="PY26" i="1" s="1"/>
  <c r="JA30" i="1"/>
  <c r="QA30" i="1" s="1"/>
  <c r="JB88" i="1"/>
  <c r="QB88" i="1" s="1"/>
  <c r="JB16" i="1"/>
  <c r="QB16" i="1" s="1"/>
  <c r="JC26" i="1"/>
  <c r="QC26" i="1" s="1"/>
  <c r="JD84" i="1"/>
  <c r="QD84" i="1" s="1"/>
  <c r="JD76" i="1"/>
  <c r="QD76" i="1" s="1"/>
  <c r="JD68" i="1"/>
  <c r="QD68" i="1" s="1"/>
  <c r="JD52" i="1"/>
  <c r="QD52" i="1" s="1"/>
  <c r="JD44" i="1"/>
  <c r="QD44" i="1" s="1"/>
  <c r="JD36" i="1"/>
  <c r="QD36" i="1" s="1"/>
  <c r="JD28" i="1"/>
  <c r="QD28" i="1" s="1"/>
  <c r="JD20" i="1"/>
  <c r="QD20" i="1" s="1"/>
  <c r="JE86" i="1"/>
  <c r="QE86" i="1" s="1"/>
  <c r="JE78" i="1"/>
  <c r="QE78" i="1" s="1"/>
  <c r="JE70" i="1"/>
  <c r="QE70" i="1" s="1"/>
  <c r="JE62" i="1"/>
  <c r="QE62" i="1" s="1"/>
  <c r="JE54" i="1"/>
  <c r="QE54" i="1" s="1"/>
  <c r="JE46" i="1"/>
  <c r="QE46" i="1" s="1"/>
  <c r="JE30" i="1"/>
  <c r="QE30" i="1" s="1"/>
  <c r="JE22" i="1"/>
  <c r="QE22" i="1" s="1"/>
  <c r="JF80" i="1"/>
  <c r="QF80" i="1" s="1"/>
  <c r="JF56" i="1"/>
  <c r="QF56" i="1" s="1"/>
  <c r="JF40" i="1"/>
  <c r="QF40" i="1" s="1"/>
  <c r="HZ25" i="1"/>
  <c r="OZ25" i="1" s="1"/>
  <c r="HZ17" i="1"/>
  <c r="HZ9" i="1"/>
  <c r="OZ9" i="1" s="1"/>
  <c r="IA83" i="1"/>
  <c r="PA83" i="1" s="1"/>
  <c r="IA75" i="1"/>
  <c r="RC75" i="1" s="1"/>
  <c r="IA67" i="1"/>
  <c r="RC67" i="1" s="1"/>
  <c r="IA59" i="1"/>
  <c r="PA59" i="1" s="1"/>
  <c r="IA51" i="1"/>
  <c r="RC51" i="1" s="1"/>
  <c r="IA43" i="1"/>
  <c r="PA43" i="1" s="1"/>
  <c r="IA35" i="1"/>
  <c r="RC35" i="1" s="1"/>
  <c r="IA27" i="1"/>
  <c r="PA27" i="1" s="1"/>
  <c r="IA19" i="1"/>
  <c r="RC19" i="1" s="1"/>
  <c r="IA11" i="1"/>
  <c r="RC11" i="1" s="1"/>
  <c r="IB77" i="1"/>
  <c r="PB77" i="1" s="1"/>
  <c r="IB61" i="1"/>
  <c r="PB61" i="1" s="1"/>
  <c r="IB53" i="1"/>
  <c r="PB53" i="1" s="1"/>
  <c r="IB45" i="1"/>
  <c r="PB45" i="1" s="1"/>
  <c r="IB13" i="1"/>
  <c r="PB13" i="1" s="1"/>
  <c r="IC63" i="1"/>
  <c r="PC63" i="1" s="1"/>
  <c r="IC55" i="1"/>
  <c r="PC55" i="1" s="1"/>
  <c r="IC39" i="1"/>
  <c r="PC39" i="1" s="1"/>
  <c r="IC31" i="1"/>
  <c r="PC31" i="1" s="1"/>
  <c r="IC23" i="1"/>
  <c r="PC23" i="1" s="1"/>
  <c r="IC15" i="1"/>
  <c r="PC15" i="1" s="1"/>
  <c r="ID81" i="1"/>
  <c r="ID73" i="1"/>
  <c r="PD73" i="1" s="1"/>
  <c r="ID65" i="1"/>
  <c r="ID57" i="1"/>
  <c r="PD57" i="1" s="1"/>
  <c r="ID49" i="1"/>
  <c r="PD49" i="1" s="1"/>
  <c r="ID41" i="1"/>
  <c r="PD41" i="1" s="1"/>
  <c r="ID33" i="1"/>
  <c r="ID25" i="1"/>
  <c r="ID17" i="1"/>
  <c r="ID9" i="1"/>
  <c r="PD9" i="1" s="1"/>
  <c r="IE83" i="1"/>
  <c r="PE83" i="1" s="1"/>
  <c r="IE75" i="1"/>
  <c r="PE75" i="1" s="1"/>
  <c r="IE67" i="1"/>
  <c r="RD67" i="1" s="1"/>
  <c r="IE59" i="1"/>
  <c r="PE59" i="1" s="1"/>
  <c r="IE51" i="1"/>
  <c r="PE51" i="1" s="1"/>
  <c r="IE43" i="1"/>
  <c r="RD43" i="1" s="1"/>
  <c r="IE35" i="1"/>
  <c r="RD35" i="1" s="1"/>
  <c r="IE27" i="1"/>
  <c r="PE27" i="1" s="1"/>
  <c r="IE19" i="1"/>
  <c r="RD19" i="1" s="1"/>
  <c r="IE11" i="1"/>
  <c r="RD11" i="1" s="1"/>
  <c r="IF10" i="1"/>
  <c r="IF18" i="1"/>
  <c r="IF26" i="1"/>
  <c r="PF26" i="1" s="1"/>
  <c r="IF34" i="1"/>
  <c r="IF42" i="1"/>
  <c r="IF50" i="1"/>
  <c r="IF58" i="1"/>
  <c r="IF66" i="1"/>
  <c r="IF74" i="1"/>
  <c r="PF74" i="1" s="1"/>
  <c r="IF82" i="1"/>
  <c r="PF82" i="1" s="1"/>
  <c r="IG63" i="1"/>
  <c r="PG63" i="1" s="1"/>
  <c r="IG55" i="1"/>
  <c r="PG55" i="1" s="1"/>
  <c r="IG39" i="1"/>
  <c r="PG39" i="1" s="1"/>
  <c r="IG15" i="1"/>
  <c r="PG15" i="1" s="1"/>
  <c r="IH81" i="1"/>
  <c r="IH73" i="1"/>
  <c r="PH73" i="1" s="1"/>
  <c r="IH65" i="1"/>
  <c r="IH57" i="1"/>
  <c r="IH49" i="1"/>
  <c r="IH41" i="1"/>
  <c r="IH33" i="1"/>
  <c r="IH25" i="1"/>
  <c r="IH17" i="1"/>
  <c r="IH9" i="1"/>
  <c r="II83" i="1"/>
  <c r="PI83" i="1" s="1"/>
  <c r="II75" i="1"/>
  <c r="PI75" i="1" s="1"/>
  <c r="II67" i="1"/>
  <c r="RE67" i="1" s="1"/>
  <c r="II59" i="1"/>
  <c r="RE59" i="1" s="1"/>
  <c r="II51" i="1"/>
  <c r="PI51" i="1" s="1"/>
  <c r="II43" i="1"/>
  <c r="RE43" i="1" s="1"/>
  <c r="II35" i="1"/>
  <c r="RE35" i="1" s="1"/>
  <c r="II27" i="1"/>
  <c r="PI27" i="1" s="1"/>
  <c r="II19" i="1"/>
  <c r="RE19" i="1" s="1"/>
  <c r="II11" i="1"/>
  <c r="RE11" i="1" s="1"/>
  <c r="IJ53" i="1"/>
  <c r="PJ53" i="1" s="1"/>
  <c r="IJ13" i="1"/>
  <c r="PJ13" i="1" s="1"/>
  <c r="IK55" i="1"/>
  <c r="PK55" i="1" s="1"/>
  <c r="IK39" i="1"/>
  <c r="IL81" i="1"/>
  <c r="IL73" i="1"/>
  <c r="IL65" i="1"/>
  <c r="IL57" i="1"/>
  <c r="IL49" i="1"/>
  <c r="IL41" i="1"/>
  <c r="IL33" i="1"/>
  <c r="IL25" i="1"/>
  <c r="IL17" i="1"/>
  <c r="IL9" i="1"/>
  <c r="IM83" i="1"/>
  <c r="RF83" i="1" s="1"/>
  <c r="IM75" i="1"/>
  <c r="RF75" i="1" s="1"/>
  <c r="IM67" i="1"/>
  <c r="RF67" i="1" s="1"/>
  <c r="IM59" i="1"/>
  <c r="RF59" i="1" s="1"/>
  <c r="IM51" i="1"/>
  <c r="RF51" i="1" s="1"/>
  <c r="IM43" i="1"/>
  <c r="RF43" i="1" s="1"/>
  <c r="IM35" i="1"/>
  <c r="RF35" i="1" s="1"/>
  <c r="IM27" i="1"/>
  <c r="PM27" i="1" s="1"/>
  <c r="IM19" i="1"/>
  <c r="RF19" i="1" s="1"/>
  <c r="IM11" i="1"/>
  <c r="RF11" i="1" s="1"/>
  <c r="IN77" i="1"/>
  <c r="PN77" i="1" s="1"/>
  <c r="IN69" i="1"/>
  <c r="PN69" i="1" s="1"/>
  <c r="IN61" i="1"/>
  <c r="PN61" i="1" s="1"/>
  <c r="IN53" i="1"/>
  <c r="PN53" i="1" s="1"/>
  <c r="IN45" i="1"/>
  <c r="PN45" i="1" s="1"/>
  <c r="IN37" i="1"/>
  <c r="PN37" i="1" s="1"/>
  <c r="IN29" i="1"/>
  <c r="PN29" i="1" s="1"/>
  <c r="IN21" i="1"/>
  <c r="PN21" i="1" s="1"/>
  <c r="IN13" i="1"/>
  <c r="PN13" i="1" s="1"/>
  <c r="IO87" i="1"/>
  <c r="PO87" i="1" s="1"/>
  <c r="IO71" i="1"/>
  <c r="PO71" i="1" s="1"/>
  <c r="IO63" i="1"/>
  <c r="PO63" i="1" s="1"/>
  <c r="IO55" i="1"/>
  <c r="PO55" i="1" s="1"/>
  <c r="IO47" i="1"/>
  <c r="PO47" i="1" s="1"/>
  <c r="IO39" i="1"/>
  <c r="PO39" i="1" s="1"/>
  <c r="IO31" i="1"/>
  <c r="PO31" i="1" s="1"/>
  <c r="IO23" i="1"/>
  <c r="PO23" i="1" s="1"/>
  <c r="IO15" i="1"/>
  <c r="PO15" i="1" s="1"/>
  <c r="IO7" i="1"/>
  <c r="PO7" i="1" s="1"/>
  <c r="IP81" i="1"/>
  <c r="PP81" i="1" s="1"/>
  <c r="IP73" i="1"/>
  <c r="PP73" i="1" s="1"/>
  <c r="IP65" i="1"/>
  <c r="PP65" i="1" s="1"/>
  <c r="IP57" i="1"/>
  <c r="PP57" i="1" s="1"/>
  <c r="IP49" i="1"/>
  <c r="PP49" i="1" s="1"/>
  <c r="IP41" i="1"/>
  <c r="PP41" i="1" s="1"/>
  <c r="IP33" i="1"/>
  <c r="PP33" i="1" s="1"/>
  <c r="IP25" i="1"/>
  <c r="PP25" i="1" s="1"/>
  <c r="IP17" i="1"/>
  <c r="IP9" i="1"/>
  <c r="PP9" i="1" s="1"/>
  <c r="IQ83" i="1"/>
  <c r="PQ83" i="1" s="1"/>
  <c r="IQ75" i="1"/>
  <c r="PQ75" i="1" s="1"/>
  <c r="IQ67" i="1"/>
  <c r="PQ67" i="1" s="1"/>
  <c r="IQ59" i="1"/>
  <c r="PQ59" i="1" s="1"/>
  <c r="IQ51" i="1"/>
  <c r="PQ51" i="1" s="1"/>
  <c r="IQ43" i="1"/>
  <c r="PQ43" i="1" s="1"/>
  <c r="IQ35" i="1"/>
  <c r="PQ35" i="1" s="1"/>
  <c r="IQ19" i="1"/>
  <c r="PQ19" i="1" s="1"/>
  <c r="IQ11" i="1"/>
  <c r="PQ11" i="1" s="1"/>
  <c r="IR10" i="1"/>
  <c r="IR18" i="1"/>
  <c r="IR26" i="1"/>
  <c r="PR26" i="1" s="1"/>
  <c r="IR34" i="1"/>
  <c r="IR42" i="1"/>
  <c r="IR50" i="1"/>
  <c r="IR58" i="1"/>
  <c r="PR58" i="1" s="1"/>
  <c r="IR66" i="1"/>
  <c r="PR66" i="1" s="1"/>
  <c r="IR74" i="1"/>
  <c r="PR74" i="1" s="1"/>
  <c r="IR82" i="1"/>
  <c r="PR82" i="1" s="1"/>
  <c r="IS87" i="1"/>
  <c r="IS63" i="1"/>
  <c r="IS55" i="1"/>
  <c r="IS39" i="1"/>
  <c r="IS31" i="1"/>
  <c r="PS31" i="1" s="1"/>
  <c r="IS23" i="1"/>
  <c r="PS23" i="1" s="1"/>
  <c r="IS15" i="1"/>
  <c r="IT81" i="1"/>
  <c r="IT73" i="1"/>
  <c r="IT65" i="1"/>
  <c r="PT65" i="1" s="1"/>
  <c r="IT57" i="1"/>
  <c r="PT57" i="1" s="1"/>
  <c r="IT49" i="1"/>
  <c r="IT41" i="1"/>
  <c r="PT41" i="1" s="1"/>
  <c r="IT33" i="1"/>
  <c r="PT33" i="1" s="1"/>
  <c r="IT25" i="1"/>
  <c r="IT17" i="1"/>
  <c r="IT9" i="1"/>
  <c r="PT9" i="1" s="1"/>
  <c r="IU83" i="1"/>
  <c r="PU83" i="1" s="1"/>
  <c r="IU75" i="1"/>
  <c r="PU75" i="1" s="1"/>
  <c r="IU67" i="1"/>
  <c r="PU67" i="1" s="1"/>
  <c r="IU59" i="1"/>
  <c r="PU59" i="1" s="1"/>
  <c r="IU51" i="1"/>
  <c r="RH51" i="1" s="1"/>
  <c r="IU43" i="1"/>
  <c r="PU43" i="1" s="1"/>
  <c r="IU35" i="1"/>
  <c r="PU35" i="1" s="1"/>
  <c r="IU19" i="1"/>
  <c r="RH19" i="1" s="1"/>
  <c r="IU11" i="1"/>
  <c r="RH11" i="1" s="1"/>
  <c r="IV77" i="1"/>
  <c r="PV77" i="1" s="1"/>
  <c r="IV61" i="1"/>
  <c r="PV61" i="1" s="1"/>
  <c r="IW54" i="1"/>
  <c r="IW21" i="1"/>
  <c r="IW13" i="1"/>
  <c r="IX87" i="1"/>
  <c r="IX79" i="1"/>
  <c r="IX71" i="1"/>
  <c r="IX63" i="1"/>
  <c r="IX55" i="1"/>
  <c r="IX47" i="1"/>
  <c r="IX39" i="1"/>
  <c r="PX39" i="1" s="1"/>
  <c r="IX31" i="1"/>
  <c r="PX31" i="1" s="1"/>
  <c r="IX23" i="1"/>
  <c r="PX23" i="1" s="1"/>
  <c r="IX15" i="1"/>
  <c r="PX15" i="1" s="1"/>
  <c r="IX7" i="1"/>
  <c r="IY81" i="1"/>
  <c r="RI81" i="1" s="1"/>
  <c r="IY73" i="1"/>
  <c r="RI73" i="1" s="1"/>
  <c r="IY65" i="1"/>
  <c r="RI65" i="1" s="1"/>
  <c r="IY57" i="1"/>
  <c r="PY57" i="1" s="1"/>
  <c r="IY49" i="1"/>
  <c r="RI49" i="1" s="1"/>
  <c r="IY41" i="1"/>
  <c r="RI41" i="1" s="1"/>
  <c r="IY33" i="1"/>
  <c r="PY33" i="1" s="1"/>
  <c r="IY25" i="1"/>
  <c r="RI25" i="1" s="1"/>
  <c r="IY17" i="1"/>
  <c r="RI17" i="1" s="1"/>
  <c r="IY9" i="1"/>
  <c r="RI9" i="1" s="1"/>
  <c r="IZ83" i="1"/>
  <c r="PZ83" i="1" s="1"/>
  <c r="JA77" i="1"/>
  <c r="QA77" i="1" s="1"/>
  <c r="JA21" i="1"/>
  <c r="QA21" i="1" s="1"/>
  <c r="JA13" i="1"/>
  <c r="QA13" i="1" s="1"/>
  <c r="JB87" i="1"/>
  <c r="JB79" i="1"/>
  <c r="JB71" i="1"/>
  <c r="JB63" i="1"/>
  <c r="JB55" i="1"/>
  <c r="JB47" i="1"/>
  <c r="JB39" i="1"/>
  <c r="QB39" i="1" s="1"/>
  <c r="JB31" i="1"/>
  <c r="QB31" i="1" s="1"/>
  <c r="JB23" i="1"/>
  <c r="QB23" i="1" s="1"/>
  <c r="JB15" i="1"/>
  <c r="QB15" i="1" s="1"/>
  <c r="JB7" i="1"/>
  <c r="JC81" i="1"/>
  <c r="RJ81" i="1" s="1"/>
  <c r="JC73" i="1"/>
  <c r="RJ73" i="1" s="1"/>
  <c r="HZ32" i="1"/>
  <c r="OZ32" i="1" s="1"/>
  <c r="HZ24" i="1"/>
  <c r="OZ24" i="1" s="1"/>
  <c r="HZ16" i="1"/>
  <c r="OZ16" i="1" s="1"/>
  <c r="HZ8" i="1"/>
  <c r="OZ8" i="1" s="1"/>
  <c r="IA82" i="1"/>
  <c r="PA82" i="1" s="1"/>
  <c r="IA74" i="1"/>
  <c r="RC74" i="1" s="1"/>
  <c r="IA66" i="1"/>
  <c r="RC66" i="1" s="1"/>
  <c r="IA58" i="1"/>
  <c r="RC58" i="1" s="1"/>
  <c r="IA50" i="1"/>
  <c r="RC50" i="1" s="1"/>
  <c r="IA42" i="1"/>
  <c r="PA42" i="1" s="1"/>
  <c r="IA34" i="1"/>
  <c r="PA34" i="1" s="1"/>
  <c r="IA26" i="1"/>
  <c r="PA26" i="1" s="1"/>
  <c r="IA18" i="1"/>
  <c r="RC18" i="1" s="1"/>
  <c r="IA10" i="1"/>
  <c r="RC10" i="1" s="1"/>
  <c r="IB84" i="1"/>
  <c r="PB84" i="1" s="1"/>
  <c r="IB76" i="1"/>
  <c r="PB76" i="1" s="1"/>
  <c r="IB36" i="1"/>
  <c r="PB36" i="1" s="1"/>
  <c r="IB28" i="1"/>
  <c r="PB28" i="1" s="1"/>
  <c r="IB20" i="1"/>
  <c r="PB20" i="1" s="1"/>
  <c r="IC86" i="1"/>
  <c r="PC86" i="1" s="1"/>
  <c r="IC78" i="1"/>
  <c r="PC78" i="1" s="1"/>
  <c r="IC70" i="1"/>
  <c r="PC70" i="1" s="1"/>
  <c r="IC62" i="1"/>
  <c r="PC62" i="1" s="1"/>
  <c r="IC54" i="1"/>
  <c r="PC54" i="1" s="1"/>
  <c r="IC46" i="1"/>
  <c r="PC46" i="1" s="1"/>
  <c r="IC30" i="1"/>
  <c r="PC30" i="1" s="1"/>
  <c r="IC14" i="1"/>
  <c r="PC14" i="1" s="1"/>
  <c r="ID88" i="1"/>
  <c r="PD88" i="1" s="1"/>
  <c r="ID80" i="1"/>
  <c r="ID72" i="1"/>
  <c r="PD72" i="1" s="1"/>
  <c r="ID64" i="1"/>
  <c r="ID56" i="1"/>
  <c r="PD56" i="1" s="1"/>
  <c r="ID48" i="1"/>
  <c r="PD48" i="1" s="1"/>
  <c r="ID40" i="1"/>
  <c r="ID32" i="1"/>
  <c r="PD32" i="1" s="1"/>
  <c r="ID24" i="1"/>
  <c r="PD24" i="1" s="1"/>
  <c r="ID16" i="1"/>
  <c r="PD16" i="1" s="1"/>
  <c r="IE82" i="1"/>
  <c r="PE82" i="1" s="1"/>
  <c r="IE74" i="1"/>
  <c r="PE74" i="1" s="1"/>
  <c r="IE66" i="1"/>
  <c r="PE66" i="1" s="1"/>
  <c r="IE58" i="1"/>
  <c r="PE58" i="1" s="1"/>
  <c r="IE50" i="1"/>
  <c r="RD50" i="1" s="1"/>
  <c r="IE42" i="1"/>
  <c r="PE42" i="1" s="1"/>
  <c r="IE34" i="1"/>
  <c r="RD34" i="1" s="1"/>
  <c r="IE26" i="1"/>
  <c r="PE26" i="1" s="1"/>
  <c r="IE18" i="1"/>
  <c r="RD18" i="1" s="1"/>
  <c r="IE10" i="1"/>
  <c r="PE10" i="1" s="1"/>
  <c r="IF51" i="1"/>
  <c r="PF51" i="1" s="1"/>
  <c r="IF75" i="1"/>
  <c r="PF75" i="1" s="1"/>
  <c r="IF83" i="1"/>
  <c r="PF83" i="1" s="1"/>
  <c r="IG78" i="1"/>
  <c r="PG78" i="1" s="1"/>
  <c r="IG62" i="1"/>
  <c r="PG62" i="1" s="1"/>
  <c r="IG54" i="1"/>
  <c r="PG54" i="1" s="1"/>
  <c r="IG30" i="1"/>
  <c r="PG30" i="1" s="1"/>
  <c r="IG14" i="1"/>
  <c r="PG14" i="1" s="1"/>
  <c r="IH88" i="1"/>
  <c r="IH80" i="1"/>
  <c r="IH72" i="1"/>
  <c r="IH64" i="1"/>
  <c r="IH56" i="1"/>
  <c r="IH48" i="1"/>
  <c r="IH40" i="1"/>
  <c r="IH32" i="1"/>
  <c r="PH32" i="1" s="1"/>
  <c r="IH24" i="1"/>
  <c r="PH24" i="1" s="1"/>
  <c r="IH16" i="1"/>
  <c r="II82" i="1"/>
  <c r="PI82" i="1" s="1"/>
  <c r="II74" i="1"/>
  <c r="PI74" i="1" s="1"/>
  <c r="II66" i="1"/>
  <c r="RE66" i="1" s="1"/>
  <c r="II58" i="1"/>
  <c r="RE58" i="1" s="1"/>
  <c r="II50" i="1"/>
  <c r="RE50" i="1" s="1"/>
  <c r="II42" i="1"/>
  <c r="RE42" i="1" s="1"/>
  <c r="II34" i="1"/>
  <c r="RE34" i="1" s="1"/>
  <c r="II26" i="1"/>
  <c r="PI26" i="1" s="1"/>
  <c r="II18" i="1"/>
  <c r="RE18" i="1" s="1"/>
  <c r="II10" i="1"/>
  <c r="RE10" i="1" s="1"/>
  <c r="IJ28" i="1"/>
  <c r="PJ28" i="1" s="1"/>
  <c r="IK54" i="1"/>
  <c r="IK30" i="1"/>
  <c r="PK30" i="1" s="1"/>
  <c r="IL88" i="1"/>
  <c r="IL80" i="1"/>
  <c r="IL72" i="1"/>
  <c r="IL64" i="1"/>
  <c r="IL56" i="1"/>
  <c r="IL48" i="1"/>
  <c r="IL40" i="1"/>
  <c r="IL32" i="1"/>
  <c r="PL32" i="1" s="1"/>
  <c r="IL24" i="1"/>
  <c r="IL16" i="1"/>
  <c r="IM82" i="1"/>
  <c r="PM82" i="1" s="1"/>
  <c r="IM74" i="1"/>
  <c r="RF74" i="1" s="1"/>
  <c r="IM66" i="1"/>
  <c r="RF66" i="1" s="1"/>
  <c r="IM58" i="1"/>
  <c r="RF58" i="1" s="1"/>
  <c r="IM50" i="1"/>
  <c r="RF50" i="1" s="1"/>
  <c r="IM42" i="1"/>
  <c r="RF42" i="1" s="1"/>
  <c r="IM34" i="1"/>
  <c r="RF34" i="1" s="1"/>
  <c r="IM26" i="1"/>
  <c r="PM26" i="1" s="1"/>
  <c r="IM18" i="1"/>
  <c r="RF18" i="1" s="1"/>
  <c r="IM10" i="1"/>
  <c r="RF10" i="1" s="1"/>
  <c r="IN84" i="1"/>
  <c r="PN84" i="1" s="1"/>
  <c r="IN76" i="1"/>
  <c r="PN76" i="1" s="1"/>
  <c r="IN68" i="1"/>
  <c r="PN68" i="1" s="1"/>
  <c r="IN60" i="1"/>
  <c r="PN60" i="1" s="1"/>
  <c r="IN52" i="1"/>
  <c r="PN52" i="1" s="1"/>
  <c r="IN44" i="1"/>
  <c r="PN44" i="1" s="1"/>
  <c r="IN36" i="1"/>
  <c r="PN36" i="1" s="1"/>
  <c r="IN20" i="1"/>
  <c r="PN20" i="1" s="1"/>
  <c r="IN12" i="1"/>
  <c r="PN12" i="1" s="1"/>
  <c r="IO86" i="1"/>
  <c r="PO86" i="1" s="1"/>
  <c r="IO78" i="1"/>
  <c r="PO78" i="1" s="1"/>
  <c r="IO70" i="1"/>
  <c r="PO70" i="1" s="1"/>
  <c r="IO62" i="1"/>
  <c r="PO62" i="1" s="1"/>
  <c r="IO54" i="1"/>
  <c r="PO54" i="1" s="1"/>
  <c r="IO46" i="1"/>
  <c r="PO46" i="1" s="1"/>
  <c r="IO38" i="1"/>
  <c r="PO38" i="1" s="1"/>
  <c r="IO30" i="1"/>
  <c r="PO30" i="1" s="1"/>
  <c r="IO22" i="1"/>
  <c r="PO22" i="1" s="1"/>
  <c r="IO14" i="1"/>
  <c r="PO14" i="1" s="1"/>
  <c r="IP88" i="1"/>
  <c r="PP88" i="1" s="1"/>
  <c r="IP80" i="1"/>
  <c r="PP80" i="1" s="1"/>
  <c r="IP72" i="1"/>
  <c r="PP72" i="1" s="1"/>
  <c r="IP64" i="1"/>
  <c r="PP64" i="1" s="1"/>
  <c r="IP56" i="1"/>
  <c r="PP56" i="1" s="1"/>
  <c r="IP48" i="1"/>
  <c r="PP48" i="1" s="1"/>
  <c r="IP32" i="1"/>
  <c r="PP32" i="1" s="1"/>
  <c r="IP24" i="1"/>
  <c r="PP24" i="1" s="1"/>
  <c r="IP16" i="1"/>
  <c r="PP16" i="1" s="1"/>
  <c r="IP8" i="1"/>
  <c r="PP8" i="1" s="1"/>
  <c r="IQ82" i="1"/>
  <c r="PQ82" i="1" s="1"/>
  <c r="IQ74" i="1"/>
  <c r="PQ74" i="1" s="1"/>
  <c r="IQ66" i="1"/>
  <c r="PQ66" i="1" s="1"/>
  <c r="IQ58" i="1"/>
  <c r="PQ58" i="1" s="1"/>
  <c r="IQ50" i="1"/>
  <c r="RG50" i="1" s="1"/>
  <c r="IQ42" i="1"/>
  <c r="RG42" i="1" s="1"/>
  <c r="IQ34" i="1"/>
  <c r="PQ34" i="1" s="1"/>
  <c r="IQ26" i="1"/>
  <c r="PQ26" i="1" s="1"/>
  <c r="IQ18" i="1"/>
  <c r="PQ18" i="1" s="1"/>
  <c r="IQ10" i="1"/>
  <c r="PQ10" i="1" s="1"/>
  <c r="IR35" i="1"/>
  <c r="PR35" i="1" s="1"/>
  <c r="IR43" i="1"/>
  <c r="PR43" i="1" s="1"/>
  <c r="IR59" i="1"/>
  <c r="PR59" i="1" s="1"/>
  <c r="IR67" i="1"/>
  <c r="PR67" i="1" s="1"/>
  <c r="IR75" i="1"/>
  <c r="PR75" i="1" s="1"/>
  <c r="IR83" i="1"/>
  <c r="PR83" i="1" s="1"/>
  <c r="IS78" i="1"/>
  <c r="PS78" i="1" s="1"/>
  <c r="IS54" i="1"/>
  <c r="IS30" i="1"/>
  <c r="PS30" i="1" s="1"/>
  <c r="IS22" i="1"/>
  <c r="IS14" i="1"/>
  <c r="IT88" i="1"/>
  <c r="PT88" i="1" s="1"/>
  <c r="IT80" i="1"/>
  <c r="PT80" i="1" s="1"/>
  <c r="IT72" i="1"/>
  <c r="PT72" i="1" s="1"/>
  <c r="IT64" i="1"/>
  <c r="PT64" i="1" s="1"/>
  <c r="IT56" i="1"/>
  <c r="PT56" i="1" s="1"/>
  <c r="IT48" i="1"/>
  <c r="PT48" i="1" s="1"/>
  <c r="IT40" i="1"/>
  <c r="IT32" i="1"/>
  <c r="PT32" i="1" s="1"/>
  <c r="IT24" i="1"/>
  <c r="PT24" i="1" s="1"/>
  <c r="IT16" i="1"/>
  <c r="PT16" i="1" s="1"/>
  <c r="IT8" i="1"/>
  <c r="PT8" i="1" s="1"/>
  <c r="IU82" i="1"/>
  <c r="PU82" i="1" s="1"/>
  <c r="IU74" i="1"/>
  <c r="PU74" i="1" s="1"/>
  <c r="IU66" i="1"/>
  <c r="PU66" i="1" s="1"/>
  <c r="IU58" i="1"/>
  <c r="PU58" i="1" s="1"/>
  <c r="IU50" i="1"/>
  <c r="RH50" i="1" s="1"/>
  <c r="IU42" i="1"/>
  <c r="RH42" i="1" s="1"/>
  <c r="IU34" i="1"/>
  <c r="RH34" i="1" s="1"/>
  <c r="IU26" i="1"/>
  <c r="PU26" i="1" s="1"/>
  <c r="IU18" i="1"/>
  <c r="RH18" i="1" s="1"/>
  <c r="IU10" i="1"/>
  <c r="RH10" i="1" s="1"/>
  <c r="IW77" i="1"/>
  <c r="IW61" i="1"/>
  <c r="IX86" i="1"/>
  <c r="IX78" i="1"/>
  <c r="IX70" i="1"/>
  <c r="IX62" i="1"/>
  <c r="IX54" i="1"/>
  <c r="PX54" i="1" s="1"/>
  <c r="IX46" i="1"/>
  <c r="IX38" i="1"/>
  <c r="IX30" i="1"/>
  <c r="PX30" i="1" s="1"/>
  <c r="IX22" i="1"/>
  <c r="PX22" i="1" s="1"/>
  <c r="IX14" i="1"/>
  <c r="PX14" i="1" s="1"/>
  <c r="IY88" i="1"/>
  <c r="PY88" i="1" s="1"/>
  <c r="IY80" i="1"/>
  <c r="RI80" i="1" s="1"/>
  <c r="IY72" i="1"/>
  <c r="RI72" i="1" s="1"/>
  <c r="IY64" i="1"/>
  <c r="PY64" i="1" s="1"/>
  <c r="IY56" i="1"/>
  <c r="RI56" i="1" s="1"/>
  <c r="IY48" i="1"/>
  <c r="RI48" i="1" s="1"/>
  <c r="IY40" i="1"/>
  <c r="RI40" i="1" s="1"/>
  <c r="IY32" i="1"/>
  <c r="RI32" i="1" s="1"/>
  <c r="IY24" i="1"/>
  <c r="RI24" i="1" s="1"/>
  <c r="IY16" i="1"/>
  <c r="PY16" i="1" s="1"/>
  <c r="IY8" i="1"/>
  <c r="PY8" i="1" s="1"/>
  <c r="IZ26" i="1"/>
  <c r="PZ26" i="1" s="1"/>
  <c r="JB86" i="1"/>
  <c r="JB78" i="1"/>
  <c r="JB70" i="1"/>
  <c r="JB62" i="1"/>
  <c r="JB54" i="1"/>
  <c r="JB46" i="1"/>
  <c r="JB38" i="1"/>
  <c r="JB30" i="1"/>
  <c r="QB30" i="1" s="1"/>
  <c r="JB22" i="1"/>
  <c r="JB14" i="1"/>
  <c r="JC55" i="1"/>
  <c r="JC47" i="1"/>
  <c r="RJ47" i="1" s="1"/>
  <c r="JC39" i="1"/>
  <c r="QC39" i="1" s="1"/>
  <c r="JC31" i="1"/>
  <c r="QC31" i="1" s="1"/>
  <c r="JC23" i="1"/>
  <c r="QC23" i="1" s="1"/>
  <c r="JC15" i="1"/>
  <c r="QC15" i="1" s="1"/>
  <c r="JC7" i="1"/>
  <c r="RJ7" i="1" s="1"/>
  <c r="JD73" i="1"/>
  <c r="QD73" i="1" s="1"/>
  <c r="JD65" i="1"/>
  <c r="QD65" i="1" s="1"/>
  <c r="JD41" i="1"/>
  <c r="QD41" i="1" s="1"/>
  <c r="JD9" i="1"/>
  <c r="QD9" i="1" s="1"/>
  <c r="JE83" i="1"/>
  <c r="QE83" i="1" s="1"/>
  <c r="JE59" i="1"/>
  <c r="QE59" i="1" s="1"/>
  <c r="JE43" i="1"/>
  <c r="QE43" i="1" s="1"/>
  <c r="JE35" i="1"/>
  <c r="QE35" i="1" s="1"/>
  <c r="JE27" i="1"/>
  <c r="QE27" i="1" s="1"/>
  <c r="JE11" i="1"/>
  <c r="QE11" i="1" s="1"/>
  <c r="JF85" i="1"/>
  <c r="JF77" i="1"/>
  <c r="QF77" i="1" s="1"/>
  <c r="JF69" i="1"/>
  <c r="JF61" i="1"/>
  <c r="QF61" i="1" s="1"/>
  <c r="JF53" i="1"/>
  <c r="QF53" i="1" s="1"/>
  <c r="JF45" i="1"/>
  <c r="QF45" i="1" s="1"/>
  <c r="JF37" i="1"/>
  <c r="JF29" i="1"/>
  <c r="QF29" i="1" s="1"/>
  <c r="JF21" i="1"/>
  <c r="JF13" i="1"/>
  <c r="QF13" i="1" s="1"/>
  <c r="JG87" i="1"/>
  <c r="RK87" i="1" s="1"/>
  <c r="JG79" i="1"/>
  <c r="RK79" i="1" s="1"/>
  <c r="JG71" i="1"/>
  <c r="RK71" i="1" s="1"/>
  <c r="JG63" i="1"/>
  <c r="QG63" i="1" s="1"/>
  <c r="JG55" i="1"/>
  <c r="QG55" i="1" s="1"/>
  <c r="JG47" i="1"/>
  <c r="QG47" i="1" s="1"/>
  <c r="JG39" i="1"/>
  <c r="QG39" i="1" s="1"/>
  <c r="JG31" i="1"/>
  <c r="QG31" i="1" s="1"/>
  <c r="JG23" i="1"/>
  <c r="JG15" i="1"/>
  <c r="RK15" i="1" s="1"/>
  <c r="JG7" i="1"/>
  <c r="RK7" i="1" s="1"/>
  <c r="JI83" i="1"/>
  <c r="QI83" i="1" s="1"/>
  <c r="JI35" i="1"/>
  <c r="QI35" i="1" s="1"/>
  <c r="JI27" i="1"/>
  <c r="QI27" i="1" s="1"/>
  <c r="JJ84" i="1"/>
  <c r="JJ76" i="1"/>
  <c r="JJ68" i="1"/>
  <c r="JJ52" i="1"/>
  <c r="JJ44" i="1"/>
  <c r="JJ36" i="1"/>
  <c r="QJ36" i="1" s="1"/>
  <c r="JJ28" i="1"/>
  <c r="QJ28" i="1" s="1"/>
  <c r="JJ20" i="1"/>
  <c r="QJ20" i="1" s="1"/>
  <c r="JJ12" i="1"/>
  <c r="JK86" i="1"/>
  <c r="JK78" i="1"/>
  <c r="JK70" i="1"/>
  <c r="JK62" i="1"/>
  <c r="QK62" i="1" s="1"/>
  <c r="JK54" i="1"/>
  <c r="QK54" i="1" s="1"/>
  <c r="JK46" i="1"/>
  <c r="JK38" i="1"/>
  <c r="JK30" i="1"/>
  <c r="QK30" i="1" s="1"/>
  <c r="JK22" i="1"/>
  <c r="QK22" i="1" s="1"/>
  <c r="JK14" i="1"/>
  <c r="JL32" i="1"/>
  <c r="QL32" i="1" s="1"/>
  <c r="JM36" i="1"/>
  <c r="JO8" i="1"/>
  <c r="JO12" i="1"/>
  <c r="RM12" i="1" s="1"/>
  <c r="JO16" i="1"/>
  <c r="JO20" i="1"/>
  <c r="RM20" i="1" s="1"/>
  <c r="JO24" i="1"/>
  <c r="JO28" i="1"/>
  <c r="RM28" i="1" s="1"/>
  <c r="JO32" i="1"/>
  <c r="QO32" i="1" s="1"/>
  <c r="JO36" i="1"/>
  <c r="QO36" i="1" s="1"/>
  <c r="JO40" i="1"/>
  <c r="JO44" i="1"/>
  <c r="RM44" i="1" s="1"/>
  <c r="JO48" i="1"/>
  <c r="JO52" i="1"/>
  <c r="RM52" i="1" s="1"/>
  <c r="JO56" i="1"/>
  <c r="JO60" i="1"/>
  <c r="RM60" i="1" s="1"/>
  <c r="JO64" i="1"/>
  <c r="JO68" i="1"/>
  <c r="RM68" i="1" s="1"/>
  <c r="JO72" i="1"/>
  <c r="JO76" i="1"/>
  <c r="RM76" i="1" s="1"/>
  <c r="JO80" i="1"/>
  <c r="JO84" i="1"/>
  <c r="RM84" i="1" s="1"/>
  <c r="JO88" i="1"/>
  <c r="JP73" i="1"/>
  <c r="QP73" i="1" s="1"/>
  <c r="JR85" i="1"/>
  <c r="JR77" i="1"/>
  <c r="JR69" i="1"/>
  <c r="JR61" i="1"/>
  <c r="JR53" i="1"/>
  <c r="JR45" i="1"/>
  <c r="QR45" i="1" s="1"/>
  <c r="JR37" i="1"/>
  <c r="JR29" i="1"/>
  <c r="QR29" i="1" s="1"/>
  <c r="JR21" i="1"/>
  <c r="QR21" i="1" s="1"/>
  <c r="JR13" i="1"/>
  <c r="QR13" i="1" s="1"/>
  <c r="JS87" i="1"/>
  <c r="QS87" i="1" s="1"/>
  <c r="JS79" i="1"/>
  <c r="RN79" i="1" s="1"/>
  <c r="JS71" i="1"/>
  <c r="RN71" i="1" s="1"/>
  <c r="JS63" i="1"/>
  <c r="RN63" i="1" s="1"/>
  <c r="JS55" i="1"/>
  <c r="QS55" i="1" s="1"/>
  <c r="JS47" i="1"/>
  <c r="RN47" i="1" s="1"/>
  <c r="JS39" i="1"/>
  <c r="QS39" i="1" s="1"/>
  <c r="JS31" i="1"/>
  <c r="RN31" i="1" s="1"/>
  <c r="JS23" i="1"/>
  <c r="RN23" i="1" s="1"/>
  <c r="JS15" i="1"/>
  <c r="JS7" i="1"/>
  <c r="RN7" i="1" s="1"/>
  <c r="JW18" i="1"/>
  <c r="QW18" i="1" s="1"/>
  <c r="JW30" i="1"/>
  <c r="QW30" i="1" s="1"/>
  <c r="JW32" i="1"/>
  <c r="QW32" i="1" s="1"/>
  <c r="JW36" i="1"/>
  <c r="QW36" i="1" s="1"/>
  <c r="JW40" i="1"/>
  <c r="QW40" i="1" s="1"/>
  <c r="JW44" i="1"/>
  <c r="QW44" i="1" s="1"/>
  <c r="KA18" i="1"/>
  <c r="RA18" i="1" s="1"/>
  <c r="JC70" i="1"/>
  <c r="JC62" i="1"/>
  <c r="RJ62" i="1" s="1"/>
  <c r="JC54" i="1"/>
  <c r="RJ54" i="1" s="1"/>
  <c r="JC46" i="1"/>
  <c r="RJ46" i="1" s="1"/>
  <c r="JC38" i="1"/>
  <c r="RJ38" i="1" s="1"/>
  <c r="JC30" i="1"/>
  <c r="QC30" i="1" s="1"/>
  <c r="JC22" i="1"/>
  <c r="RJ22" i="1" s="1"/>
  <c r="JC14" i="1"/>
  <c r="RJ14" i="1" s="1"/>
  <c r="JD80" i="1"/>
  <c r="QD80" i="1" s="1"/>
  <c r="JD72" i="1"/>
  <c r="JD64" i="1"/>
  <c r="JD56" i="1"/>
  <c r="QD56" i="1" s="1"/>
  <c r="JD48" i="1"/>
  <c r="JD40" i="1"/>
  <c r="QD40" i="1" s="1"/>
  <c r="JD32" i="1"/>
  <c r="QD32" i="1" s="1"/>
  <c r="JD24" i="1"/>
  <c r="QD24" i="1" s="1"/>
  <c r="JD8" i="1"/>
  <c r="JE82" i="1"/>
  <c r="JE74" i="1"/>
  <c r="JE66" i="1"/>
  <c r="QE66" i="1" s="1"/>
  <c r="JE58" i="1"/>
  <c r="JE50" i="1"/>
  <c r="JE42" i="1"/>
  <c r="QE42" i="1" s="1"/>
  <c r="JE34" i="1"/>
  <c r="JE26" i="1"/>
  <c r="QE26" i="1" s="1"/>
  <c r="JE18" i="1"/>
  <c r="QE18" i="1" s="1"/>
  <c r="JE10" i="1"/>
  <c r="QE10" i="1" s="1"/>
  <c r="JF84" i="1"/>
  <c r="QF84" i="1" s="1"/>
  <c r="JF76" i="1"/>
  <c r="QF76" i="1" s="1"/>
  <c r="JF68" i="1"/>
  <c r="QF68" i="1" s="1"/>
  <c r="JF52" i="1"/>
  <c r="QF52" i="1" s="1"/>
  <c r="JF44" i="1"/>
  <c r="QF44" i="1" s="1"/>
  <c r="JF36" i="1"/>
  <c r="QF36" i="1" s="1"/>
  <c r="JF28" i="1"/>
  <c r="QF28" i="1" s="1"/>
  <c r="JF20" i="1"/>
  <c r="QF20" i="1" s="1"/>
  <c r="JF12" i="1"/>
  <c r="JG86" i="1"/>
  <c r="QG86" i="1" s="1"/>
  <c r="JG78" i="1"/>
  <c r="QG78" i="1" s="1"/>
  <c r="JG70" i="1"/>
  <c r="QG70" i="1" s="1"/>
  <c r="JG62" i="1"/>
  <c r="QG62" i="1" s="1"/>
  <c r="JG54" i="1"/>
  <c r="QG54" i="1" s="1"/>
  <c r="JG46" i="1"/>
  <c r="QG46" i="1" s="1"/>
  <c r="JG38" i="1"/>
  <c r="RK38" i="1" s="1"/>
  <c r="JG30" i="1"/>
  <c r="QG30" i="1" s="1"/>
  <c r="JG22" i="1"/>
  <c r="QG22" i="1" s="1"/>
  <c r="JG14" i="1"/>
  <c r="JH32" i="1"/>
  <c r="QH32" i="1" s="1"/>
  <c r="JH24" i="1"/>
  <c r="QH24" i="1" s="1"/>
  <c r="JI66" i="1"/>
  <c r="QI66" i="1" s="1"/>
  <c r="JI42" i="1"/>
  <c r="QI42" i="1" s="1"/>
  <c r="JI26" i="1"/>
  <c r="QI26" i="1" s="1"/>
  <c r="JJ83" i="1"/>
  <c r="QJ83" i="1" s="1"/>
  <c r="JJ75" i="1"/>
  <c r="JJ67" i="1"/>
  <c r="JJ59" i="1"/>
  <c r="JJ51" i="1"/>
  <c r="JJ43" i="1"/>
  <c r="JJ35" i="1"/>
  <c r="QJ35" i="1" s="1"/>
  <c r="JJ27" i="1"/>
  <c r="QJ27" i="1" s="1"/>
  <c r="JJ19" i="1"/>
  <c r="JJ11" i="1"/>
  <c r="JK85" i="1"/>
  <c r="JK77" i="1"/>
  <c r="JK69" i="1"/>
  <c r="JK61" i="1"/>
  <c r="QK61" i="1" s="1"/>
  <c r="JK53" i="1"/>
  <c r="JK45" i="1"/>
  <c r="JK37" i="1"/>
  <c r="JK29" i="1"/>
  <c r="JK21" i="1"/>
  <c r="JK13" i="1"/>
  <c r="QK13" i="1" s="1"/>
  <c r="JL63" i="1"/>
  <c r="QL63" i="1" s="1"/>
  <c r="JL55" i="1"/>
  <c r="QL55" i="1" s="1"/>
  <c r="JL39" i="1"/>
  <c r="QL39" i="1" s="1"/>
  <c r="JM13" i="1"/>
  <c r="QM13" i="1" s="1"/>
  <c r="JN9" i="1"/>
  <c r="JN13" i="1"/>
  <c r="QN13" i="1" s="1"/>
  <c r="JN17" i="1"/>
  <c r="JN21" i="1"/>
  <c r="JN25" i="1"/>
  <c r="JN29" i="1"/>
  <c r="JN33" i="1"/>
  <c r="JN37" i="1"/>
  <c r="JN41" i="1"/>
  <c r="JN45" i="1"/>
  <c r="JN49" i="1"/>
  <c r="JN53" i="1"/>
  <c r="JN57" i="1"/>
  <c r="JN61" i="1"/>
  <c r="JN65" i="1"/>
  <c r="JN69" i="1"/>
  <c r="JN73" i="1"/>
  <c r="JN77" i="1"/>
  <c r="JN81" i="1"/>
  <c r="JN85" i="1"/>
  <c r="JP32" i="1"/>
  <c r="QP32" i="1" s="1"/>
  <c r="JP16" i="1"/>
  <c r="QP16" i="1" s="1"/>
  <c r="JQ18" i="1"/>
  <c r="QQ18" i="1" s="1"/>
  <c r="JR84" i="1"/>
  <c r="JR76" i="1"/>
  <c r="JR68" i="1"/>
  <c r="JR60" i="1"/>
  <c r="QR60" i="1" s="1"/>
  <c r="JR52" i="1"/>
  <c r="JR44" i="1"/>
  <c r="QR44" i="1" s="1"/>
  <c r="JR36" i="1"/>
  <c r="QR36" i="1" s="1"/>
  <c r="JR28" i="1"/>
  <c r="JR20" i="1"/>
  <c r="QR20" i="1" s="1"/>
  <c r="JR12" i="1"/>
  <c r="JS86" i="1"/>
  <c r="QS86" i="1" s="1"/>
  <c r="JS78" i="1"/>
  <c r="RN78" i="1" s="1"/>
  <c r="JS70" i="1"/>
  <c r="RN70" i="1" s="1"/>
  <c r="JS62" i="1"/>
  <c r="QS62" i="1" s="1"/>
  <c r="JS54" i="1"/>
  <c r="RN54" i="1" s="1"/>
  <c r="JS46" i="1"/>
  <c r="QS46" i="1" s="1"/>
  <c r="JS38" i="1"/>
  <c r="RN38" i="1" s="1"/>
  <c r="JS30" i="1"/>
  <c r="QS30" i="1" s="1"/>
  <c r="JS22" i="1"/>
  <c r="QS22" i="1" s="1"/>
  <c r="JS14" i="1"/>
  <c r="RN14" i="1" s="1"/>
  <c r="JT13" i="1"/>
  <c r="QT13" i="1" s="1"/>
  <c r="JT21" i="1"/>
  <c r="QT21" i="1" s="1"/>
  <c r="JT39" i="1"/>
  <c r="QT39" i="1" s="1"/>
  <c r="JT55" i="1"/>
  <c r="QT55" i="1" s="1"/>
  <c r="JT87" i="1"/>
  <c r="QT87" i="1" s="1"/>
  <c r="JX13" i="1"/>
  <c r="QX13" i="1" s="1"/>
  <c r="JX87" i="1"/>
  <c r="QX87" i="1" s="1"/>
  <c r="IW39" i="1"/>
  <c r="JC53" i="1"/>
  <c r="RJ53" i="1" s="1"/>
  <c r="JC45" i="1"/>
  <c r="RJ45" i="1" s="1"/>
  <c r="JC37" i="1"/>
  <c r="RJ37" i="1" s="1"/>
  <c r="JC29" i="1"/>
  <c r="RJ29" i="1" s="1"/>
  <c r="JC21" i="1"/>
  <c r="QC21" i="1" s="1"/>
  <c r="JC13" i="1"/>
  <c r="QC13" i="1" s="1"/>
  <c r="JD63" i="1"/>
  <c r="QD63" i="1" s="1"/>
  <c r="JD55" i="1"/>
  <c r="QD55" i="1" s="1"/>
  <c r="JD47" i="1"/>
  <c r="QD47" i="1" s="1"/>
  <c r="JD39" i="1"/>
  <c r="QD39" i="1" s="1"/>
  <c r="JD31" i="1"/>
  <c r="QD31" i="1" s="1"/>
  <c r="JE73" i="1"/>
  <c r="QE73" i="1" s="1"/>
  <c r="JE65" i="1"/>
  <c r="QE65" i="1" s="1"/>
  <c r="JE41" i="1"/>
  <c r="QE41" i="1" s="1"/>
  <c r="JE9" i="1"/>
  <c r="QE9" i="1" s="1"/>
  <c r="JF83" i="1"/>
  <c r="QF83" i="1" s="1"/>
  <c r="JF75" i="1"/>
  <c r="JF67" i="1"/>
  <c r="JF59" i="1"/>
  <c r="QF59" i="1" s="1"/>
  <c r="JF51" i="1"/>
  <c r="JF43" i="1"/>
  <c r="QF43" i="1" s="1"/>
  <c r="JF35" i="1"/>
  <c r="QF35" i="1" s="1"/>
  <c r="JF27" i="1"/>
  <c r="QF27" i="1" s="1"/>
  <c r="JF19" i="1"/>
  <c r="JF11" i="1"/>
  <c r="QF11" i="1" s="1"/>
  <c r="JG85" i="1"/>
  <c r="RK85" i="1" s="1"/>
  <c r="JG77" i="1"/>
  <c r="QG77" i="1" s="1"/>
  <c r="JG69" i="1"/>
  <c r="RK69" i="1" s="1"/>
  <c r="JG61" i="1"/>
  <c r="QG61" i="1" s="1"/>
  <c r="JG53" i="1"/>
  <c r="QG53" i="1" s="1"/>
  <c r="JG45" i="1"/>
  <c r="QG45" i="1" s="1"/>
  <c r="JG37" i="1"/>
  <c r="RK37" i="1" s="1"/>
  <c r="JG29" i="1"/>
  <c r="QG29" i="1" s="1"/>
  <c r="JG21" i="1"/>
  <c r="RK21" i="1" s="1"/>
  <c r="JG13" i="1"/>
  <c r="QG13" i="1" s="1"/>
  <c r="JH63" i="1"/>
  <c r="QH63" i="1" s="1"/>
  <c r="JH55" i="1"/>
  <c r="QH55" i="1" s="1"/>
  <c r="JH39" i="1"/>
  <c r="QH39" i="1" s="1"/>
  <c r="OP7" i="1"/>
  <c r="JH7" i="1"/>
  <c r="JJ82" i="1"/>
  <c r="JJ74" i="1"/>
  <c r="JJ66" i="1"/>
  <c r="QJ66" i="1" s="1"/>
  <c r="JJ58" i="1"/>
  <c r="JJ50" i="1"/>
  <c r="JJ42" i="1"/>
  <c r="QJ42" i="1" s="1"/>
  <c r="JJ34" i="1"/>
  <c r="JJ26" i="1"/>
  <c r="QJ26" i="1" s="1"/>
  <c r="JJ10" i="1"/>
  <c r="JK84" i="1"/>
  <c r="JK76" i="1"/>
  <c r="JK68" i="1"/>
  <c r="JK52" i="1"/>
  <c r="JK44" i="1"/>
  <c r="JK36" i="1"/>
  <c r="QK36" i="1" s="1"/>
  <c r="JK28" i="1"/>
  <c r="QK28" i="1" s="1"/>
  <c r="JK20" i="1"/>
  <c r="QK20" i="1" s="1"/>
  <c r="JK12" i="1"/>
  <c r="JL30" i="1"/>
  <c r="QL30" i="1" s="1"/>
  <c r="JL22" i="1"/>
  <c r="QL22" i="1" s="1"/>
  <c r="JI7" i="1"/>
  <c r="RL7" i="1" s="1"/>
  <c r="JM22" i="1"/>
  <c r="QM22" i="1" s="1"/>
  <c r="JM30" i="1"/>
  <c r="QM30" i="1" s="1"/>
  <c r="JO9" i="1"/>
  <c r="RM9" i="1" s="1"/>
  <c r="JO13" i="1"/>
  <c r="QO13" i="1" s="1"/>
  <c r="JO17" i="1"/>
  <c r="RM17" i="1" s="1"/>
  <c r="JO21" i="1"/>
  <c r="RM21" i="1" s="1"/>
  <c r="JO25" i="1"/>
  <c r="RM25" i="1" s="1"/>
  <c r="JO29" i="1"/>
  <c r="RM29" i="1" s="1"/>
  <c r="JO33" i="1"/>
  <c r="RM33" i="1" s="1"/>
  <c r="JO37" i="1"/>
  <c r="RM37" i="1" s="1"/>
  <c r="JO41" i="1"/>
  <c r="RM41" i="1" s="1"/>
  <c r="JO45" i="1"/>
  <c r="RM45" i="1" s="1"/>
  <c r="JO49" i="1"/>
  <c r="JO53" i="1"/>
  <c r="RM53" i="1" s="1"/>
  <c r="JO57" i="1"/>
  <c r="RM57" i="1" s="1"/>
  <c r="JO61" i="1"/>
  <c r="RM61" i="1" s="1"/>
  <c r="JO65" i="1"/>
  <c r="RM65" i="1" s="1"/>
  <c r="JO69" i="1"/>
  <c r="RM69" i="1" s="1"/>
  <c r="JO73" i="1"/>
  <c r="RM73" i="1" s="1"/>
  <c r="JO77" i="1"/>
  <c r="RM77" i="1" s="1"/>
  <c r="JO81" i="1"/>
  <c r="RM81" i="1" s="1"/>
  <c r="JO85" i="1"/>
  <c r="RM85" i="1" s="1"/>
  <c r="JP87" i="1"/>
  <c r="QP87" i="1" s="1"/>
  <c r="JP55" i="1"/>
  <c r="QP55" i="1" s="1"/>
  <c r="JP39" i="1"/>
  <c r="QP39" i="1" s="1"/>
  <c r="JQ73" i="1"/>
  <c r="QQ73" i="1" s="1"/>
  <c r="JR83" i="1"/>
  <c r="JR75" i="1"/>
  <c r="JR67" i="1"/>
  <c r="JR59" i="1"/>
  <c r="JR51" i="1"/>
  <c r="JR43" i="1"/>
  <c r="JR35" i="1"/>
  <c r="JR27" i="1"/>
  <c r="JR19" i="1"/>
  <c r="JR11" i="1"/>
  <c r="JS85" i="1"/>
  <c r="RN85" i="1" s="1"/>
  <c r="JS77" i="1"/>
  <c r="JS69" i="1"/>
  <c r="RN69" i="1" s="1"/>
  <c r="JS61" i="1"/>
  <c r="RN61" i="1" s="1"/>
  <c r="JS53" i="1"/>
  <c r="RN53" i="1" s="1"/>
  <c r="JS45" i="1"/>
  <c r="QS45" i="1" s="1"/>
  <c r="JS37" i="1"/>
  <c r="RN37" i="1" s="1"/>
  <c r="JS29" i="1"/>
  <c r="QS29" i="1" s="1"/>
  <c r="JS21" i="1"/>
  <c r="QS21" i="1" s="1"/>
  <c r="JS13" i="1"/>
  <c r="QS13" i="1" s="1"/>
  <c r="JU13" i="1"/>
  <c r="QU13" i="1" s="1"/>
  <c r="JU21" i="1"/>
  <c r="QU21" i="1" s="1"/>
  <c r="JU39" i="1"/>
  <c r="QU39" i="1" s="1"/>
  <c r="JU55" i="1"/>
  <c r="QU55" i="1" s="1"/>
  <c r="JU87" i="1"/>
  <c r="QU87" i="1" s="1"/>
  <c r="JY13" i="1"/>
  <c r="QY13" i="1" s="1"/>
  <c r="JY87" i="1"/>
  <c r="QY87" i="1" s="1"/>
  <c r="IV39" i="1"/>
  <c r="PV39" i="1" s="1"/>
  <c r="JB10" i="1"/>
  <c r="JC84" i="1"/>
  <c r="RJ84" i="1" s="1"/>
  <c r="JC76" i="1"/>
  <c r="RJ76" i="1" s="1"/>
  <c r="JC68" i="1"/>
  <c r="RJ68" i="1" s="1"/>
  <c r="JC60" i="1"/>
  <c r="RJ60" i="1" s="1"/>
  <c r="JC52" i="1"/>
  <c r="RJ52" i="1" s="1"/>
  <c r="JC44" i="1"/>
  <c r="RJ44" i="1" s="1"/>
  <c r="JC36" i="1"/>
  <c r="RJ36" i="1" s="1"/>
  <c r="JC28" i="1"/>
  <c r="RJ28" i="1" s="1"/>
  <c r="JC20" i="1"/>
  <c r="RJ20" i="1" s="1"/>
  <c r="JC12" i="1"/>
  <c r="RJ12" i="1" s="1"/>
  <c r="JD86" i="1"/>
  <c r="QD86" i="1" s="1"/>
  <c r="JD78" i="1"/>
  <c r="QD78" i="1" s="1"/>
  <c r="JD70" i="1"/>
  <c r="QD70" i="1" s="1"/>
  <c r="JD62" i="1"/>
  <c r="QD62" i="1" s="1"/>
  <c r="JD54" i="1"/>
  <c r="QD54" i="1" s="1"/>
  <c r="JD46" i="1"/>
  <c r="QD46" i="1" s="1"/>
  <c r="JD30" i="1"/>
  <c r="QD30" i="1" s="1"/>
  <c r="JD22" i="1"/>
  <c r="QD22" i="1" s="1"/>
  <c r="JE80" i="1"/>
  <c r="QE80" i="1" s="1"/>
  <c r="JE56" i="1"/>
  <c r="QE56" i="1" s="1"/>
  <c r="JE40" i="1"/>
  <c r="QE40" i="1" s="1"/>
  <c r="JE32" i="1"/>
  <c r="QE32" i="1" s="1"/>
  <c r="JE24" i="1"/>
  <c r="QE24" i="1" s="1"/>
  <c r="JF82" i="1"/>
  <c r="JF74" i="1"/>
  <c r="JF66" i="1"/>
  <c r="QF66" i="1" s="1"/>
  <c r="JF58" i="1"/>
  <c r="JF50" i="1"/>
  <c r="JF42" i="1"/>
  <c r="QF42" i="1" s="1"/>
  <c r="JF34" i="1"/>
  <c r="JF26" i="1"/>
  <c r="QF26" i="1" s="1"/>
  <c r="JF18" i="1"/>
  <c r="QF18" i="1" s="1"/>
  <c r="JF10" i="1"/>
  <c r="QF10" i="1" s="1"/>
  <c r="JG84" i="1"/>
  <c r="QG84" i="1" s="1"/>
  <c r="JG76" i="1"/>
  <c r="QG76" i="1" s="1"/>
  <c r="JG68" i="1"/>
  <c r="QG68" i="1" s="1"/>
  <c r="JG52" i="1"/>
  <c r="QG52" i="1" s="1"/>
  <c r="JG44" i="1"/>
  <c r="QG44" i="1" s="1"/>
  <c r="JG36" i="1"/>
  <c r="QG36" i="1" s="1"/>
  <c r="JG28" i="1"/>
  <c r="QG28" i="1" s="1"/>
  <c r="JG20" i="1"/>
  <c r="QG20" i="1" s="1"/>
  <c r="JG12" i="1"/>
  <c r="RK12" i="1" s="1"/>
  <c r="JH62" i="1"/>
  <c r="QH62" i="1" s="1"/>
  <c r="JH54" i="1"/>
  <c r="QH54" i="1" s="1"/>
  <c r="JH30" i="1"/>
  <c r="QH30" i="1" s="1"/>
  <c r="JH22" i="1"/>
  <c r="QH22" i="1" s="1"/>
  <c r="JI32" i="1"/>
  <c r="QI32" i="1" s="1"/>
  <c r="JI24" i="1"/>
  <c r="QI24" i="1" s="1"/>
  <c r="JJ81" i="1"/>
  <c r="JJ73" i="1"/>
  <c r="JJ65" i="1"/>
  <c r="JJ57" i="1"/>
  <c r="JJ49" i="1"/>
  <c r="JJ41" i="1"/>
  <c r="JJ33" i="1"/>
  <c r="JJ25" i="1"/>
  <c r="JJ17" i="1"/>
  <c r="JJ9" i="1"/>
  <c r="JK83" i="1"/>
  <c r="QK83" i="1" s="1"/>
  <c r="JK75" i="1"/>
  <c r="JK67" i="1"/>
  <c r="JK59" i="1"/>
  <c r="JK51" i="1"/>
  <c r="JK43" i="1"/>
  <c r="JK35" i="1"/>
  <c r="QK35" i="1" s="1"/>
  <c r="JK27" i="1"/>
  <c r="QK27" i="1" s="1"/>
  <c r="JK19" i="1"/>
  <c r="JK11" i="1"/>
  <c r="JL13" i="1"/>
  <c r="QL13" i="1" s="1"/>
  <c r="JM39" i="1"/>
  <c r="QM39" i="1" s="1"/>
  <c r="JM55" i="1"/>
  <c r="QM55" i="1" s="1"/>
  <c r="JM63" i="1"/>
  <c r="QM63" i="1" s="1"/>
  <c r="JN10" i="1"/>
  <c r="JN14" i="1"/>
  <c r="JN18" i="1"/>
  <c r="JN22" i="1"/>
  <c r="QN22" i="1" s="1"/>
  <c r="JN26" i="1"/>
  <c r="JN30" i="1"/>
  <c r="QN30" i="1" s="1"/>
  <c r="JN34" i="1"/>
  <c r="JN38" i="1"/>
  <c r="JN42" i="1"/>
  <c r="JN46" i="1"/>
  <c r="JN50" i="1"/>
  <c r="JN54" i="1"/>
  <c r="JN58" i="1"/>
  <c r="JN62" i="1"/>
  <c r="JN66" i="1"/>
  <c r="JN70" i="1"/>
  <c r="JN74" i="1"/>
  <c r="JN78" i="1"/>
  <c r="JN82" i="1"/>
  <c r="JN86" i="1"/>
  <c r="JP86" i="1"/>
  <c r="QP86" i="1" s="1"/>
  <c r="JP62" i="1"/>
  <c r="QP62" i="1" s="1"/>
  <c r="JP46" i="1"/>
  <c r="QP46" i="1" s="1"/>
  <c r="JP30" i="1"/>
  <c r="QP30" i="1" s="1"/>
  <c r="JP22" i="1"/>
  <c r="QP22" i="1" s="1"/>
  <c r="JQ32" i="1"/>
  <c r="QQ32" i="1" s="1"/>
  <c r="JQ16" i="1"/>
  <c r="QQ16" i="1" s="1"/>
  <c r="JR82" i="1"/>
  <c r="JR74" i="1"/>
  <c r="JR66" i="1"/>
  <c r="JR58" i="1"/>
  <c r="JR50" i="1"/>
  <c r="JR42" i="1"/>
  <c r="JR34" i="1"/>
  <c r="JR26" i="1"/>
  <c r="JR18" i="1"/>
  <c r="QR18" i="1" s="1"/>
  <c r="JR10" i="1"/>
  <c r="JS84" i="1"/>
  <c r="RN84" i="1" s="1"/>
  <c r="JS76" i="1"/>
  <c r="RN76" i="1" s="1"/>
  <c r="JS68" i="1"/>
  <c r="RN68" i="1" s="1"/>
  <c r="JS60" i="1"/>
  <c r="QS60" i="1" s="1"/>
  <c r="JS52" i="1"/>
  <c r="RN52" i="1" s="1"/>
  <c r="JS44" i="1"/>
  <c r="QS44" i="1" s="1"/>
  <c r="JS36" i="1"/>
  <c r="QS36" i="1" s="1"/>
  <c r="JS28" i="1"/>
  <c r="RN28" i="1" s="1"/>
  <c r="JS20" i="1"/>
  <c r="QS20" i="1" s="1"/>
  <c r="JS12" i="1"/>
  <c r="RN12" i="1" s="1"/>
  <c r="JV7" i="1"/>
  <c r="JV9" i="1"/>
  <c r="JV11" i="1"/>
  <c r="JV13" i="1"/>
  <c r="QV13" i="1" s="1"/>
  <c r="JV15" i="1"/>
  <c r="JV17" i="1"/>
  <c r="JV19" i="1"/>
  <c r="JV21" i="1"/>
  <c r="QV21" i="1" s="1"/>
  <c r="JV23" i="1"/>
  <c r="JV25" i="1"/>
  <c r="JV27" i="1"/>
  <c r="JV29" i="1"/>
  <c r="JV31" i="1"/>
  <c r="JV33" i="1"/>
  <c r="JV35" i="1"/>
  <c r="JV37" i="1"/>
  <c r="JV39" i="1"/>
  <c r="QV39" i="1" s="1"/>
  <c r="JV41" i="1"/>
  <c r="JV43" i="1"/>
  <c r="JV45" i="1"/>
  <c r="JV47" i="1"/>
  <c r="JV49" i="1"/>
  <c r="JV51" i="1"/>
  <c r="JV53" i="1"/>
  <c r="JV55" i="1"/>
  <c r="QV55" i="1" s="1"/>
  <c r="JV57" i="1"/>
  <c r="JV59" i="1"/>
  <c r="JV61" i="1"/>
  <c r="JV63" i="1"/>
  <c r="JV65" i="1"/>
  <c r="JV67" i="1"/>
  <c r="JV69" i="1"/>
  <c r="JV71" i="1"/>
  <c r="JV73" i="1"/>
  <c r="JV75" i="1"/>
  <c r="JV77" i="1"/>
  <c r="JV79" i="1"/>
  <c r="JV81" i="1"/>
  <c r="JV83" i="1"/>
  <c r="JV85" i="1"/>
  <c r="JV87" i="1"/>
  <c r="QV87" i="1" s="1"/>
  <c r="JZ7" i="1"/>
  <c r="JZ9" i="1"/>
  <c r="JZ11" i="1"/>
  <c r="JZ13" i="1"/>
  <c r="QZ13" i="1" s="1"/>
  <c r="JZ15" i="1"/>
  <c r="JZ17" i="1"/>
  <c r="JZ19" i="1"/>
  <c r="JZ21" i="1"/>
  <c r="JZ23" i="1"/>
  <c r="JZ25" i="1"/>
  <c r="JZ27" i="1"/>
  <c r="JZ29" i="1"/>
  <c r="JZ31" i="1"/>
  <c r="JZ33" i="1"/>
  <c r="JZ35" i="1"/>
  <c r="JZ37" i="1"/>
  <c r="JZ41" i="1"/>
  <c r="JZ43" i="1"/>
  <c r="JZ45" i="1"/>
  <c r="JZ47" i="1"/>
  <c r="JZ49" i="1"/>
  <c r="JZ51" i="1"/>
  <c r="JZ53" i="1"/>
  <c r="JZ55" i="1"/>
  <c r="JZ57" i="1"/>
  <c r="JZ59" i="1"/>
  <c r="JZ61" i="1"/>
  <c r="JZ63" i="1"/>
  <c r="JZ65" i="1"/>
  <c r="JZ67" i="1"/>
  <c r="JZ69" i="1"/>
  <c r="JZ71" i="1"/>
  <c r="JZ73" i="1"/>
  <c r="JZ75" i="1"/>
  <c r="JZ77" i="1"/>
  <c r="JZ79" i="1"/>
  <c r="JZ81" i="1"/>
  <c r="JZ83" i="1"/>
  <c r="JZ85" i="1"/>
  <c r="JZ87" i="1"/>
  <c r="QZ87" i="1" s="1"/>
  <c r="JC51" i="1"/>
  <c r="RJ51" i="1" s="1"/>
  <c r="JC43" i="1"/>
  <c r="RJ43" i="1" s="1"/>
  <c r="JC35" i="1"/>
  <c r="RJ35" i="1" s="1"/>
  <c r="JC27" i="1"/>
  <c r="RJ27" i="1" s="1"/>
  <c r="JC19" i="1"/>
  <c r="JC11" i="1"/>
  <c r="RJ11" i="1" s="1"/>
  <c r="JD77" i="1"/>
  <c r="QD77" i="1" s="1"/>
  <c r="JD61" i="1"/>
  <c r="QD61" i="1" s="1"/>
  <c r="JD53" i="1"/>
  <c r="QD53" i="1" s="1"/>
  <c r="JD45" i="1"/>
  <c r="QD45" i="1" s="1"/>
  <c r="JD29" i="1"/>
  <c r="QD29" i="1" s="1"/>
  <c r="JD13" i="1"/>
  <c r="QD13" i="1" s="1"/>
  <c r="JE63" i="1"/>
  <c r="QE63" i="1" s="1"/>
  <c r="JE55" i="1"/>
  <c r="QE55" i="1" s="1"/>
  <c r="JE47" i="1"/>
  <c r="QE47" i="1" s="1"/>
  <c r="JE39" i="1"/>
  <c r="QE39" i="1" s="1"/>
  <c r="JE31" i="1"/>
  <c r="QE31" i="1" s="1"/>
  <c r="JF81" i="1"/>
  <c r="JF73" i="1"/>
  <c r="QF73" i="1" s="1"/>
  <c r="JF65" i="1"/>
  <c r="QF65" i="1" s="1"/>
  <c r="JF57" i="1"/>
  <c r="JF49" i="1"/>
  <c r="JF41" i="1"/>
  <c r="QF41" i="1" s="1"/>
  <c r="JF33" i="1"/>
  <c r="JF25" i="1"/>
  <c r="JF17" i="1"/>
  <c r="JF9" i="1"/>
  <c r="QF9" i="1" s="1"/>
  <c r="JG83" i="1"/>
  <c r="QG83" i="1" s="1"/>
  <c r="JG75" i="1"/>
  <c r="RK75" i="1" s="1"/>
  <c r="JG67" i="1"/>
  <c r="JG59" i="1"/>
  <c r="QG59" i="1" s="1"/>
  <c r="JG51" i="1"/>
  <c r="RK51" i="1" s="1"/>
  <c r="JG43" i="1"/>
  <c r="QG43" i="1" s="1"/>
  <c r="JG35" i="1"/>
  <c r="QG35" i="1" s="1"/>
  <c r="JG27" i="1"/>
  <c r="QG27" i="1" s="1"/>
  <c r="JG19" i="1"/>
  <c r="RK19" i="1" s="1"/>
  <c r="JG11" i="1"/>
  <c r="QG11" i="1" s="1"/>
  <c r="JH61" i="1"/>
  <c r="QH61" i="1" s="1"/>
  <c r="JH13" i="1"/>
  <c r="QH13" i="1" s="1"/>
  <c r="JI63" i="1"/>
  <c r="QI63" i="1" s="1"/>
  <c r="JI55" i="1"/>
  <c r="QI55" i="1" s="1"/>
  <c r="JI39" i="1"/>
  <c r="QI39" i="1" s="1"/>
  <c r="JJ88" i="1"/>
  <c r="JJ80" i="1"/>
  <c r="JJ72" i="1"/>
  <c r="JJ64" i="1"/>
  <c r="JJ56" i="1"/>
  <c r="JJ48" i="1"/>
  <c r="JJ40" i="1"/>
  <c r="JJ32" i="1"/>
  <c r="QJ32" i="1" s="1"/>
  <c r="JJ24" i="1"/>
  <c r="QJ24" i="1" s="1"/>
  <c r="JJ16" i="1"/>
  <c r="JJ8" i="1"/>
  <c r="JK82" i="1"/>
  <c r="JK74" i="1"/>
  <c r="JK66" i="1"/>
  <c r="QK66" i="1" s="1"/>
  <c r="JK58" i="1"/>
  <c r="JK50" i="1"/>
  <c r="JK42" i="1"/>
  <c r="QK42" i="1" s="1"/>
  <c r="JK34" i="1"/>
  <c r="JK26" i="1"/>
  <c r="QK26" i="1" s="1"/>
  <c r="JK10" i="1"/>
  <c r="JL36" i="1"/>
  <c r="QL36" i="1" s="1"/>
  <c r="JM32" i="1"/>
  <c r="JO10" i="1"/>
  <c r="RM10" i="1" s="1"/>
  <c r="JO14" i="1"/>
  <c r="RM14" i="1" s="1"/>
  <c r="JO18" i="1"/>
  <c r="RM18" i="1" s="1"/>
  <c r="JO22" i="1"/>
  <c r="QO22" i="1" s="1"/>
  <c r="JO26" i="1"/>
  <c r="RM26" i="1" s="1"/>
  <c r="JO30" i="1"/>
  <c r="QO30" i="1" s="1"/>
  <c r="JO34" i="1"/>
  <c r="RM34" i="1" s="1"/>
  <c r="JO38" i="1"/>
  <c r="RM38" i="1" s="1"/>
  <c r="JO42" i="1"/>
  <c r="RM42" i="1" s="1"/>
  <c r="JO46" i="1"/>
  <c r="RM46" i="1" s="1"/>
  <c r="JO50" i="1"/>
  <c r="JO54" i="1"/>
  <c r="RM54" i="1" s="1"/>
  <c r="JO58" i="1"/>
  <c r="RM58" i="1" s="1"/>
  <c r="JO62" i="1"/>
  <c r="RM62" i="1" s="1"/>
  <c r="JO66" i="1"/>
  <c r="RM66" i="1" s="1"/>
  <c r="JO70" i="1"/>
  <c r="RM70" i="1" s="1"/>
  <c r="JO74" i="1"/>
  <c r="RM74" i="1" s="1"/>
  <c r="JO78" i="1"/>
  <c r="RM78" i="1" s="1"/>
  <c r="JO82" i="1"/>
  <c r="RM82" i="1" s="1"/>
  <c r="JO86" i="1"/>
  <c r="RM86" i="1" s="1"/>
  <c r="JP45" i="1"/>
  <c r="QP45" i="1" s="1"/>
  <c r="JP29" i="1"/>
  <c r="QP29" i="1" s="1"/>
  <c r="JP21" i="1"/>
  <c r="QP21" i="1" s="1"/>
  <c r="JP13" i="1"/>
  <c r="QP13" i="1" s="1"/>
  <c r="JQ87" i="1"/>
  <c r="QQ87" i="1" s="1"/>
  <c r="JQ55" i="1"/>
  <c r="QQ55" i="1" s="1"/>
  <c r="JQ39" i="1"/>
  <c r="QQ39" i="1" s="1"/>
  <c r="JR81" i="1"/>
  <c r="JR73" i="1"/>
  <c r="QR73" i="1" s="1"/>
  <c r="JR65" i="1"/>
  <c r="JR57" i="1"/>
  <c r="JR49" i="1"/>
  <c r="JR41" i="1"/>
  <c r="JR33" i="1"/>
  <c r="JR25" i="1"/>
  <c r="JR17" i="1"/>
  <c r="JR9" i="1"/>
  <c r="JS83" i="1"/>
  <c r="RN83" i="1" s="1"/>
  <c r="JS75" i="1"/>
  <c r="RN75" i="1" s="1"/>
  <c r="JS67" i="1"/>
  <c r="RN67" i="1" s="1"/>
  <c r="JS59" i="1"/>
  <c r="RN59" i="1" s="1"/>
  <c r="JS51" i="1"/>
  <c r="RN51" i="1" s="1"/>
  <c r="JS43" i="1"/>
  <c r="RN43" i="1" s="1"/>
  <c r="JS35" i="1"/>
  <c r="RN35" i="1" s="1"/>
  <c r="JS27" i="1"/>
  <c r="RN27" i="1" s="1"/>
  <c r="JS19" i="1"/>
  <c r="RN19" i="1" s="1"/>
  <c r="JS11" i="1"/>
  <c r="RN11" i="1" s="1"/>
  <c r="JW7" i="1"/>
  <c r="RO7" i="1" s="1"/>
  <c r="JW9" i="1"/>
  <c r="RO9" i="1" s="1"/>
  <c r="JW11" i="1"/>
  <c r="RO11" i="1" s="1"/>
  <c r="JW13" i="1"/>
  <c r="QW13" i="1" s="1"/>
  <c r="JW15" i="1"/>
  <c r="RO15" i="1" s="1"/>
  <c r="JW17" i="1"/>
  <c r="RO17" i="1" s="1"/>
  <c r="JW19" i="1"/>
  <c r="RO19" i="1" s="1"/>
  <c r="JW21" i="1"/>
  <c r="QW21" i="1" s="1"/>
  <c r="JW23" i="1"/>
  <c r="RO23" i="1" s="1"/>
  <c r="JW25" i="1"/>
  <c r="RO25" i="1" s="1"/>
  <c r="JW27" i="1"/>
  <c r="RO27" i="1" s="1"/>
  <c r="JW29" i="1"/>
  <c r="RO29" i="1" s="1"/>
  <c r="JW31" i="1"/>
  <c r="RO31" i="1" s="1"/>
  <c r="JW33" i="1"/>
  <c r="RO33" i="1" s="1"/>
  <c r="JW35" i="1"/>
  <c r="RO35" i="1" s="1"/>
  <c r="JW37" i="1"/>
  <c r="RO37" i="1" s="1"/>
  <c r="JW39" i="1"/>
  <c r="QW39" i="1" s="1"/>
  <c r="JW41" i="1"/>
  <c r="RO41" i="1" s="1"/>
  <c r="JW43" i="1"/>
  <c r="RO43" i="1" s="1"/>
  <c r="JW45" i="1"/>
  <c r="RO45" i="1" s="1"/>
  <c r="JW47" i="1"/>
  <c r="RO47" i="1" s="1"/>
  <c r="JW49" i="1"/>
  <c r="RO49" i="1" s="1"/>
  <c r="JW51" i="1"/>
  <c r="RO51" i="1" s="1"/>
  <c r="JW53" i="1"/>
  <c r="RO53" i="1" s="1"/>
  <c r="JW55" i="1"/>
  <c r="QW55" i="1" s="1"/>
  <c r="JW57" i="1"/>
  <c r="RO57" i="1" s="1"/>
  <c r="JW59" i="1"/>
  <c r="RO59" i="1" s="1"/>
  <c r="JW61" i="1"/>
  <c r="RO61" i="1" s="1"/>
  <c r="JW63" i="1"/>
  <c r="RO63" i="1" s="1"/>
  <c r="JW65" i="1"/>
  <c r="RO65" i="1" s="1"/>
  <c r="JW67" i="1"/>
  <c r="RO67" i="1" s="1"/>
  <c r="JW69" i="1"/>
  <c r="RO69" i="1" s="1"/>
  <c r="JW71" i="1"/>
  <c r="RO71" i="1" s="1"/>
  <c r="JW73" i="1"/>
  <c r="RO73" i="1" s="1"/>
  <c r="JW75" i="1"/>
  <c r="RO75" i="1" s="1"/>
  <c r="JW77" i="1"/>
  <c r="RO77" i="1" s="1"/>
  <c r="JW79" i="1"/>
  <c r="RO79" i="1" s="1"/>
  <c r="JW81" i="1"/>
  <c r="RO81" i="1" s="1"/>
  <c r="JW83" i="1"/>
  <c r="RO83" i="1" s="1"/>
  <c r="JW85" i="1"/>
  <c r="RO85" i="1" s="1"/>
  <c r="JW87" i="1"/>
  <c r="QW87" i="1" s="1"/>
  <c r="KA7" i="1"/>
  <c r="RP7" i="1" s="1"/>
  <c r="KA9" i="1"/>
  <c r="RP9" i="1" s="1"/>
  <c r="KA11" i="1"/>
  <c r="RP11" i="1" s="1"/>
  <c r="KA13" i="1"/>
  <c r="RA13" i="1" s="1"/>
  <c r="KA15" i="1"/>
  <c r="RP15" i="1" s="1"/>
  <c r="KA17" i="1"/>
  <c r="RP17" i="1" s="1"/>
  <c r="KA19" i="1"/>
  <c r="RP19" i="1" s="1"/>
  <c r="KA21" i="1"/>
  <c r="RP21" i="1" s="1"/>
  <c r="KA23" i="1"/>
  <c r="RP23" i="1" s="1"/>
  <c r="KA25" i="1"/>
  <c r="RP25" i="1" s="1"/>
  <c r="KA27" i="1"/>
  <c r="RP27" i="1" s="1"/>
  <c r="KA29" i="1"/>
  <c r="RP29" i="1" s="1"/>
  <c r="KA31" i="1"/>
  <c r="RP31" i="1" s="1"/>
  <c r="KA33" i="1"/>
  <c r="RP33" i="1" s="1"/>
  <c r="KA35" i="1"/>
  <c r="RP35" i="1" s="1"/>
  <c r="KA37" i="1"/>
  <c r="RP37" i="1" s="1"/>
  <c r="KA41" i="1"/>
  <c r="RP41" i="1" s="1"/>
  <c r="KA43" i="1"/>
  <c r="RP43" i="1" s="1"/>
  <c r="KA45" i="1"/>
  <c r="RP45" i="1" s="1"/>
  <c r="KA47" i="1"/>
  <c r="RP47" i="1" s="1"/>
  <c r="KA49" i="1"/>
  <c r="RP49" i="1" s="1"/>
  <c r="KA51" i="1"/>
  <c r="RP51" i="1" s="1"/>
  <c r="KA53" i="1"/>
  <c r="RP53" i="1" s="1"/>
  <c r="KA55" i="1"/>
  <c r="RP55" i="1" s="1"/>
  <c r="KA57" i="1"/>
  <c r="RP57" i="1" s="1"/>
  <c r="KA59" i="1"/>
  <c r="RP59" i="1" s="1"/>
  <c r="KA61" i="1"/>
  <c r="RP61" i="1" s="1"/>
  <c r="KA63" i="1"/>
  <c r="RP63" i="1" s="1"/>
  <c r="KA65" i="1"/>
  <c r="RP65" i="1" s="1"/>
  <c r="KA67" i="1"/>
  <c r="RP67" i="1" s="1"/>
  <c r="KA69" i="1"/>
  <c r="RP69" i="1" s="1"/>
  <c r="KA71" i="1"/>
  <c r="RP71" i="1" s="1"/>
  <c r="KA73" i="1"/>
  <c r="RP73" i="1" s="1"/>
  <c r="KA75" i="1"/>
  <c r="RP75" i="1" s="1"/>
  <c r="KA77" i="1"/>
  <c r="RP77" i="1" s="1"/>
  <c r="KA79" i="1"/>
  <c r="RP79" i="1" s="1"/>
  <c r="KA81" i="1"/>
  <c r="RP81" i="1" s="1"/>
  <c r="KA83" i="1"/>
  <c r="RP83" i="1" s="1"/>
  <c r="KA85" i="1"/>
  <c r="RP85" i="1" s="1"/>
  <c r="KA87" i="1"/>
  <c r="RA87" i="1" s="1"/>
  <c r="JF32" i="1"/>
  <c r="QF32" i="1" s="1"/>
  <c r="JF24" i="1"/>
  <c r="QF24" i="1" s="1"/>
  <c r="JG66" i="1"/>
  <c r="QG66" i="1" s="1"/>
  <c r="JG42" i="1"/>
  <c r="QG42" i="1" s="1"/>
  <c r="JG26" i="1"/>
  <c r="QG26" i="1" s="1"/>
  <c r="JG18" i="1"/>
  <c r="QG18" i="1" s="1"/>
  <c r="JG10" i="1"/>
  <c r="QG10" i="1" s="1"/>
  <c r="JH36" i="1"/>
  <c r="QH36" i="1" s="1"/>
  <c r="JH28" i="1"/>
  <c r="QH28" i="1" s="1"/>
  <c r="JH20" i="1"/>
  <c r="QH20" i="1" s="1"/>
  <c r="JI62" i="1"/>
  <c r="QI62" i="1" s="1"/>
  <c r="JI54" i="1"/>
  <c r="QI54" i="1" s="1"/>
  <c r="JI30" i="1"/>
  <c r="QI30" i="1" s="1"/>
  <c r="JI22" i="1"/>
  <c r="QI22" i="1" s="1"/>
  <c r="JJ87" i="1"/>
  <c r="JJ79" i="1"/>
  <c r="JJ71" i="1"/>
  <c r="JJ63" i="1"/>
  <c r="QJ63" i="1" s="1"/>
  <c r="JJ55" i="1"/>
  <c r="QJ55" i="1" s="1"/>
  <c r="JJ47" i="1"/>
  <c r="JJ39" i="1"/>
  <c r="QJ39" i="1" s="1"/>
  <c r="JJ31" i="1"/>
  <c r="JJ23" i="1"/>
  <c r="JJ15" i="1"/>
  <c r="JJ7" i="1"/>
  <c r="JK81" i="1"/>
  <c r="JK73" i="1"/>
  <c r="JK65" i="1"/>
  <c r="JK57" i="1"/>
  <c r="JK49" i="1"/>
  <c r="JK41" i="1"/>
  <c r="JK33" i="1"/>
  <c r="JK25" i="1"/>
  <c r="JK17" i="1"/>
  <c r="JK9" i="1"/>
  <c r="JL83" i="1"/>
  <c r="QL83" i="1" s="1"/>
  <c r="JN7" i="1"/>
  <c r="JN11" i="1"/>
  <c r="JN15" i="1"/>
  <c r="JN19" i="1"/>
  <c r="JN23" i="1"/>
  <c r="JN27" i="1"/>
  <c r="JN31" i="1"/>
  <c r="JN35" i="1"/>
  <c r="JN39" i="1"/>
  <c r="QN39" i="1" s="1"/>
  <c r="JN43" i="1"/>
  <c r="JN47" i="1"/>
  <c r="JN51" i="1"/>
  <c r="JN55" i="1"/>
  <c r="QN55" i="1" s="1"/>
  <c r="JN59" i="1"/>
  <c r="JN63" i="1"/>
  <c r="QN63" i="1" s="1"/>
  <c r="JN67" i="1"/>
  <c r="JN71" i="1"/>
  <c r="JN75" i="1"/>
  <c r="JN79" i="1"/>
  <c r="JN83" i="1"/>
  <c r="QN83" i="1" s="1"/>
  <c r="JN87" i="1"/>
  <c r="JP60" i="1"/>
  <c r="QP60" i="1" s="1"/>
  <c r="JP44" i="1"/>
  <c r="QP44" i="1" s="1"/>
  <c r="JP36" i="1"/>
  <c r="QP36" i="1" s="1"/>
  <c r="JP20" i="1"/>
  <c r="QP20" i="1" s="1"/>
  <c r="JQ86" i="1"/>
  <c r="QQ86" i="1" s="1"/>
  <c r="JQ62" i="1"/>
  <c r="QQ62" i="1" s="1"/>
  <c r="JQ46" i="1"/>
  <c r="QQ46" i="1" s="1"/>
  <c r="JQ30" i="1"/>
  <c r="QQ30" i="1" s="1"/>
  <c r="JQ22" i="1"/>
  <c r="QQ22" i="1" s="1"/>
  <c r="JR88" i="1"/>
  <c r="JR80" i="1"/>
  <c r="JR72" i="1"/>
  <c r="JR64" i="1"/>
  <c r="JR56" i="1"/>
  <c r="JR48" i="1"/>
  <c r="JR32" i="1"/>
  <c r="QR32" i="1" s="1"/>
  <c r="JR24" i="1"/>
  <c r="JR16" i="1"/>
  <c r="QR16" i="1" s="1"/>
  <c r="JR8" i="1"/>
  <c r="JS82" i="1"/>
  <c r="RN82" i="1" s="1"/>
  <c r="JS74" i="1"/>
  <c r="RN74" i="1" s="1"/>
  <c r="JS66" i="1"/>
  <c r="RN66" i="1" s="1"/>
  <c r="JS58" i="1"/>
  <c r="RN58" i="1" s="1"/>
  <c r="JS50" i="1"/>
  <c r="RN50" i="1" s="1"/>
  <c r="JS42" i="1"/>
  <c r="RN42" i="1" s="1"/>
  <c r="JS34" i="1"/>
  <c r="RN34" i="1" s="1"/>
  <c r="JS26" i="1"/>
  <c r="JS18" i="1"/>
  <c r="QS18" i="1" s="1"/>
  <c r="JS10" i="1"/>
  <c r="RN10" i="1" s="1"/>
  <c r="JT18" i="1"/>
  <c r="QT18" i="1" s="1"/>
  <c r="JT30" i="1"/>
  <c r="QT30" i="1" s="1"/>
  <c r="JT32" i="1"/>
  <c r="QT32" i="1" s="1"/>
  <c r="JT36" i="1"/>
  <c r="QT36" i="1" s="1"/>
  <c r="JT40" i="1"/>
  <c r="QT40" i="1" s="1"/>
  <c r="JT44" i="1"/>
  <c r="QT44" i="1" s="1"/>
  <c r="JX18" i="1"/>
  <c r="QX18" i="1" s="1"/>
  <c r="JC65" i="1"/>
  <c r="RJ65" i="1" s="1"/>
  <c r="JC57" i="1"/>
  <c r="RJ57" i="1" s="1"/>
  <c r="JC49" i="1"/>
  <c r="RJ49" i="1" s="1"/>
  <c r="JC41" i="1"/>
  <c r="RJ41" i="1" s="1"/>
  <c r="JC33" i="1"/>
  <c r="RJ33" i="1" s="1"/>
  <c r="JC25" i="1"/>
  <c r="RJ25" i="1" s="1"/>
  <c r="JC17" i="1"/>
  <c r="RJ17" i="1" s="1"/>
  <c r="JC9" i="1"/>
  <c r="RJ9" i="1" s="1"/>
  <c r="JD83" i="1"/>
  <c r="QD83" i="1" s="1"/>
  <c r="JD59" i="1"/>
  <c r="QD59" i="1" s="1"/>
  <c r="JD43" i="1"/>
  <c r="QD43" i="1" s="1"/>
  <c r="JD35" i="1"/>
  <c r="QD35" i="1" s="1"/>
  <c r="JD27" i="1"/>
  <c r="QD27" i="1" s="1"/>
  <c r="JD11" i="1"/>
  <c r="QD11" i="1" s="1"/>
  <c r="JE77" i="1"/>
  <c r="QE77" i="1" s="1"/>
  <c r="JE61" i="1"/>
  <c r="QE61" i="1" s="1"/>
  <c r="JE53" i="1"/>
  <c r="QE53" i="1" s="1"/>
  <c r="JE45" i="1"/>
  <c r="QE45" i="1" s="1"/>
  <c r="JE29" i="1"/>
  <c r="QE29" i="1" s="1"/>
  <c r="JE13" i="1"/>
  <c r="QE13" i="1" s="1"/>
  <c r="JF87" i="1"/>
  <c r="JF79" i="1"/>
  <c r="JF71" i="1"/>
  <c r="JF63" i="1"/>
  <c r="QF63" i="1" s="1"/>
  <c r="JF55" i="1"/>
  <c r="QF55" i="1" s="1"/>
  <c r="JF47" i="1"/>
  <c r="QF47" i="1" s="1"/>
  <c r="JF39" i="1"/>
  <c r="QF39" i="1" s="1"/>
  <c r="JF31" i="1"/>
  <c r="QF31" i="1" s="1"/>
  <c r="JF23" i="1"/>
  <c r="JF15" i="1"/>
  <c r="JF7" i="1"/>
  <c r="JG81" i="1"/>
  <c r="RK81" i="1" s="1"/>
  <c r="JG73" i="1"/>
  <c r="QG73" i="1" s="1"/>
  <c r="JG65" i="1"/>
  <c r="QG65" i="1" s="1"/>
  <c r="JG57" i="1"/>
  <c r="RK57" i="1" s="1"/>
  <c r="JG49" i="1"/>
  <c r="RK49" i="1" s="1"/>
  <c r="JG41" i="1"/>
  <c r="QG41" i="1" s="1"/>
  <c r="JG33" i="1"/>
  <c r="RK33" i="1" s="1"/>
  <c r="JG25" i="1"/>
  <c r="RK25" i="1" s="1"/>
  <c r="JG17" i="1"/>
  <c r="RK17" i="1" s="1"/>
  <c r="JG9" i="1"/>
  <c r="QG9" i="1" s="1"/>
  <c r="JH83" i="1"/>
  <c r="QH83" i="1" s="1"/>
  <c r="JH35" i="1"/>
  <c r="QH35" i="1" s="1"/>
  <c r="JH27" i="1"/>
  <c r="QH27" i="1" s="1"/>
  <c r="JI61" i="1"/>
  <c r="QI61" i="1" s="1"/>
  <c r="JI13" i="1"/>
  <c r="QI13" i="1" s="1"/>
  <c r="JJ86" i="1"/>
  <c r="JJ78" i="1"/>
  <c r="JJ70" i="1"/>
  <c r="JJ62" i="1"/>
  <c r="QJ62" i="1" s="1"/>
  <c r="JJ54" i="1"/>
  <c r="QJ54" i="1" s="1"/>
  <c r="JJ46" i="1"/>
  <c r="JJ38" i="1"/>
  <c r="JJ30" i="1"/>
  <c r="QJ30" i="1" s="1"/>
  <c r="JJ22" i="1"/>
  <c r="QJ22" i="1" s="1"/>
  <c r="JJ14" i="1"/>
  <c r="JK88" i="1"/>
  <c r="JK80" i="1"/>
  <c r="JK72" i="1"/>
  <c r="JK64" i="1"/>
  <c r="JK56" i="1"/>
  <c r="JK48" i="1"/>
  <c r="JK40" i="1"/>
  <c r="JK32" i="1"/>
  <c r="QK32" i="1" s="1"/>
  <c r="JK24" i="1"/>
  <c r="QK24" i="1" s="1"/>
  <c r="JK16" i="1"/>
  <c r="JK8" i="1"/>
  <c r="JO7" i="1"/>
  <c r="RM7" i="1" s="1"/>
  <c r="JO11" i="1"/>
  <c r="RM11" i="1" s="1"/>
  <c r="JO15" i="1"/>
  <c r="RM15" i="1" s="1"/>
  <c r="JO19" i="1"/>
  <c r="RM19" i="1" s="1"/>
  <c r="JO23" i="1"/>
  <c r="RM23" i="1" s="1"/>
  <c r="JO27" i="1"/>
  <c r="RM27" i="1" s="1"/>
  <c r="JO31" i="1"/>
  <c r="RM31" i="1" s="1"/>
  <c r="JO35" i="1"/>
  <c r="RM35" i="1" s="1"/>
  <c r="JO39" i="1"/>
  <c r="QO39" i="1" s="1"/>
  <c r="JO43" i="1"/>
  <c r="RM43" i="1" s="1"/>
  <c r="JO47" i="1"/>
  <c r="RM47" i="1" s="1"/>
  <c r="JO51" i="1"/>
  <c r="RM51" i="1" s="1"/>
  <c r="JO55" i="1"/>
  <c r="QO55" i="1" s="1"/>
  <c r="JO59" i="1"/>
  <c r="RM59" i="1" s="1"/>
  <c r="JO63" i="1"/>
  <c r="QO63" i="1" s="1"/>
  <c r="JO67" i="1"/>
  <c r="RM67" i="1" s="1"/>
  <c r="JO71" i="1"/>
  <c r="RM71" i="1" s="1"/>
  <c r="JO75" i="1"/>
  <c r="RM75" i="1" s="1"/>
  <c r="JO79" i="1"/>
  <c r="RM79" i="1" s="1"/>
  <c r="JO83" i="1"/>
  <c r="QO83" i="1" s="1"/>
  <c r="JO87" i="1"/>
  <c r="RM87" i="1" s="1"/>
  <c r="JQ45" i="1"/>
  <c r="QQ45" i="1" s="1"/>
  <c r="JQ29" i="1"/>
  <c r="QQ29" i="1" s="1"/>
  <c r="JQ21" i="1"/>
  <c r="QQ21" i="1" s="1"/>
  <c r="JQ13" i="1"/>
  <c r="QQ13" i="1" s="1"/>
  <c r="JR87" i="1"/>
  <c r="QR87" i="1" s="1"/>
  <c r="JR79" i="1"/>
  <c r="JR71" i="1"/>
  <c r="JR63" i="1"/>
  <c r="JR55" i="1"/>
  <c r="QR55" i="1" s="1"/>
  <c r="JR47" i="1"/>
  <c r="JR39" i="1"/>
  <c r="QR39" i="1" s="1"/>
  <c r="JR31" i="1"/>
  <c r="JR23" i="1"/>
  <c r="JR15" i="1"/>
  <c r="JR7" i="1"/>
  <c r="JS81" i="1"/>
  <c r="RN81" i="1" s="1"/>
  <c r="JS73" i="1"/>
  <c r="QS73" i="1" s="1"/>
  <c r="JS65" i="1"/>
  <c r="RN65" i="1" s="1"/>
  <c r="JS57" i="1"/>
  <c r="RN57" i="1" s="1"/>
  <c r="JS49" i="1"/>
  <c r="RN49" i="1" s="1"/>
  <c r="JS41" i="1"/>
  <c r="RN41" i="1" s="1"/>
  <c r="JS33" i="1"/>
  <c r="RN33" i="1" s="1"/>
  <c r="JS25" i="1"/>
  <c r="RN25" i="1" s="1"/>
  <c r="JS17" i="1"/>
  <c r="RN17" i="1" s="1"/>
  <c r="JS9" i="1"/>
  <c r="RN9" i="1" s="1"/>
  <c r="JU8" i="1"/>
  <c r="JU10" i="1"/>
  <c r="JU12" i="1"/>
  <c r="JU14" i="1"/>
  <c r="JU16" i="1"/>
  <c r="JU18" i="1"/>
  <c r="QU18" i="1" s="1"/>
  <c r="JU20" i="1"/>
  <c r="JU22" i="1"/>
  <c r="JU24" i="1"/>
  <c r="JU26" i="1"/>
  <c r="JU28" i="1"/>
  <c r="JU30" i="1"/>
  <c r="QU30" i="1" s="1"/>
  <c r="JU32" i="1"/>
  <c r="QU32" i="1" s="1"/>
  <c r="JU34" i="1"/>
  <c r="JU36" i="1"/>
  <c r="QU36" i="1" s="1"/>
  <c r="JU38" i="1"/>
  <c r="JU40" i="1"/>
  <c r="QU40" i="1" s="1"/>
  <c r="JU42" i="1"/>
  <c r="JU44" i="1"/>
  <c r="QU44" i="1" s="1"/>
  <c r="JU46" i="1"/>
  <c r="JU48" i="1"/>
  <c r="JU50" i="1"/>
  <c r="JU52" i="1"/>
  <c r="JU54" i="1"/>
  <c r="JU56" i="1"/>
  <c r="JU58" i="1"/>
  <c r="JU60" i="1"/>
  <c r="JU62" i="1"/>
  <c r="JU64" i="1"/>
  <c r="JU66" i="1"/>
  <c r="JU68" i="1"/>
  <c r="JU70" i="1"/>
  <c r="JU72" i="1"/>
  <c r="JU74" i="1"/>
  <c r="JU76" i="1"/>
  <c r="JU78" i="1"/>
  <c r="JU80" i="1"/>
  <c r="JU82" i="1"/>
  <c r="JU84" i="1"/>
  <c r="JU88" i="1"/>
  <c r="JY8" i="1"/>
  <c r="RP8" i="1" s="1"/>
  <c r="JY10" i="1"/>
  <c r="RP10" i="1" s="1"/>
  <c r="JY12" i="1"/>
  <c r="RP12" i="1" s="1"/>
  <c r="JY14" i="1"/>
  <c r="RP14" i="1" s="1"/>
  <c r="JY16" i="1"/>
  <c r="RP16" i="1" s="1"/>
  <c r="JY18" i="1"/>
  <c r="JY20" i="1"/>
  <c r="RP20" i="1" s="1"/>
  <c r="JY22" i="1"/>
  <c r="RP22" i="1" s="1"/>
  <c r="JY24" i="1"/>
  <c r="RP24" i="1" s="1"/>
  <c r="JY26" i="1"/>
  <c r="RP26" i="1" s="1"/>
  <c r="JY28" i="1"/>
  <c r="RP28" i="1" s="1"/>
  <c r="JY32" i="1"/>
  <c r="RP32" i="1" s="1"/>
  <c r="JY34" i="1"/>
  <c r="RP34" i="1" s="1"/>
  <c r="JY36" i="1"/>
  <c r="RP36" i="1" s="1"/>
  <c r="JY38" i="1"/>
  <c r="RP38" i="1" s="1"/>
  <c r="JY40" i="1"/>
  <c r="RP40" i="1" s="1"/>
  <c r="JY42" i="1"/>
  <c r="RP42" i="1" s="1"/>
  <c r="JY44" i="1"/>
  <c r="RP44" i="1" s="1"/>
  <c r="JY46" i="1"/>
  <c r="RP46" i="1" s="1"/>
  <c r="JY48" i="1"/>
  <c r="RP48" i="1" s="1"/>
  <c r="JY50" i="1"/>
  <c r="RP50" i="1" s="1"/>
  <c r="JY52" i="1"/>
  <c r="RP52" i="1" s="1"/>
  <c r="JY54" i="1"/>
  <c r="RP54" i="1" s="1"/>
  <c r="JY56" i="1"/>
  <c r="RP56" i="1" s="1"/>
  <c r="JY58" i="1"/>
  <c r="RP58" i="1" s="1"/>
  <c r="JY60" i="1"/>
  <c r="RP60" i="1" s="1"/>
  <c r="JY62" i="1"/>
  <c r="RP62" i="1" s="1"/>
  <c r="JY64" i="1"/>
  <c r="RP64" i="1" s="1"/>
  <c r="JY66" i="1"/>
  <c r="RP66" i="1" s="1"/>
  <c r="JY68" i="1"/>
  <c r="RP68" i="1" s="1"/>
  <c r="JY70" i="1"/>
  <c r="RP70" i="1" s="1"/>
  <c r="JY72" i="1"/>
  <c r="RP72" i="1" s="1"/>
  <c r="JY74" i="1"/>
  <c r="RP74" i="1" s="1"/>
  <c r="JY76" i="1"/>
  <c r="RP76" i="1" s="1"/>
  <c r="JY78" i="1"/>
  <c r="RP78" i="1" s="1"/>
  <c r="JY80" i="1"/>
  <c r="RP80" i="1" s="1"/>
  <c r="JY82" i="1"/>
  <c r="RP82" i="1" s="1"/>
  <c r="JY84" i="1"/>
  <c r="RP84" i="1" s="1"/>
  <c r="JY86" i="1"/>
  <c r="RP86" i="1" s="1"/>
  <c r="JY88" i="1"/>
  <c r="RP88" i="1" s="1"/>
  <c r="JC88" i="1"/>
  <c r="QC88" i="1" s="1"/>
  <c r="JC80" i="1"/>
  <c r="RJ80" i="1" s="1"/>
  <c r="JC72" i="1"/>
  <c r="RJ72" i="1" s="1"/>
  <c r="JC64" i="1"/>
  <c r="RJ64" i="1" s="1"/>
  <c r="JC56" i="1"/>
  <c r="RJ56" i="1" s="1"/>
  <c r="JC48" i="1"/>
  <c r="RJ48" i="1" s="1"/>
  <c r="JC40" i="1"/>
  <c r="RJ40" i="1" s="1"/>
  <c r="JC32" i="1"/>
  <c r="RJ32" i="1" s="1"/>
  <c r="JC24" i="1"/>
  <c r="RJ24" i="1" s="1"/>
  <c r="JC16" i="1"/>
  <c r="QC16" i="1" s="1"/>
  <c r="JC8" i="1"/>
  <c r="RJ8" i="1" s="1"/>
  <c r="JD66" i="1"/>
  <c r="QD66" i="1" s="1"/>
  <c r="JD42" i="1"/>
  <c r="QD42" i="1" s="1"/>
  <c r="JD26" i="1"/>
  <c r="QD26" i="1" s="1"/>
  <c r="JD18" i="1"/>
  <c r="QD18" i="1" s="1"/>
  <c r="JD10" i="1"/>
  <c r="QD10" i="1" s="1"/>
  <c r="JE84" i="1"/>
  <c r="QE84" i="1" s="1"/>
  <c r="JE76" i="1"/>
  <c r="QE76" i="1" s="1"/>
  <c r="JE68" i="1"/>
  <c r="QE68" i="1" s="1"/>
  <c r="JE52" i="1"/>
  <c r="QE52" i="1" s="1"/>
  <c r="JE44" i="1"/>
  <c r="QE44" i="1" s="1"/>
  <c r="JE36" i="1"/>
  <c r="QE36" i="1" s="1"/>
  <c r="JE28" i="1"/>
  <c r="QE28" i="1" s="1"/>
  <c r="JE20" i="1"/>
  <c r="QE20" i="1" s="1"/>
  <c r="JF86" i="1"/>
  <c r="QF86" i="1" s="1"/>
  <c r="JF78" i="1"/>
  <c r="QF78" i="1" s="1"/>
  <c r="JF70" i="1"/>
  <c r="QF70" i="1" s="1"/>
  <c r="JF62" i="1"/>
  <c r="QF62" i="1" s="1"/>
  <c r="JF54" i="1"/>
  <c r="QF54" i="1" s="1"/>
  <c r="JF46" i="1"/>
  <c r="QF46" i="1" s="1"/>
  <c r="JF38" i="1"/>
  <c r="JF30" i="1"/>
  <c r="QF30" i="1" s="1"/>
  <c r="JF22" i="1"/>
  <c r="QF22" i="1" s="1"/>
  <c r="JF14" i="1"/>
  <c r="JG80" i="1"/>
  <c r="QG80" i="1" s="1"/>
  <c r="JG72" i="1"/>
  <c r="RK72" i="1" s="1"/>
  <c r="JG64" i="1"/>
  <c r="RK64" i="1" s="1"/>
  <c r="JG56" i="1"/>
  <c r="QG56" i="1" s="1"/>
  <c r="JG48" i="1"/>
  <c r="RK48" i="1" s="1"/>
  <c r="JG40" i="1"/>
  <c r="QG40" i="1" s="1"/>
  <c r="JG32" i="1"/>
  <c r="QG32" i="1" s="1"/>
  <c r="JG24" i="1"/>
  <c r="QG24" i="1" s="1"/>
  <c r="JG8" i="1"/>
  <c r="RK8" i="1" s="1"/>
  <c r="JH66" i="1"/>
  <c r="QH66" i="1" s="1"/>
  <c r="JH42" i="1"/>
  <c r="QH42" i="1" s="1"/>
  <c r="JH26" i="1"/>
  <c r="QH26" i="1" s="1"/>
  <c r="JI36" i="1"/>
  <c r="QI36" i="1" s="1"/>
  <c r="JI28" i="1"/>
  <c r="QI28" i="1" s="1"/>
  <c r="JI20" i="1"/>
  <c r="QI20" i="1" s="1"/>
  <c r="JJ85" i="1"/>
  <c r="JJ77" i="1"/>
  <c r="JJ69" i="1"/>
  <c r="JJ61" i="1"/>
  <c r="QJ61" i="1" s="1"/>
  <c r="JJ53" i="1"/>
  <c r="JJ45" i="1"/>
  <c r="JJ37" i="1"/>
  <c r="JJ29" i="1"/>
  <c r="JJ21" i="1"/>
  <c r="JJ13" i="1"/>
  <c r="QJ13" i="1" s="1"/>
  <c r="JK87" i="1"/>
  <c r="JK79" i="1"/>
  <c r="JK71" i="1"/>
  <c r="JK63" i="1"/>
  <c r="QK63" i="1" s="1"/>
  <c r="JK55" i="1"/>
  <c r="QK55" i="1" s="1"/>
  <c r="JK47" i="1"/>
  <c r="JK39" i="1"/>
  <c r="QK39" i="1" s="1"/>
  <c r="JK31" i="1"/>
  <c r="JK23" i="1"/>
  <c r="JK15" i="1"/>
  <c r="JM83" i="1"/>
  <c r="JN8" i="1"/>
  <c r="JN12" i="1"/>
  <c r="JN16" i="1"/>
  <c r="JN20" i="1"/>
  <c r="JN24" i="1"/>
  <c r="JN28" i="1"/>
  <c r="JN32" i="1"/>
  <c r="QN32" i="1" s="1"/>
  <c r="JN36" i="1"/>
  <c r="QN36" i="1" s="1"/>
  <c r="JN40" i="1"/>
  <c r="JN44" i="1"/>
  <c r="JN48" i="1"/>
  <c r="JN52" i="1"/>
  <c r="JN56" i="1"/>
  <c r="JN60" i="1"/>
  <c r="JN64" i="1"/>
  <c r="JN68" i="1"/>
  <c r="JN72" i="1"/>
  <c r="JN76" i="1"/>
  <c r="JN80" i="1"/>
  <c r="JN84" i="1"/>
  <c r="JN88" i="1"/>
  <c r="JP18" i="1"/>
  <c r="QP18" i="1" s="1"/>
  <c r="JQ60" i="1"/>
  <c r="QQ60" i="1" s="1"/>
  <c r="JQ44" i="1"/>
  <c r="QQ44" i="1" s="1"/>
  <c r="JQ36" i="1"/>
  <c r="QQ36" i="1" s="1"/>
  <c r="JQ20" i="1"/>
  <c r="QQ20" i="1" s="1"/>
  <c r="JR86" i="1"/>
  <c r="QR86" i="1" s="1"/>
  <c r="JR78" i="1"/>
  <c r="JR70" i="1"/>
  <c r="JR62" i="1"/>
  <c r="QR62" i="1" s="1"/>
  <c r="JR54" i="1"/>
  <c r="JR46" i="1"/>
  <c r="QR46" i="1" s="1"/>
  <c r="JR38" i="1"/>
  <c r="JR30" i="1"/>
  <c r="QR30" i="1" s="1"/>
  <c r="JR22" i="1"/>
  <c r="QR22" i="1" s="1"/>
  <c r="JR14" i="1"/>
  <c r="JS88" i="1"/>
  <c r="RN88" i="1" s="1"/>
  <c r="JS80" i="1"/>
  <c r="RN80" i="1" s="1"/>
  <c r="JS72" i="1"/>
  <c r="RN72" i="1" s="1"/>
  <c r="JS64" i="1"/>
  <c r="RN64" i="1" s="1"/>
  <c r="JS56" i="1"/>
  <c r="RN56" i="1" s="1"/>
  <c r="JS48" i="1"/>
  <c r="RN48" i="1" s="1"/>
  <c r="JS32" i="1"/>
  <c r="QS32" i="1" s="1"/>
  <c r="JS24" i="1"/>
  <c r="RN24" i="1" s="1"/>
  <c r="JS16" i="1"/>
  <c r="QS16" i="1" s="1"/>
  <c r="JS8" i="1"/>
  <c r="RN8" i="1" s="1"/>
  <c r="JV8" i="1"/>
  <c r="JV10" i="1"/>
  <c r="JV12" i="1"/>
  <c r="JV14" i="1"/>
  <c r="JV16" i="1"/>
  <c r="JV18" i="1"/>
  <c r="QV18" i="1" s="1"/>
  <c r="JV20" i="1"/>
  <c r="JV22" i="1"/>
  <c r="JV24" i="1"/>
  <c r="JV26" i="1"/>
  <c r="JV28" i="1"/>
  <c r="JV30" i="1"/>
  <c r="QV30" i="1" s="1"/>
  <c r="JV32" i="1"/>
  <c r="QV32" i="1" s="1"/>
  <c r="JV34" i="1"/>
  <c r="JV36" i="1"/>
  <c r="QV36" i="1" s="1"/>
  <c r="JV38" i="1"/>
  <c r="JV40" i="1"/>
  <c r="QV40" i="1" s="1"/>
  <c r="JV42" i="1"/>
  <c r="JV44" i="1"/>
  <c r="QV44" i="1" s="1"/>
  <c r="JV46" i="1"/>
  <c r="JV48" i="1"/>
  <c r="JV50" i="1"/>
  <c r="JV52" i="1"/>
  <c r="JV54" i="1"/>
  <c r="JV56" i="1"/>
  <c r="JV58" i="1"/>
  <c r="JV60" i="1"/>
  <c r="JV62" i="1"/>
  <c r="JV64" i="1"/>
  <c r="JV66" i="1"/>
  <c r="JV68" i="1"/>
  <c r="JV70" i="1"/>
  <c r="JV72" i="1"/>
  <c r="JV74" i="1"/>
  <c r="JV76" i="1"/>
  <c r="JV78" i="1"/>
  <c r="JV80" i="1"/>
  <c r="JV82" i="1"/>
  <c r="JV84" i="1"/>
  <c r="JV88" i="1"/>
  <c r="JZ8" i="1"/>
  <c r="JZ10" i="1"/>
  <c r="JZ12" i="1"/>
  <c r="JZ14" i="1"/>
  <c r="JZ16" i="1"/>
  <c r="JZ18" i="1"/>
  <c r="QZ18" i="1" s="1"/>
  <c r="JZ20" i="1"/>
  <c r="JZ22" i="1"/>
  <c r="JZ24" i="1"/>
  <c r="JZ26" i="1"/>
  <c r="JZ28" i="1"/>
  <c r="JZ32" i="1"/>
  <c r="JZ34" i="1"/>
  <c r="JZ36" i="1"/>
  <c r="JZ38" i="1"/>
  <c r="JZ40" i="1"/>
  <c r="JZ42" i="1"/>
  <c r="JZ44" i="1"/>
  <c r="JZ46" i="1"/>
  <c r="JZ48" i="1"/>
  <c r="JZ50" i="1"/>
  <c r="JZ52" i="1"/>
  <c r="JZ54" i="1"/>
  <c r="JZ56" i="1"/>
  <c r="JZ58" i="1"/>
  <c r="JZ60" i="1"/>
  <c r="JZ62" i="1"/>
  <c r="JZ64" i="1"/>
  <c r="JZ66" i="1"/>
  <c r="JZ68" i="1"/>
  <c r="JZ70" i="1"/>
  <c r="JZ72" i="1"/>
  <c r="JZ74" i="1"/>
  <c r="JZ76" i="1"/>
  <c r="JZ78" i="1"/>
  <c r="JZ80" i="1"/>
  <c r="JZ82" i="1"/>
  <c r="JZ84" i="1"/>
  <c r="OI11" i="1"/>
  <c r="OI19" i="1"/>
  <c r="OI35" i="1"/>
  <c r="OI43" i="1"/>
  <c r="OI27" i="1"/>
  <c r="BI23" i="19"/>
  <c r="BI24" i="19"/>
  <c r="BI25" i="19"/>
  <c r="BI26" i="19"/>
  <c r="OH67" i="1"/>
  <c r="OH59" i="1"/>
  <c r="OH51" i="1"/>
  <c r="OH43" i="1"/>
  <c r="OH35" i="1"/>
  <c r="OH27" i="1"/>
  <c r="OH19" i="1"/>
  <c r="OH11" i="1"/>
  <c r="OJ67" i="1"/>
  <c r="OJ59" i="1"/>
  <c r="OJ51" i="1"/>
  <c r="OJ43" i="1"/>
  <c r="OJ35" i="1"/>
  <c r="OJ27" i="1"/>
  <c r="NR52" i="1"/>
  <c r="OG52" i="1"/>
  <c r="NS84" i="1"/>
  <c r="OH84" i="1"/>
  <c r="NS36" i="1"/>
  <c r="OH36" i="1"/>
  <c r="NT59" i="1"/>
  <c r="OI59" i="1"/>
  <c r="NU76" i="1"/>
  <c r="OJ76" i="1"/>
  <c r="NU36" i="1"/>
  <c r="OJ36" i="1"/>
  <c r="NV44" i="1"/>
  <c r="OK44" i="1"/>
  <c r="NW59" i="1"/>
  <c r="OL59" i="1"/>
  <c r="NX35" i="1"/>
  <c r="OM35" i="1"/>
  <c r="NY58" i="1"/>
  <c r="ON58" i="1"/>
  <c r="NZ58" i="1"/>
  <c r="OO58" i="1"/>
  <c r="OA82" i="1"/>
  <c r="OP82" i="1"/>
  <c r="OA26" i="1"/>
  <c r="OP26" i="1"/>
  <c r="OB50" i="1"/>
  <c r="OQ50" i="1"/>
  <c r="OB10" i="1"/>
  <c r="OQ10" i="1"/>
  <c r="NR58" i="1"/>
  <c r="OG58" i="1"/>
  <c r="NS66" i="1"/>
  <c r="OH66" i="1"/>
  <c r="OG78" i="1"/>
  <c r="OG62" i="1"/>
  <c r="OG46" i="1"/>
  <c r="OG30" i="1"/>
  <c r="OG14" i="1"/>
  <c r="OH86" i="1"/>
  <c r="OH70" i="1"/>
  <c r="OH54" i="1"/>
  <c r="OH38" i="1"/>
  <c r="OH22" i="1"/>
  <c r="NT17" i="1"/>
  <c r="OI17" i="1"/>
  <c r="NT65" i="1"/>
  <c r="OI65" i="1"/>
  <c r="NR85" i="1"/>
  <c r="OG85" i="1"/>
  <c r="NR77" i="1"/>
  <c r="OG77" i="1"/>
  <c r="NR69" i="1"/>
  <c r="OG69" i="1"/>
  <c r="NR61" i="1"/>
  <c r="OG61" i="1"/>
  <c r="NR53" i="1"/>
  <c r="OG53" i="1"/>
  <c r="NR45" i="1"/>
  <c r="OG45" i="1"/>
  <c r="NR37" i="1"/>
  <c r="OG37" i="1"/>
  <c r="NR29" i="1"/>
  <c r="OG29" i="1"/>
  <c r="NR21" i="1"/>
  <c r="OG21" i="1"/>
  <c r="NR13" i="1"/>
  <c r="OG13" i="1"/>
  <c r="NR84" i="1"/>
  <c r="OG84" i="1"/>
  <c r="NR36" i="1"/>
  <c r="OG36" i="1"/>
  <c r="NS76" i="1"/>
  <c r="OH76" i="1"/>
  <c r="NS28" i="1"/>
  <c r="OH28" i="1"/>
  <c r="NT67" i="1"/>
  <c r="OI67" i="1"/>
  <c r="NU84" i="1"/>
  <c r="OJ84" i="1"/>
  <c r="NU28" i="1"/>
  <c r="OJ28" i="1"/>
  <c r="NV84" i="1"/>
  <c r="OK84" i="1"/>
  <c r="NV28" i="1"/>
  <c r="OK28" i="1"/>
  <c r="NW19" i="1"/>
  <c r="OL19" i="1"/>
  <c r="NW67" i="1"/>
  <c r="OL67" i="1"/>
  <c r="NX60" i="1"/>
  <c r="OM60" i="1"/>
  <c r="NX11" i="1"/>
  <c r="OM11" i="1"/>
  <c r="NY42" i="1"/>
  <c r="ON42" i="1"/>
  <c r="NZ82" i="1"/>
  <c r="OO82" i="1"/>
  <c r="NZ26" i="1"/>
  <c r="OO26" i="1"/>
  <c r="OA74" i="1"/>
  <c r="OP74" i="1"/>
  <c r="OA18" i="1"/>
  <c r="OP18" i="1"/>
  <c r="OB58" i="1"/>
  <c r="OQ58" i="1"/>
  <c r="NR83" i="1"/>
  <c r="OG83" i="1"/>
  <c r="NR75" i="1"/>
  <c r="OG75" i="1"/>
  <c r="NR67" i="1"/>
  <c r="OG67" i="1"/>
  <c r="NR59" i="1"/>
  <c r="OG59" i="1"/>
  <c r="NR51" i="1"/>
  <c r="OG51" i="1"/>
  <c r="NR43" i="1"/>
  <c r="OG43" i="1"/>
  <c r="NR35" i="1"/>
  <c r="OG35" i="1"/>
  <c r="NR27" i="1"/>
  <c r="OG27" i="1"/>
  <c r="NR19" i="1"/>
  <c r="OG19" i="1"/>
  <c r="NR11" i="1"/>
  <c r="OG11" i="1"/>
  <c r="NS83" i="1"/>
  <c r="OH83" i="1"/>
  <c r="NS75" i="1"/>
  <c r="OH75" i="1"/>
  <c r="NV52" i="1"/>
  <c r="OK52" i="1"/>
  <c r="NW43" i="1"/>
  <c r="OL43" i="1"/>
  <c r="NX52" i="1"/>
  <c r="OM52" i="1"/>
  <c r="NY82" i="1"/>
  <c r="ON82" i="1"/>
  <c r="NY26" i="1"/>
  <c r="ON26" i="1"/>
  <c r="NZ66" i="1"/>
  <c r="OO66" i="1"/>
  <c r="NZ18" i="1"/>
  <c r="OO18" i="1"/>
  <c r="OA34" i="1"/>
  <c r="OP34" i="1"/>
  <c r="OB82" i="1"/>
  <c r="OQ82" i="1"/>
  <c r="OB18" i="1"/>
  <c r="OQ18" i="1"/>
  <c r="NR82" i="1"/>
  <c r="OG82" i="1"/>
  <c r="NR34" i="1"/>
  <c r="OG34" i="1"/>
  <c r="NS74" i="1"/>
  <c r="OH74" i="1"/>
  <c r="NS26" i="1"/>
  <c r="OH26" i="1"/>
  <c r="NT13" i="1"/>
  <c r="OI13" i="1"/>
  <c r="NT45" i="1"/>
  <c r="OI45" i="1"/>
  <c r="NT69" i="1"/>
  <c r="OI69" i="1"/>
  <c r="NU66" i="1"/>
  <c r="OJ66" i="1"/>
  <c r="NU50" i="1"/>
  <c r="OJ50" i="1"/>
  <c r="NU18" i="1"/>
  <c r="OJ18" i="1"/>
  <c r="NV74" i="1"/>
  <c r="OK74" i="1"/>
  <c r="NV50" i="1"/>
  <c r="OK50" i="1"/>
  <c r="NV18" i="1"/>
  <c r="OK18" i="1"/>
  <c r="NW13" i="1"/>
  <c r="OL13" i="1"/>
  <c r="NW21" i="1"/>
  <c r="OL21" i="1"/>
  <c r="NW29" i="1"/>
  <c r="OL29" i="1"/>
  <c r="NW37" i="1"/>
  <c r="OL37" i="1"/>
  <c r="NW45" i="1"/>
  <c r="OL45" i="1"/>
  <c r="NW53" i="1"/>
  <c r="OL53" i="1"/>
  <c r="NW61" i="1"/>
  <c r="OL61" i="1"/>
  <c r="NW69" i="1"/>
  <c r="OL69" i="1"/>
  <c r="NX82" i="1"/>
  <c r="OM82" i="1"/>
  <c r="NX74" i="1"/>
  <c r="OM74" i="1"/>
  <c r="NR28" i="1"/>
  <c r="OG28" i="1"/>
  <c r="NS60" i="1"/>
  <c r="OH60" i="1"/>
  <c r="NS12" i="1"/>
  <c r="OH12" i="1"/>
  <c r="NT75" i="1"/>
  <c r="OI75" i="1"/>
  <c r="NU60" i="1"/>
  <c r="OJ60" i="1"/>
  <c r="NU12" i="1"/>
  <c r="OJ12" i="1"/>
  <c r="NV68" i="1"/>
  <c r="OK68" i="1"/>
  <c r="NV12" i="1"/>
  <c r="OK12" i="1"/>
  <c r="NW35" i="1"/>
  <c r="OL35" i="1"/>
  <c r="NX84" i="1"/>
  <c r="OM84" i="1"/>
  <c r="NX27" i="1"/>
  <c r="OM27" i="1"/>
  <c r="NY74" i="1"/>
  <c r="ON74" i="1"/>
  <c r="NY18" i="1"/>
  <c r="ON18" i="1"/>
  <c r="NZ50" i="1"/>
  <c r="OO50" i="1"/>
  <c r="OA58" i="1"/>
  <c r="OP58" i="1"/>
  <c r="OB74" i="1"/>
  <c r="OQ74" i="1"/>
  <c r="OB26" i="1"/>
  <c r="OQ26" i="1"/>
  <c r="NR74" i="1"/>
  <c r="OG74" i="1"/>
  <c r="NR26" i="1"/>
  <c r="OG26" i="1"/>
  <c r="NS82" i="1"/>
  <c r="OH82" i="1"/>
  <c r="NS34" i="1"/>
  <c r="OH34" i="1"/>
  <c r="NT21" i="1"/>
  <c r="OI21" i="1"/>
  <c r="NT53" i="1"/>
  <c r="OI53" i="1"/>
  <c r="NT85" i="1"/>
  <c r="OI85" i="1"/>
  <c r="NU82" i="1"/>
  <c r="OJ82" i="1"/>
  <c r="NU42" i="1"/>
  <c r="OJ42" i="1"/>
  <c r="NU10" i="1"/>
  <c r="OJ10" i="1"/>
  <c r="NV66" i="1"/>
  <c r="OK66" i="1"/>
  <c r="NV34" i="1"/>
  <c r="OK34" i="1"/>
  <c r="NR81" i="1"/>
  <c r="OG81" i="1"/>
  <c r="NR73" i="1"/>
  <c r="OG73" i="1"/>
  <c r="NR65" i="1"/>
  <c r="OG65" i="1"/>
  <c r="NR57" i="1"/>
  <c r="OG57" i="1"/>
  <c r="NR49" i="1"/>
  <c r="OG49" i="1"/>
  <c r="NR41" i="1"/>
  <c r="OG41" i="1"/>
  <c r="NR33" i="1"/>
  <c r="OG33" i="1"/>
  <c r="NR25" i="1"/>
  <c r="OG25" i="1"/>
  <c r="NR17" i="1"/>
  <c r="OG17" i="1"/>
  <c r="NR9" i="1"/>
  <c r="OG9" i="1"/>
  <c r="NR68" i="1"/>
  <c r="OG68" i="1"/>
  <c r="NR20" i="1"/>
  <c r="OG20" i="1"/>
  <c r="NS52" i="1"/>
  <c r="OH52" i="1"/>
  <c r="NU52" i="1"/>
  <c r="OJ52" i="1"/>
  <c r="NV60" i="1"/>
  <c r="OK60" i="1"/>
  <c r="NW11" i="1"/>
  <c r="OL11" i="1"/>
  <c r="NW75" i="1"/>
  <c r="OL75" i="1"/>
  <c r="NX76" i="1"/>
  <c r="OM76" i="1"/>
  <c r="NY66" i="1"/>
  <c r="ON66" i="1"/>
  <c r="NY10" i="1"/>
  <c r="ON10" i="1"/>
  <c r="NZ74" i="1"/>
  <c r="OO74" i="1"/>
  <c r="NZ10" i="1"/>
  <c r="OO10" i="1"/>
  <c r="OA42" i="1"/>
  <c r="OP42" i="1"/>
  <c r="OB66" i="1"/>
  <c r="OQ66" i="1"/>
  <c r="NR42" i="1"/>
  <c r="OG42" i="1"/>
  <c r="NS50" i="1"/>
  <c r="OH50" i="1"/>
  <c r="NS18" i="1"/>
  <c r="OH18" i="1"/>
  <c r="NT29" i="1"/>
  <c r="OI29" i="1"/>
  <c r="NT61" i="1"/>
  <c r="OI61" i="1"/>
  <c r="NU74" i="1"/>
  <c r="OJ74" i="1"/>
  <c r="NU34" i="1"/>
  <c r="OJ34" i="1"/>
  <c r="NV82" i="1"/>
  <c r="OK82" i="1"/>
  <c r="NV42" i="1"/>
  <c r="OK42" i="1"/>
  <c r="NV10" i="1"/>
  <c r="OK10" i="1"/>
  <c r="NW85" i="1"/>
  <c r="OL85" i="1"/>
  <c r="OG80" i="1"/>
  <c r="OG64" i="1"/>
  <c r="OG48" i="1"/>
  <c r="OG32" i="1"/>
  <c r="OG24" i="1"/>
  <c r="OG16" i="1"/>
  <c r="OG8" i="1"/>
  <c r="NR76" i="1"/>
  <c r="OG76" i="1"/>
  <c r="NR44" i="1"/>
  <c r="OG44" i="1"/>
  <c r="NS44" i="1"/>
  <c r="OH44" i="1"/>
  <c r="NT83" i="1"/>
  <c r="OI83" i="1"/>
  <c r="NU68" i="1"/>
  <c r="OJ68" i="1"/>
  <c r="NU20" i="1"/>
  <c r="OJ20" i="1"/>
  <c r="NV76" i="1"/>
  <c r="OK76" i="1"/>
  <c r="NV20" i="1"/>
  <c r="OK20" i="1"/>
  <c r="NW27" i="1"/>
  <c r="OL27" i="1"/>
  <c r="NW83" i="1"/>
  <c r="OL83" i="1"/>
  <c r="NX68" i="1"/>
  <c r="OM68" i="1"/>
  <c r="NX19" i="1"/>
  <c r="OM19" i="1"/>
  <c r="NY50" i="1"/>
  <c r="ON50" i="1"/>
  <c r="NZ34" i="1"/>
  <c r="OO34" i="1"/>
  <c r="OA66" i="1"/>
  <c r="OP66" i="1"/>
  <c r="OA10" i="1"/>
  <c r="OP10" i="1"/>
  <c r="OB42" i="1"/>
  <c r="OQ42" i="1"/>
  <c r="NR66" i="1"/>
  <c r="OG66" i="1"/>
  <c r="NR18" i="1"/>
  <c r="OG18" i="1"/>
  <c r="NS42" i="1"/>
  <c r="OH42" i="1"/>
  <c r="NS10" i="1"/>
  <c r="OH10" i="1"/>
  <c r="NT37" i="1"/>
  <c r="OI37" i="1"/>
  <c r="NT77" i="1"/>
  <c r="OI77" i="1"/>
  <c r="NU58" i="1"/>
  <c r="OJ58" i="1"/>
  <c r="NU26" i="1"/>
  <c r="OJ26" i="1"/>
  <c r="NV58" i="1"/>
  <c r="OK58" i="1"/>
  <c r="NV26" i="1"/>
  <c r="OK26" i="1"/>
  <c r="NW77" i="1"/>
  <c r="OL77" i="1"/>
  <c r="OG88" i="1"/>
  <c r="OG72" i="1"/>
  <c r="OG56" i="1"/>
  <c r="OG40" i="1"/>
  <c r="NR87" i="1"/>
  <c r="OG87" i="1"/>
  <c r="NR79" i="1"/>
  <c r="OG79" i="1"/>
  <c r="NR71" i="1"/>
  <c r="OG71" i="1"/>
  <c r="NR63" i="1"/>
  <c r="OG63" i="1"/>
  <c r="NR55" i="1"/>
  <c r="OG55" i="1"/>
  <c r="NR47" i="1"/>
  <c r="OG47" i="1"/>
  <c r="NR39" i="1"/>
  <c r="OG39" i="1"/>
  <c r="NR31" i="1"/>
  <c r="OG31" i="1"/>
  <c r="NR23" i="1"/>
  <c r="OG23" i="1"/>
  <c r="NR15" i="1"/>
  <c r="OG15" i="1"/>
  <c r="NR7" i="1"/>
  <c r="OG7" i="1"/>
  <c r="NR60" i="1"/>
  <c r="OG60" i="1"/>
  <c r="NR12" i="1"/>
  <c r="OG12" i="1"/>
  <c r="NS68" i="1"/>
  <c r="OH68" i="1"/>
  <c r="NS20" i="1"/>
  <c r="OH20" i="1"/>
  <c r="NT51" i="1"/>
  <c r="OI51" i="1"/>
  <c r="NU44" i="1"/>
  <c r="OJ44" i="1"/>
  <c r="NV36" i="1"/>
  <c r="OK36" i="1"/>
  <c r="NW51" i="1"/>
  <c r="OL51" i="1"/>
  <c r="NX44" i="1"/>
  <c r="OM44" i="1"/>
  <c r="NY34" i="1"/>
  <c r="ON34" i="1"/>
  <c r="NZ42" i="1"/>
  <c r="OO42" i="1"/>
  <c r="OA50" i="1"/>
  <c r="OP50" i="1"/>
  <c r="OB34" i="1"/>
  <c r="OQ34" i="1"/>
  <c r="NR50" i="1"/>
  <c r="OG50" i="1"/>
  <c r="NR10" i="1"/>
  <c r="OG10" i="1"/>
  <c r="NS58" i="1"/>
  <c r="OH58" i="1"/>
  <c r="OG86" i="1"/>
  <c r="OG70" i="1"/>
  <c r="OG54" i="1"/>
  <c r="OG38" i="1"/>
  <c r="OG22" i="1"/>
  <c r="OH78" i="1"/>
  <c r="OH62" i="1"/>
  <c r="OH46" i="1"/>
  <c r="OH30" i="1"/>
  <c r="OH14" i="1"/>
  <c r="NT9" i="1"/>
  <c r="OI9" i="1"/>
  <c r="NT25" i="1"/>
  <c r="OI25" i="1"/>
  <c r="NT33" i="1"/>
  <c r="OI33" i="1"/>
  <c r="NT41" i="1"/>
  <c r="OI41" i="1"/>
  <c r="NT49" i="1"/>
  <c r="OI49" i="1"/>
  <c r="NT57" i="1"/>
  <c r="OI57" i="1"/>
  <c r="NT73" i="1"/>
  <c r="OI73" i="1"/>
  <c r="NT81" i="1"/>
  <c r="OI81" i="1"/>
  <c r="OJ86" i="1"/>
  <c r="OJ78" i="1"/>
  <c r="OJ70" i="1"/>
  <c r="OJ62" i="1"/>
  <c r="OJ54" i="1"/>
  <c r="OJ46" i="1"/>
  <c r="OJ38" i="1"/>
  <c r="OJ30" i="1"/>
  <c r="OJ22" i="1"/>
  <c r="NS85" i="1"/>
  <c r="OH85" i="1"/>
  <c r="NS77" i="1"/>
  <c r="OH77" i="1"/>
  <c r="NS69" i="1"/>
  <c r="OH69" i="1"/>
  <c r="NS61" i="1"/>
  <c r="OH61" i="1"/>
  <c r="NS53" i="1"/>
  <c r="OH53" i="1"/>
  <c r="NS45" i="1"/>
  <c r="OH45" i="1"/>
  <c r="NS37" i="1"/>
  <c r="OH37" i="1"/>
  <c r="NS29" i="1"/>
  <c r="OH29" i="1"/>
  <c r="NS21" i="1"/>
  <c r="OH21" i="1"/>
  <c r="NS13" i="1"/>
  <c r="OH13" i="1"/>
  <c r="NT10" i="1"/>
  <c r="OI10" i="1"/>
  <c r="NT18" i="1"/>
  <c r="OI18" i="1"/>
  <c r="NT26" i="1"/>
  <c r="OI26" i="1"/>
  <c r="NT34" i="1"/>
  <c r="OI34" i="1"/>
  <c r="NT42" i="1"/>
  <c r="OI42" i="1"/>
  <c r="NT50" i="1"/>
  <c r="OI50" i="1"/>
  <c r="NT58" i="1"/>
  <c r="OI58" i="1"/>
  <c r="NT66" i="1"/>
  <c r="OI66" i="1"/>
  <c r="NT74" i="1"/>
  <c r="OI74" i="1"/>
  <c r="NT82" i="1"/>
  <c r="OI82" i="1"/>
  <c r="NU85" i="1"/>
  <c r="OJ85" i="1"/>
  <c r="NU77" i="1"/>
  <c r="OJ77" i="1"/>
  <c r="NU69" i="1"/>
  <c r="OJ69" i="1"/>
  <c r="NU61" i="1"/>
  <c r="OJ61" i="1"/>
  <c r="NU53" i="1"/>
  <c r="OJ53" i="1"/>
  <c r="NU45" i="1"/>
  <c r="OJ45" i="1"/>
  <c r="NU37" i="1"/>
  <c r="OJ37" i="1"/>
  <c r="NU29" i="1"/>
  <c r="OJ29" i="1"/>
  <c r="NU21" i="1"/>
  <c r="OJ21" i="1"/>
  <c r="NU13" i="1"/>
  <c r="OJ13" i="1"/>
  <c r="NV85" i="1"/>
  <c r="OK85" i="1"/>
  <c r="NV77" i="1"/>
  <c r="OK77" i="1"/>
  <c r="NV69" i="1"/>
  <c r="OK69" i="1"/>
  <c r="NV61" i="1"/>
  <c r="OK61" i="1"/>
  <c r="NV53" i="1"/>
  <c r="OK53" i="1"/>
  <c r="NV45" i="1"/>
  <c r="OK45" i="1"/>
  <c r="NV37" i="1"/>
  <c r="OK37" i="1"/>
  <c r="NV29" i="1"/>
  <c r="OK29" i="1"/>
  <c r="NV21" i="1"/>
  <c r="OK21" i="1"/>
  <c r="NV13" i="1"/>
  <c r="OK13" i="1"/>
  <c r="NW10" i="1"/>
  <c r="OL10" i="1"/>
  <c r="NW18" i="1"/>
  <c r="OL18" i="1"/>
  <c r="NW26" i="1"/>
  <c r="OL26" i="1"/>
  <c r="NW34" i="1"/>
  <c r="OL34" i="1"/>
  <c r="NW42" i="1"/>
  <c r="OL42" i="1"/>
  <c r="NW50" i="1"/>
  <c r="OL50" i="1"/>
  <c r="NW58" i="1"/>
  <c r="OL58" i="1"/>
  <c r="NW66" i="1"/>
  <c r="OL66" i="1"/>
  <c r="NW74" i="1"/>
  <c r="OL74" i="1"/>
  <c r="NW82" i="1"/>
  <c r="OL82" i="1"/>
  <c r="OM85" i="1"/>
  <c r="OM77" i="1"/>
  <c r="OM69" i="1"/>
  <c r="OM61" i="1"/>
  <c r="OM53" i="1"/>
  <c r="OM45" i="1"/>
  <c r="OM36" i="1"/>
  <c r="OM28" i="1"/>
  <c r="OM20" i="1"/>
  <c r="OM12" i="1"/>
  <c r="NY83" i="1"/>
  <c r="ON83" i="1"/>
  <c r="NY75" i="1"/>
  <c r="ON75" i="1"/>
  <c r="NY67" i="1"/>
  <c r="ON67" i="1"/>
  <c r="NY59" i="1"/>
  <c r="ON59" i="1"/>
  <c r="NY51" i="1"/>
  <c r="ON51" i="1"/>
  <c r="NY43" i="1"/>
  <c r="ON43" i="1"/>
  <c r="NY35" i="1"/>
  <c r="ON35" i="1"/>
  <c r="NY27" i="1"/>
  <c r="ON27" i="1"/>
  <c r="NY19" i="1"/>
  <c r="ON19" i="1"/>
  <c r="NY11" i="1"/>
  <c r="ON11" i="1"/>
  <c r="NZ83" i="1"/>
  <c r="OO83" i="1"/>
  <c r="NZ75" i="1"/>
  <c r="OO75" i="1"/>
  <c r="NZ67" i="1"/>
  <c r="OO67" i="1"/>
  <c r="NZ59" i="1"/>
  <c r="OO59" i="1"/>
  <c r="NZ51" i="1"/>
  <c r="OO51" i="1"/>
  <c r="NZ43" i="1"/>
  <c r="OO43" i="1"/>
  <c r="NZ35" i="1"/>
  <c r="OO35" i="1"/>
  <c r="NZ27" i="1"/>
  <c r="OO27" i="1"/>
  <c r="NZ19" i="1"/>
  <c r="OO19" i="1"/>
  <c r="NZ11" i="1"/>
  <c r="OO11" i="1"/>
  <c r="OA83" i="1"/>
  <c r="OP83" i="1"/>
  <c r="OA75" i="1"/>
  <c r="OP75" i="1"/>
  <c r="OA67" i="1"/>
  <c r="OP67" i="1"/>
  <c r="OA59" i="1"/>
  <c r="OP59" i="1"/>
  <c r="OA51" i="1"/>
  <c r="OP51" i="1"/>
  <c r="OA43" i="1"/>
  <c r="OP43" i="1"/>
  <c r="OA35" i="1"/>
  <c r="OP35" i="1"/>
  <c r="OA27" i="1"/>
  <c r="OP27" i="1"/>
  <c r="OA19" i="1"/>
  <c r="OP19" i="1"/>
  <c r="OA11" i="1"/>
  <c r="OP11" i="1"/>
  <c r="OB83" i="1"/>
  <c r="OQ83" i="1"/>
  <c r="OB75" i="1"/>
  <c r="OQ75" i="1"/>
  <c r="OB67" i="1"/>
  <c r="OQ67" i="1"/>
  <c r="OB59" i="1"/>
  <c r="OQ59" i="1"/>
  <c r="OB51" i="1"/>
  <c r="OQ51" i="1"/>
  <c r="OB43" i="1"/>
  <c r="OQ43" i="1"/>
  <c r="OB35" i="1"/>
  <c r="OQ35" i="1"/>
  <c r="OB27" i="1"/>
  <c r="OQ27" i="1"/>
  <c r="OB19" i="1"/>
  <c r="OQ19" i="1"/>
  <c r="OB11" i="1"/>
  <c r="OQ11" i="1"/>
  <c r="OI12" i="1"/>
  <c r="OI20" i="1"/>
  <c r="OI28" i="1"/>
  <c r="OI36" i="1"/>
  <c r="OI44" i="1"/>
  <c r="OI52" i="1"/>
  <c r="OI60" i="1"/>
  <c r="OI68" i="1"/>
  <c r="OI76" i="1"/>
  <c r="OI84" i="1"/>
  <c r="NU83" i="1"/>
  <c r="OJ83" i="1"/>
  <c r="NU75" i="1"/>
  <c r="OJ75" i="1"/>
  <c r="NU19" i="1"/>
  <c r="OJ19" i="1"/>
  <c r="NU11" i="1"/>
  <c r="OJ11" i="1"/>
  <c r="NV83" i="1"/>
  <c r="OK83" i="1"/>
  <c r="NV75" i="1"/>
  <c r="OK75" i="1"/>
  <c r="NV67" i="1"/>
  <c r="OK67" i="1"/>
  <c r="NV59" i="1"/>
  <c r="OK59" i="1"/>
  <c r="NV51" i="1"/>
  <c r="OK51" i="1"/>
  <c r="NV43" i="1"/>
  <c r="OK43" i="1"/>
  <c r="NV35" i="1"/>
  <c r="OK35" i="1"/>
  <c r="NV27" i="1"/>
  <c r="OK27" i="1"/>
  <c r="NV19" i="1"/>
  <c r="OK19" i="1"/>
  <c r="NV11" i="1"/>
  <c r="OK11" i="1"/>
  <c r="OL12" i="1"/>
  <c r="OL20" i="1"/>
  <c r="OL28" i="1"/>
  <c r="OL36" i="1"/>
  <c r="OL44" i="1"/>
  <c r="OL52" i="1"/>
  <c r="OL60" i="1"/>
  <c r="OL68" i="1"/>
  <c r="OL76" i="1"/>
  <c r="OL84" i="1"/>
  <c r="OM83" i="1"/>
  <c r="OM75" i="1"/>
  <c r="OM67" i="1"/>
  <c r="OM59" i="1"/>
  <c r="OM51" i="1"/>
  <c r="OM43" i="1"/>
  <c r="OM34" i="1"/>
  <c r="OM26" i="1"/>
  <c r="OM18" i="1"/>
  <c r="OM10" i="1"/>
  <c r="NY81" i="1"/>
  <c r="ON81" i="1"/>
  <c r="NY73" i="1"/>
  <c r="ON73" i="1"/>
  <c r="NY65" i="1"/>
  <c r="ON65" i="1"/>
  <c r="NY57" i="1"/>
  <c r="ON57" i="1"/>
  <c r="NY49" i="1"/>
  <c r="ON49" i="1"/>
  <c r="NY41" i="1"/>
  <c r="ON41" i="1"/>
  <c r="NY33" i="1"/>
  <c r="ON33" i="1"/>
  <c r="NY25" i="1"/>
  <c r="ON25" i="1"/>
  <c r="NY17" i="1"/>
  <c r="ON17" i="1"/>
  <c r="NY9" i="1"/>
  <c r="ON9" i="1"/>
  <c r="NZ81" i="1"/>
  <c r="OO81" i="1"/>
  <c r="NZ73" i="1"/>
  <c r="OO73" i="1"/>
  <c r="NZ65" i="1"/>
  <c r="OO65" i="1"/>
  <c r="NZ57" i="1"/>
  <c r="OO57" i="1"/>
  <c r="NZ49" i="1"/>
  <c r="OO49" i="1"/>
  <c r="NZ41" i="1"/>
  <c r="OO41" i="1"/>
  <c r="NZ33" i="1"/>
  <c r="OO33" i="1"/>
  <c r="NZ25" i="1"/>
  <c r="OO25" i="1"/>
  <c r="NZ17" i="1"/>
  <c r="OO17" i="1"/>
  <c r="NZ9" i="1"/>
  <c r="OO9" i="1"/>
  <c r="OA81" i="1"/>
  <c r="OP81" i="1"/>
  <c r="OA73" i="1"/>
  <c r="OP73" i="1"/>
  <c r="OA65" i="1"/>
  <c r="OP65" i="1"/>
  <c r="OA57" i="1"/>
  <c r="OP57" i="1"/>
  <c r="OA49" i="1"/>
  <c r="OP49" i="1"/>
  <c r="OA41" i="1"/>
  <c r="OP41" i="1"/>
  <c r="OA33" i="1"/>
  <c r="OP33" i="1"/>
  <c r="OA25" i="1"/>
  <c r="OP25" i="1"/>
  <c r="OA17" i="1"/>
  <c r="OP17" i="1"/>
  <c r="OA9" i="1"/>
  <c r="OP9" i="1"/>
  <c r="OB81" i="1"/>
  <c r="OQ81" i="1"/>
  <c r="OB73" i="1"/>
  <c r="OQ73" i="1"/>
  <c r="OB65" i="1"/>
  <c r="OQ65" i="1"/>
  <c r="OB57" i="1"/>
  <c r="OQ57" i="1"/>
  <c r="OB49" i="1"/>
  <c r="OQ49" i="1"/>
  <c r="OB41" i="1"/>
  <c r="OQ41" i="1"/>
  <c r="OB33" i="1"/>
  <c r="OQ33" i="1"/>
  <c r="OB25" i="1"/>
  <c r="OQ25" i="1"/>
  <c r="OB17" i="1"/>
  <c r="OQ17" i="1"/>
  <c r="OB9" i="1"/>
  <c r="OQ9" i="1"/>
  <c r="OM39" i="1"/>
  <c r="NX66" i="1"/>
  <c r="OM66" i="1"/>
  <c r="NX58" i="1"/>
  <c r="OM58" i="1"/>
  <c r="NX50" i="1"/>
  <c r="OM50" i="1"/>
  <c r="NX42" i="1"/>
  <c r="OM42" i="1"/>
  <c r="NX33" i="1"/>
  <c r="OM33" i="1"/>
  <c r="NX25" i="1"/>
  <c r="OM25" i="1"/>
  <c r="NX17" i="1"/>
  <c r="OM17" i="1"/>
  <c r="NX9" i="1"/>
  <c r="OM9" i="1"/>
  <c r="NY88" i="1"/>
  <c r="ON88" i="1"/>
  <c r="NY80" i="1"/>
  <c r="ON80" i="1"/>
  <c r="NY72" i="1"/>
  <c r="ON72" i="1"/>
  <c r="NY64" i="1"/>
  <c r="ON64" i="1"/>
  <c r="NY56" i="1"/>
  <c r="ON56" i="1"/>
  <c r="NY48" i="1"/>
  <c r="ON48" i="1"/>
  <c r="NY40" i="1"/>
  <c r="ON40" i="1"/>
  <c r="NY32" i="1"/>
  <c r="ON32" i="1"/>
  <c r="NY24" i="1"/>
  <c r="ON24" i="1"/>
  <c r="NY16" i="1"/>
  <c r="ON16" i="1"/>
  <c r="NY8" i="1"/>
  <c r="ON8" i="1"/>
  <c r="NZ88" i="1"/>
  <c r="OO88" i="1"/>
  <c r="NZ80" i="1"/>
  <c r="OO80" i="1"/>
  <c r="NZ72" i="1"/>
  <c r="OO72" i="1"/>
  <c r="NZ64" i="1"/>
  <c r="OO64" i="1"/>
  <c r="NZ56" i="1"/>
  <c r="OO56" i="1"/>
  <c r="NZ48" i="1"/>
  <c r="OO48" i="1"/>
  <c r="NZ40" i="1"/>
  <c r="OO40" i="1"/>
  <c r="NZ32" i="1"/>
  <c r="OO32" i="1"/>
  <c r="NZ24" i="1"/>
  <c r="OO24" i="1"/>
  <c r="NZ16" i="1"/>
  <c r="OO16" i="1"/>
  <c r="NZ8" i="1"/>
  <c r="OO8" i="1"/>
  <c r="OA88" i="1"/>
  <c r="OP88" i="1"/>
  <c r="OA80" i="1"/>
  <c r="OP80" i="1"/>
  <c r="OA72" i="1"/>
  <c r="OP72" i="1"/>
  <c r="OA64" i="1"/>
  <c r="OP64" i="1"/>
  <c r="OA56" i="1"/>
  <c r="OP56" i="1"/>
  <c r="OA48" i="1"/>
  <c r="OP48" i="1"/>
  <c r="OA40" i="1"/>
  <c r="OP40" i="1"/>
  <c r="OA32" i="1"/>
  <c r="OP32" i="1"/>
  <c r="OA24" i="1"/>
  <c r="OP24" i="1"/>
  <c r="OA16" i="1"/>
  <c r="OP16" i="1"/>
  <c r="OA8" i="1"/>
  <c r="OP8" i="1"/>
  <c r="OB88" i="1"/>
  <c r="OQ88" i="1"/>
  <c r="OB80" i="1"/>
  <c r="OQ80" i="1"/>
  <c r="OB72" i="1"/>
  <c r="OQ72" i="1"/>
  <c r="OB64" i="1"/>
  <c r="OQ64" i="1"/>
  <c r="OB56" i="1"/>
  <c r="OQ56" i="1"/>
  <c r="OB48" i="1"/>
  <c r="OQ48" i="1"/>
  <c r="OB40" i="1"/>
  <c r="OQ40" i="1"/>
  <c r="OB32" i="1"/>
  <c r="OQ32" i="1"/>
  <c r="OB24" i="1"/>
  <c r="OQ24" i="1"/>
  <c r="OB16" i="1"/>
  <c r="OQ16" i="1"/>
  <c r="OB8" i="1"/>
  <c r="OQ8" i="1"/>
  <c r="OC7" i="1"/>
  <c r="OR7" i="1"/>
  <c r="OC9" i="1"/>
  <c r="OR9" i="1"/>
  <c r="OC11" i="1"/>
  <c r="OR11" i="1"/>
  <c r="OC13" i="1"/>
  <c r="OR13" i="1"/>
  <c r="OC15" i="1"/>
  <c r="OR15" i="1"/>
  <c r="OC17" i="1"/>
  <c r="OR17" i="1"/>
  <c r="OC19" i="1"/>
  <c r="OR19" i="1"/>
  <c r="OC21" i="1"/>
  <c r="OR21" i="1"/>
  <c r="OC23" i="1"/>
  <c r="OR23" i="1"/>
  <c r="OC25" i="1"/>
  <c r="OR25" i="1"/>
  <c r="OC27" i="1"/>
  <c r="OR27" i="1"/>
  <c r="OC29" i="1"/>
  <c r="OR29" i="1"/>
  <c r="OC31" i="1"/>
  <c r="OR31" i="1"/>
  <c r="OC33" i="1"/>
  <c r="OR33" i="1"/>
  <c r="OC35" i="1"/>
  <c r="OR35" i="1"/>
  <c r="OC37" i="1"/>
  <c r="OR37" i="1"/>
  <c r="OC39" i="1"/>
  <c r="OR39" i="1"/>
  <c r="OC41" i="1"/>
  <c r="OR41" i="1"/>
  <c r="OC43" i="1"/>
  <c r="OR43" i="1"/>
  <c r="OC45" i="1"/>
  <c r="OR45" i="1"/>
  <c r="OC47" i="1"/>
  <c r="OR47" i="1"/>
  <c r="OC49" i="1"/>
  <c r="OR49" i="1"/>
  <c r="OC51" i="1"/>
  <c r="OR51" i="1"/>
  <c r="OC53" i="1"/>
  <c r="OR53" i="1"/>
  <c r="OC55" i="1"/>
  <c r="OR55" i="1"/>
  <c r="OC57" i="1"/>
  <c r="OR57" i="1"/>
  <c r="OC59" i="1"/>
  <c r="OR59" i="1"/>
  <c r="OC61" i="1"/>
  <c r="OR61" i="1"/>
  <c r="OC63" i="1"/>
  <c r="OR63" i="1"/>
  <c r="OC65" i="1"/>
  <c r="OR65" i="1"/>
  <c r="OC67" i="1"/>
  <c r="OR67" i="1"/>
  <c r="OC69" i="1"/>
  <c r="OR69" i="1"/>
  <c r="OC71" i="1"/>
  <c r="OR71" i="1"/>
  <c r="OC73" i="1"/>
  <c r="OR73" i="1"/>
  <c r="OC75" i="1"/>
  <c r="OR75" i="1"/>
  <c r="OC77" i="1"/>
  <c r="OR77" i="1"/>
  <c r="OC79" i="1"/>
  <c r="OR79" i="1"/>
  <c r="OC81" i="1"/>
  <c r="OR81" i="1"/>
  <c r="OC83" i="1"/>
  <c r="OR83" i="1"/>
  <c r="OC85" i="1"/>
  <c r="OR85" i="1"/>
  <c r="OC87" i="1"/>
  <c r="OR87" i="1"/>
  <c r="OD7" i="1"/>
  <c r="OS7" i="1"/>
  <c r="OD9" i="1"/>
  <c r="OS9" i="1"/>
  <c r="OD11" i="1"/>
  <c r="OS11" i="1"/>
  <c r="OD13" i="1"/>
  <c r="OS13" i="1"/>
  <c r="OD15" i="1"/>
  <c r="OS15" i="1"/>
  <c r="OD17" i="1"/>
  <c r="OS17" i="1"/>
  <c r="OD19" i="1"/>
  <c r="OS19" i="1"/>
  <c r="OD21" i="1"/>
  <c r="OS21" i="1"/>
  <c r="OD23" i="1"/>
  <c r="OS23" i="1"/>
  <c r="OD25" i="1"/>
  <c r="OS25" i="1"/>
  <c r="OD27" i="1"/>
  <c r="OS27" i="1"/>
  <c r="OD29" i="1"/>
  <c r="OS29" i="1"/>
  <c r="OD31" i="1"/>
  <c r="OS31" i="1"/>
  <c r="OD33" i="1"/>
  <c r="OS33" i="1"/>
  <c r="OD35" i="1"/>
  <c r="OS35" i="1"/>
  <c r="OD37" i="1"/>
  <c r="OS37" i="1"/>
  <c r="OD39" i="1"/>
  <c r="OS39" i="1"/>
  <c r="OD41" i="1"/>
  <c r="OS41" i="1"/>
  <c r="OD43" i="1"/>
  <c r="OS43" i="1"/>
  <c r="OD45" i="1"/>
  <c r="OS45" i="1"/>
  <c r="OD47" i="1"/>
  <c r="OS47" i="1"/>
  <c r="OD49" i="1"/>
  <c r="OS49" i="1"/>
  <c r="OD51" i="1"/>
  <c r="OS51" i="1"/>
  <c r="OD53" i="1"/>
  <c r="OS53" i="1"/>
  <c r="OD55" i="1"/>
  <c r="OS55" i="1"/>
  <c r="OD57" i="1"/>
  <c r="OS57" i="1"/>
  <c r="OD59" i="1"/>
  <c r="OS59" i="1"/>
  <c r="OD61" i="1"/>
  <c r="OS61" i="1"/>
  <c r="OD63" i="1"/>
  <c r="OS63" i="1"/>
  <c r="OD65" i="1"/>
  <c r="OS65" i="1"/>
  <c r="OD67" i="1"/>
  <c r="OS67" i="1"/>
  <c r="OD69" i="1"/>
  <c r="OS69" i="1"/>
  <c r="OD71" i="1"/>
  <c r="OS71" i="1"/>
  <c r="OD73" i="1"/>
  <c r="OS73" i="1"/>
  <c r="OD75" i="1"/>
  <c r="OS75" i="1"/>
  <c r="OD77" i="1"/>
  <c r="OS77" i="1"/>
  <c r="OD79" i="1"/>
  <c r="OS79" i="1"/>
  <c r="OD81" i="1"/>
  <c r="OS81" i="1"/>
  <c r="OD83" i="1"/>
  <c r="OS83" i="1"/>
  <c r="OD85" i="1"/>
  <c r="OS85" i="1"/>
  <c r="OD87" i="1"/>
  <c r="OS87" i="1"/>
  <c r="NS81" i="1"/>
  <c r="OH81" i="1"/>
  <c r="NS73" i="1"/>
  <c r="OH73" i="1"/>
  <c r="NS65" i="1"/>
  <c r="OH65" i="1"/>
  <c r="NS57" i="1"/>
  <c r="OH57" i="1"/>
  <c r="NS49" i="1"/>
  <c r="OH49" i="1"/>
  <c r="NS41" i="1"/>
  <c r="OH41" i="1"/>
  <c r="NS33" i="1"/>
  <c r="OH33" i="1"/>
  <c r="NS25" i="1"/>
  <c r="OH25" i="1"/>
  <c r="NS17" i="1"/>
  <c r="OH17" i="1"/>
  <c r="NS9" i="1"/>
  <c r="OH9" i="1"/>
  <c r="OI14" i="1"/>
  <c r="OI22" i="1"/>
  <c r="OI30" i="1"/>
  <c r="OI38" i="1"/>
  <c r="OI46" i="1"/>
  <c r="OI54" i="1"/>
  <c r="OI62" i="1"/>
  <c r="OI70" i="1"/>
  <c r="OI78" i="1"/>
  <c r="OI86" i="1"/>
  <c r="NU81" i="1"/>
  <c r="OJ81" i="1"/>
  <c r="NU73" i="1"/>
  <c r="OJ73" i="1"/>
  <c r="NU65" i="1"/>
  <c r="OJ65" i="1"/>
  <c r="NU57" i="1"/>
  <c r="OJ57" i="1"/>
  <c r="NU49" i="1"/>
  <c r="OJ49" i="1"/>
  <c r="NU41" i="1"/>
  <c r="OJ41" i="1"/>
  <c r="NU33" i="1"/>
  <c r="OJ33" i="1"/>
  <c r="NU25" i="1"/>
  <c r="OJ25" i="1"/>
  <c r="NU17" i="1"/>
  <c r="OJ17" i="1"/>
  <c r="NU9" i="1"/>
  <c r="OJ9" i="1"/>
  <c r="NV81" i="1"/>
  <c r="OK81" i="1"/>
  <c r="NV73" i="1"/>
  <c r="OK73" i="1"/>
  <c r="NV65" i="1"/>
  <c r="OK65" i="1"/>
  <c r="NV57" i="1"/>
  <c r="OK57" i="1"/>
  <c r="NV49" i="1"/>
  <c r="OK49" i="1"/>
  <c r="NV41" i="1"/>
  <c r="OK41" i="1"/>
  <c r="NV33" i="1"/>
  <c r="OK33" i="1"/>
  <c r="NV25" i="1"/>
  <c r="OK25" i="1"/>
  <c r="NV17" i="1"/>
  <c r="OK17" i="1"/>
  <c r="NV9" i="1"/>
  <c r="OK9" i="1"/>
  <c r="OL14" i="1"/>
  <c r="OL22" i="1"/>
  <c r="OL30" i="1"/>
  <c r="OL38" i="1"/>
  <c r="OL46" i="1"/>
  <c r="OL54" i="1"/>
  <c r="OL62" i="1"/>
  <c r="OL70" i="1"/>
  <c r="OL78" i="1"/>
  <c r="OL86" i="1"/>
  <c r="NX81" i="1"/>
  <c r="OM81" i="1"/>
  <c r="NX73" i="1"/>
  <c r="OM73" i="1"/>
  <c r="NX65" i="1"/>
  <c r="OM65" i="1"/>
  <c r="NX57" i="1"/>
  <c r="OM57" i="1"/>
  <c r="NX49" i="1"/>
  <c r="OM49" i="1"/>
  <c r="NX41" i="1"/>
  <c r="OM41" i="1"/>
  <c r="NX32" i="1"/>
  <c r="OM32" i="1"/>
  <c r="NX24" i="1"/>
  <c r="OM24" i="1"/>
  <c r="NX16" i="1"/>
  <c r="OM16" i="1"/>
  <c r="NX8" i="1"/>
  <c r="OM8" i="1"/>
  <c r="NY87" i="1"/>
  <c r="ON87" i="1"/>
  <c r="NY79" i="1"/>
  <c r="ON79" i="1"/>
  <c r="NY71" i="1"/>
  <c r="ON71" i="1"/>
  <c r="NY63" i="1"/>
  <c r="ON63" i="1"/>
  <c r="NY55" i="1"/>
  <c r="ON55" i="1"/>
  <c r="NY47" i="1"/>
  <c r="ON47" i="1"/>
  <c r="NY39" i="1"/>
  <c r="ON39" i="1"/>
  <c r="NY31" i="1"/>
  <c r="ON31" i="1"/>
  <c r="NY23" i="1"/>
  <c r="ON23" i="1"/>
  <c r="NY15" i="1"/>
  <c r="ON15" i="1"/>
  <c r="NY7" i="1"/>
  <c r="ON7" i="1"/>
  <c r="NZ87" i="1"/>
  <c r="OO87" i="1"/>
  <c r="NZ79" i="1"/>
  <c r="OO79" i="1"/>
  <c r="NZ71" i="1"/>
  <c r="OO71" i="1"/>
  <c r="NZ63" i="1"/>
  <c r="OO63" i="1"/>
  <c r="NZ55" i="1"/>
  <c r="OO55" i="1"/>
  <c r="NZ47" i="1"/>
  <c r="OO47" i="1"/>
  <c r="NZ39" i="1"/>
  <c r="OO39" i="1"/>
  <c r="NZ31" i="1"/>
  <c r="OO31" i="1"/>
  <c r="NZ23" i="1"/>
  <c r="OO23" i="1"/>
  <c r="NZ15" i="1"/>
  <c r="OO15" i="1"/>
  <c r="NZ7" i="1"/>
  <c r="OO7" i="1"/>
  <c r="OA87" i="1"/>
  <c r="OP87" i="1"/>
  <c r="OA79" i="1"/>
  <c r="OP79" i="1"/>
  <c r="OA71" i="1"/>
  <c r="OP71" i="1"/>
  <c r="OA63" i="1"/>
  <c r="OP63" i="1"/>
  <c r="OA55" i="1"/>
  <c r="OP55" i="1"/>
  <c r="OA47" i="1"/>
  <c r="OP47" i="1"/>
  <c r="OA39" i="1"/>
  <c r="OP39" i="1"/>
  <c r="OA31" i="1"/>
  <c r="OP31" i="1"/>
  <c r="OA23" i="1"/>
  <c r="OP23" i="1"/>
  <c r="OA15" i="1"/>
  <c r="OP15" i="1"/>
  <c r="OB87" i="1"/>
  <c r="OQ87" i="1"/>
  <c r="OB79" i="1"/>
  <c r="OQ79" i="1"/>
  <c r="OB71" i="1"/>
  <c r="OQ71" i="1"/>
  <c r="OB63" i="1"/>
  <c r="OQ63" i="1"/>
  <c r="OB55" i="1"/>
  <c r="OQ55" i="1"/>
  <c r="OB47" i="1"/>
  <c r="OQ47" i="1"/>
  <c r="OB39" i="1"/>
  <c r="OQ39" i="1"/>
  <c r="OB31" i="1"/>
  <c r="OQ31" i="1"/>
  <c r="OB23" i="1"/>
  <c r="OQ23" i="1"/>
  <c r="OB15" i="1"/>
  <c r="OQ15" i="1"/>
  <c r="OB7" i="1"/>
  <c r="OQ7" i="1"/>
  <c r="OH88" i="1"/>
  <c r="OH80" i="1"/>
  <c r="OH72" i="1"/>
  <c r="OH64" i="1"/>
  <c r="OH56" i="1"/>
  <c r="OH48" i="1"/>
  <c r="OH40" i="1"/>
  <c r="OH32" i="1"/>
  <c r="OH24" i="1"/>
  <c r="OH16" i="1"/>
  <c r="OH8" i="1"/>
  <c r="NT7" i="1"/>
  <c r="OI7" i="1"/>
  <c r="NT15" i="1"/>
  <c r="OI15" i="1"/>
  <c r="NT23" i="1"/>
  <c r="OI23" i="1"/>
  <c r="NT31" i="1"/>
  <c r="OI31" i="1"/>
  <c r="NT39" i="1"/>
  <c r="OI39" i="1"/>
  <c r="NT47" i="1"/>
  <c r="OI47" i="1"/>
  <c r="NT55" i="1"/>
  <c r="OI55" i="1"/>
  <c r="NT63" i="1"/>
  <c r="OI63" i="1"/>
  <c r="NT71" i="1"/>
  <c r="OI71" i="1"/>
  <c r="NT79" i="1"/>
  <c r="OI79" i="1"/>
  <c r="NT87" i="1"/>
  <c r="OI87" i="1"/>
  <c r="OJ88" i="1"/>
  <c r="OJ80" i="1"/>
  <c r="OJ72" i="1"/>
  <c r="OJ64" i="1"/>
  <c r="OJ56" i="1"/>
  <c r="OJ48" i="1"/>
  <c r="OJ40" i="1"/>
  <c r="OJ32" i="1"/>
  <c r="OJ24" i="1"/>
  <c r="OJ16" i="1"/>
  <c r="OJ8" i="1"/>
  <c r="OK88" i="1"/>
  <c r="OK80" i="1"/>
  <c r="OK72" i="1"/>
  <c r="OK64" i="1"/>
  <c r="OK56" i="1"/>
  <c r="OK48" i="1"/>
  <c r="OK40" i="1"/>
  <c r="OK32" i="1"/>
  <c r="OK24" i="1"/>
  <c r="OK16" i="1"/>
  <c r="OK8" i="1"/>
  <c r="NW7" i="1"/>
  <c r="OL7" i="1"/>
  <c r="NW15" i="1"/>
  <c r="OL15" i="1"/>
  <c r="NW23" i="1"/>
  <c r="OL23" i="1"/>
  <c r="NW31" i="1"/>
  <c r="OL31" i="1"/>
  <c r="NW39" i="1"/>
  <c r="OL39" i="1"/>
  <c r="NW47" i="1"/>
  <c r="OL47" i="1"/>
  <c r="NW55" i="1"/>
  <c r="OL55" i="1"/>
  <c r="NW63" i="1"/>
  <c r="OL63" i="1"/>
  <c r="NW71" i="1"/>
  <c r="OL71" i="1"/>
  <c r="NW79" i="1"/>
  <c r="OL79" i="1"/>
  <c r="NW87" i="1"/>
  <c r="OL87" i="1"/>
  <c r="NX88" i="1"/>
  <c r="OM88" i="1"/>
  <c r="NX80" i="1"/>
  <c r="OM80" i="1"/>
  <c r="NX72" i="1"/>
  <c r="OM72" i="1"/>
  <c r="NX64" i="1"/>
  <c r="OM64" i="1"/>
  <c r="NX56" i="1"/>
  <c r="OM56" i="1"/>
  <c r="NX48" i="1"/>
  <c r="OM48" i="1"/>
  <c r="NX40" i="1"/>
  <c r="OM40" i="1"/>
  <c r="NX31" i="1"/>
  <c r="OM31" i="1"/>
  <c r="NX23" i="1"/>
  <c r="OM23" i="1"/>
  <c r="NX15" i="1"/>
  <c r="OM15" i="1"/>
  <c r="NX7" i="1"/>
  <c r="OM7" i="1"/>
  <c r="ON86" i="1"/>
  <c r="ON78" i="1"/>
  <c r="ON70" i="1"/>
  <c r="ON62" i="1"/>
  <c r="ON54" i="1"/>
  <c r="ON46" i="1"/>
  <c r="ON38" i="1"/>
  <c r="ON30" i="1"/>
  <c r="ON22" i="1"/>
  <c r="ON14" i="1"/>
  <c r="OO86" i="1"/>
  <c r="OO78" i="1"/>
  <c r="OO70" i="1"/>
  <c r="OO62" i="1"/>
  <c r="OO54" i="1"/>
  <c r="OO46" i="1"/>
  <c r="OO38" i="1"/>
  <c r="OO30" i="1"/>
  <c r="OO22" i="1"/>
  <c r="OO14" i="1"/>
  <c r="OP86" i="1"/>
  <c r="OP78" i="1"/>
  <c r="OP70" i="1"/>
  <c r="OP62" i="1"/>
  <c r="OP54" i="1"/>
  <c r="OP46" i="1"/>
  <c r="OP38" i="1"/>
  <c r="OP30" i="1"/>
  <c r="OP22" i="1"/>
  <c r="OP14" i="1"/>
  <c r="OQ86" i="1"/>
  <c r="OQ78" i="1"/>
  <c r="OQ70" i="1"/>
  <c r="OQ62" i="1"/>
  <c r="OQ54" i="1"/>
  <c r="OQ46" i="1"/>
  <c r="OQ38" i="1"/>
  <c r="OQ30" i="1"/>
  <c r="OQ22" i="1"/>
  <c r="OQ14" i="1"/>
  <c r="NS87" i="1"/>
  <c r="OH87" i="1"/>
  <c r="NS79" i="1"/>
  <c r="OH79" i="1"/>
  <c r="NS71" i="1"/>
  <c r="OH71" i="1"/>
  <c r="NS63" i="1"/>
  <c r="OH63" i="1"/>
  <c r="NS55" i="1"/>
  <c r="OH55" i="1"/>
  <c r="NS47" i="1"/>
  <c r="OH47" i="1"/>
  <c r="NS39" i="1"/>
  <c r="OH39" i="1"/>
  <c r="NS31" i="1"/>
  <c r="OH31" i="1"/>
  <c r="NS23" i="1"/>
  <c r="OH23" i="1"/>
  <c r="NS15" i="1"/>
  <c r="OH15" i="1"/>
  <c r="NS7" i="1"/>
  <c r="OH7" i="1"/>
  <c r="OI8" i="1"/>
  <c r="OI16" i="1"/>
  <c r="OI24" i="1"/>
  <c r="OI32" i="1"/>
  <c r="OI40" i="1"/>
  <c r="OI48" i="1"/>
  <c r="OI56" i="1"/>
  <c r="OI64" i="1"/>
  <c r="OI72" i="1"/>
  <c r="OI80" i="1"/>
  <c r="OI88" i="1"/>
  <c r="NU87" i="1"/>
  <c r="OJ87" i="1"/>
  <c r="NU79" i="1"/>
  <c r="OJ79" i="1"/>
  <c r="NU71" i="1"/>
  <c r="OJ71" i="1"/>
  <c r="NU63" i="1"/>
  <c r="OJ63" i="1"/>
  <c r="NU55" i="1"/>
  <c r="OJ55" i="1"/>
  <c r="NU47" i="1"/>
  <c r="OJ47" i="1"/>
  <c r="NU39" i="1"/>
  <c r="OJ39" i="1"/>
  <c r="NU31" i="1"/>
  <c r="OJ31" i="1"/>
  <c r="NU23" i="1"/>
  <c r="OJ23" i="1"/>
  <c r="NU15" i="1"/>
  <c r="OJ15" i="1"/>
  <c r="NU7" i="1"/>
  <c r="OJ7" i="1"/>
  <c r="NV87" i="1"/>
  <c r="OK87" i="1"/>
  <c r="NV79" i="1"/>
  <c r="OK79" i="1"/>
  <c r="NV71" i="1"/>
  <c r="OK71" i="1"/>
  <c r="NV63" i="1"/>
  <c r="OK63" i="1"/>
  <c r="NV55" i="1"/>
  <c r="OK55" i="1"/>
  <c r="NV47" i="1"/>
  <c r="OK47" i="1"/>
  <c r="NV39" i="1"/>
  <c r="OK39" i="1"/>
  <c r="NV31" i="1"/>
  <c r="OK31" i="1"/>
  <c r="NV23" i="1"/>
  <c r="OK23" i="1"/>
  <c r="NV15" i="1"/>
  <c r="OK15" i="1"/>
  <c r="NV7" i="1"/>
  <c r="OK7" i="1"/>
  <c r="OL8" i="1"/>
  <c r="OL16" i="1"/>
  <c r="OL24" i="1"/>
  <c r="OL32" i="1"/>
  <c r="OL40" i="1"/>
  <c r="OL48" i="1"/>
  <c r="OL56" i="1"/>
  <c r="OL64" i="1"/>
  <c r="OL72" i="1"/>
  <c r="OL80" i="1"/>
  <c r="OL88" i="1"/>
  <c r="OM87" i="1"/>
  <c r="OM79" i="1"/>
  <c r="OM71" i="1"/>
  <c r="OM63" i="1"/>
  <c r="OM55" i="1"/>
  <c r="OM47" i="1"/>
  <c r="OM38" i="1"/>
  <c r="OM30" i="1"/>
  <c r="OM22" i="1"/>
  <c r="OM14" i="1"/>
  <c r="NY85" i="1"/>
  <c r="ON85" i="1"/>
  <c r="NY77" i="1"/>
  <c r="ON77" i="1"/>
  <c r="NY69" i="1"/>
  <c r="ON69" i="1"/>
  <c r="NY61" i="1"/>
  <c r="ON61" i="1"/>
  <c r="NY53" i="1"/>
  <c r="ON53" i="1"/>
  <c r="NY45" i="1"/>
  <c r="ON45" i="1"/>
  <c r="NY37" i="1"/>
  <c r="ON37" i="1"/>
  <c r="NY29" i="1"/>
  <c r="ON29" i="1"/>
  <c r="NY21" i="1"/>
  <c r="ON21" i="1"/>
  <c r="NY13" i="1"/>
  <c r="ON13" i="1"/>
  <c r="NZ85" i="1"/>
  <c r="OO85" i="1"/>
  <c r="NZ77" i="1"/>
  <c r="OO77" i="1"/>
  <c r="NZ69" i="1"/>
  <c r="OO69" i="1"/>
  <c r="NZ61" i="1"/>
  <c r="OO61" i="1"/>
  <c r="NZ53" i="1"/>
  <c r="OO53" i="1"/>
  <c r="NZ45" i="1"/>
  <c r="OO45" i="1"/>
  <c r="NZ37" i="1"/>
  <c r="OO37" i="1"/>
  <c r="NZ29" i="1"/>
  <c r="OO29" i="1"/>
  <c r="NZ21" i="1"/>
  <c r="OO21" i="1"/>
  <c r="NZ13" i="1"/>
  <c r="OO13" i="1"/>
  <c r="OA85" i="1"/>
  <c r="OP85" i="1"/>
  <c r="OA77" i="1"/>
  <c r="OP77" i="1"/>
  <c r="OA69" i="1"/>
  <c r="OP69" i="1"/>
  <c r="OA61" i="1"/>
  <c r="OP61" i="1"/>
  <c r="OA53" i="1"/>
  <c r="OP53" i="1"/>
  <c r="OA45" i="1"/>
  <c r="OP45" i="1"/>
  <c r="OA37" i="1"/>
  <c r="OP37" i="1"/>
  <c r="OA29" i="1"/>
  <c r="OP29" i="1"/>
  <c r="OA21" i="1"/>
  <c r="OP21" i="1"/>
  <c r="OA13" i="1"/>
  <c r="OP13" i="1"/>
  <c r="OB85" i="1"/>
  <c r="OQ85" i="1"/>
  <c r="OB77" i="1"/>
  <c r="OQ77" i="1"/>
  <c r="OB69" i="1"/>
  <c r="OQ69" i="1"/>
  <c r="OB61" i="1"/>
  <c r="OQ61" i="1"/>
  <c r="OB53" i="1"/>
  <c r="OQ53" i="1"/>
  <c r="OB45" i="1"/>
  <c r="OQ45" i="1"/>
  <c r="OB37" i="1"/>
  <c r="OQ37" i="1"/>
  <c r="OB29" i="1"/>
  <c r="OQ29" i="1"/>
  <c r="OB21" i="1"/>
  <c r="OQ21" i="1"/>
  <c r="OB13" i="1"/>
  <c r="OQ13" i="1"/>
  <c r="OJ14" i="1"/>
  <c r="OK86" i="1"/>
  <c r="OK78" i="1"/>
  <c r="OK70" i="1"/>
  <c r="OK62" i="1"/>
  <c r="OK54" i="1"/>
  <c r="OK46" i="1"/>
  <c r="OK38" i="1"/>
  <c r="OK30" i="1"/>
  <c r="OK22" i="1"/>
  <c r="OK14" i="1"/>
  <c r="NW9" i="1"/>
  <c r="OL9" i="1"/>
  <c r="NW17" i="1"/>
  <c r="OL17" i="1"/>
  <c r="NW25" i="1"/>
  <c r="OL25" i="1"/>
  <c r="NW33" i="1"/>
  <c r="OL33" i="1"/>
  <c r="NW41" i="1"/>
  <c r="OL41" i="1"/>
  <c r="NW49" i="1"/>
  <c r="OL49" i="1"/>
  <c r="NW57" i="1"/>
  <c r="OL57" i="1"/>
  <c r="NW65" i="1"/>
  <c r="OL65" i="1"/>
  <c r="NW73" i="1"/>
  <c r="OL73" i="1"/>
  <c r="NW81" i="1"/>
  <c r="OL81" i="1"/>
  <c r="NX86" i="1"/>
  <c r="OM86" i="1"/>
  <c r="NX78" i="1"/>
  <c r="OM78" i="1"/>
  <c r="NX70" i="1"/>
  <c r="OM70" i="1"/>
  <c r="NX62" i="1"/>
  <c r="OM62" i="1"/>
  <c r="NX54" i="1"/>
  <c r="OM54" i="1"/>
  <c r="NX46" i="1"/>
  <c r="OM46" i="1"/>
  <c r="NX37" i="1"/>
  <c r="OM37" i="1"/>
  <c r="NX29" i="1"/>
  <c r="OM29" i="1"/>
  <c r="NX21" i="1"/>
  <c r="OM21" i="1"/>
  <c r="NX13" i="1"/>
  <c r="OM13" i="1"/>
  <c r="ON84" i="1"/>
  <c r="ON76" i="1"/>
  <c r="ON68" i="1"/>
  <c r="ON60" i="1"/>
  <c r="ON52" i="1"/>
  <c r="ON44" i="1"/>
  <c r="ON36" i="1"/>
  <c r="ON28" i="1"/>
  <c r="ON20" i="1"/>
  <c r="ON12" i="1"/>
  <c r="OO84" i="1"/>
  <c r="OO76" i="1"/>
  <c r="OO68" i="1"/>
  <c r="OO60" i="1"/>
  <c r="OO52" i="1"/>
  <c r="OO44" i="1"/>
  <c r="OO36" i="1"/>
  <c r="OO28" i="1"/>
  <c r="OO20" i="1"/>
  <c r="OO12" i="1"/>
  <c r="OP84" i="1"/>
  <c r="OP76" i="1"/>
  <c r="OP68" i="1"/>
  <c r="OP60" i="1"/>
  <c r="OP52" i="1"/>
  <c r="OP44" i="1"/>
  <c r="OP36" i="1"/>
  <c r="OP28" i="1"/>
  <c r="OP20" i="1"/>
  <c r="OP12" i="1"/>
  <c r="OQ84" i="1"/>
  <c r="OQ76" i="1"/>
  <c r="OQ68" i="1"/>
  <c r="OQ60" i="1"/>
  <c r="OQ52" i="1"/>
  <c r="OQ44" i="1"/>
  <c r="OQ36" i="1"/>
  <c r="OQ28" i="1"/>
  <c r="OQ20" i="1"/>
  <c r="OQ12" i="1"/>
  <c r="OC8" i="1"/>
  <c r="OR8" i="1"/>
  <c r="OC10" i="1"/>
  <c r="OR10" i="1"/>
  <c r="OC12" i="1"/>
  <c r="OR12" i="1"/>
  <c r="OC14" i="1"/>
  <c r="OR14" i="1"/>
  <c r="OC16" i="1"/>
  <c r="OR16" i="1"/>
  <c r="OC18" i="1"/>
  <c r="OR18" i="1"/>
  <c r="OC20" i="1"/>
  <c r="OR20" i="1"/>
  <c r="OC22" i="1"/>
  <c r="OR22" i="1"/>
  <c r="OC24" i="1"/>
  <c r="OR24" i="1"/>
  <c r="OC26" i="1"/>
  <c r="OR26" i="1"/>
  <c r="OC28" i="1"/>
  <c r="OR28" i="1"/>
  <c r="OC30" i="1"/>
  <c r="OR30" i="1"/>
  <c r="OC32" i="1"/>
  <c r="OR32" i="1"/>
  <c r="OC34" i="1"/>
  <c r="OR34" i="1"/>
  <c r="OC36" i="1"/>
  <c r="OR36" i="1"/>
  <c r="OC38" i="1"/>
  <c r="OR38" i="1"/>
  <c r="OC40" i="1"/>
  <c r="OR40" i="1"/>
  <c r="OC42" i="1"/>
  <c r="OR42" i="1"/>
  <c r="OC44" i="1"/>
  <c r="OR44" i="1"/>
  <c r="OC46" i="1"/>
  <c r="OR46" i="1"/>
  <c r="OC48" i="1"/>
  <c r="OR48" i="1"/>
  <c r="OC50" i="1"/>
  <c r="OR50" i="1"/>
  <c r="OC52" i="1"/>
  <c r="OR52" i="1"/>
  <c r="OC54" i="1"/>
  <c r="OR54" i="1"/>
  <c r="OC56" i="1"/>
  <c r="OR56" i="1"/>
  <c r="OC58" i="1"/>
  <c r="OR58" i="1"/>
  <c r="OC60" i="1"/>
  <c r="OR60" i="1"/>
  <c r="OC62" i="1"/>
  <c r="OR62" i="1"/>
  <c r="OC64" i="1"/>
  <c r="OR64" i="1"/>
  <c r="OC66" i="1"/>
  <c r="OR66" i="1"/>
  <c r="OC68" i="1"/>
  <c r="OR68" i="1"/>
  <c r="OC70" i="1"/>
  <c r="OR70" i="1"/>
  <c r="OC72" i="1"/>
  <c r="OR72" i="1"/>
  <c r="OC74" i="1"/>
  <c r="OR74" i="1"/>
  <c r="OC76" i="1"/>
  <c r="OR76" i="1"/>
  <c r="OC78" i="1"/>
  <c r="OR78" i="1"/>
  <c r="OC80" i="1"/>
  <c r="OR80" i="1"/>
  <c r="OC82" i="1"/>
  <c r="OR82" i="1"/>
  <c r="OC84" i="1"/>
  <c r="OR84" i="1"/>
  <c r="OC86" i="1"/>
  <c r="OR86" i="1"/>
  <c r="OC88" i="1"/>
  <c r="OR88" i="1"/>
  <c r="OD8" i="1"/>
  <c r="OS8" i="1"/>
  <c r="OD10" i="1"/>
  <c r="OS10" i="1"/>
  <c r="OD12" i="1"/>
  <c r="OS12" i="1"/>
  <c r="OD14" i="1"/>
  <c r="OS14" i="1"/>
  <c r="OD16" i="1"/>
  <c r="OS16" i="1"/>
  <c r="OD18" i="1"/>
  <c r="OS18" i="1"/>
  <c r="OD20" i="1"/>
  <c r="OS20" i="1"/>
  <c r="OD22" i="1"/>
  <c r="OS22" i="1"/>
  <c r="OD24" i="1"/>
  <c r="OS24" i="1"/>
  <c r="OD26" i="1"/>
  <c r="OS26" i="1"/>
  <c r="OD28" i="1"/>
  <c r="OS28" i="1"/>
  <c r="OD30" i="1"/>
  <c r="OS30" i="1"/>
  <c r="OD32" i="1"/>
  <c r="OS32" i="1"/>
  <c r="OD34" i="1"/>
  <c r="OS34" i="1"/>
  <c r="OD36" i="1"/>
  <c r="OS36" i="1"/>
  <c r="OD38" i="1"/>
  <c r="OS38" i="1"/>
  <c r="OD40" i="1"/>
  <c r="OS40" i="1"/>
  <c r="OD42" i="1"/>
  <c r="OS42" i="1"/>
  <c r="OD44" i="1"/>
  <c r="OS44" i="1"/>
  <c r="OD46" i="1"/>
  <c r="OS46" i="1"/>
  <c r="OD48" i="1"/>
  <c r="OS48" i="1"/>
  <c r="OD50" i="1"/>
  <c r="OS50" i="1"/>
  <c r="OD52" i="1"/>
  <c r="OS52" i="1"/>
  <c r="OD54" i="1"/>
  <c r="OS54" i="1"/>
  <c r="OD56" i="1"/>
  <c r="OS56" i="1"/>
  <c r="OD58" i="1"/>
  <c r="OS58" i="1"/>
  <c r="OD60" i="1"/>
  <c r="OS60" i="1"/>
  <c r="OD62" i="1"/>
  <c r="OS62" i="1"/>
  <c r="OD64" i="1"/>
  <c r="OS64" i="1"/>
  <c r="OD66" i="1"/>
  <c r="OS66" i="1"/>
  <c r="OD68" i="1"/>
  <c r="OS68" i="1"/>
  <c r="OD70" i="1"/>
  <c r="OS70" i="1"/>
  <c r="OD72" i="1"/>
  <c r="OS72" i="1"/>
  <c r="OD74" i="1"/>
  <c r="OS74" i="1"/>
  <c r="OD76" i="1"/>
  <c r="OS76" i="1"/>
  <c r="OD78" i="1"/>
  <c r="OS78" i="1"/>
  <c r="OD80" i="1"/>
  <c r="OS80" i="1"/>
  <c r="OD82" i="1"/>
  <c r="OS82" i="1"/>
  <c r="OD84" i="1"/>
  <c r="OS84" i="1"/>
  <c r="OD86" i="1"/>
  <c r="OS86" i="1"/>
  <c r="OD88" i="1"/>
  <c r="OS88" i="1"/>
  <c r="NR78" i="1"/>
  <c r="NR62" i="1"/>
  <c r="NR46" i="1"/>
  <c r="NR30" i="1"/>
  <c r="NR14" i="1"/>
  <c r="NX85" i="1"/>
  <c r="NX77" i="1"/>
  <c r="NX69" i="1"/>
  <c r="NX61" i="1"/>
  <c r="NX53" i="1"/>
  <c r="NX45" i="1"/>
  <c r="NX36" i="1"/>
  <c r="NX28" i="1"/>
  <c r="NX20" i="1"/>
  <c r="NX12" i="1"/>
  <c r="MY27" i="1"/>
  <c r="NT27" i="1"/>
  <c r="MX67" i="1"/>
  <c r="NS67" i="1"/>
  <c r="MX59" i="1"/>
  <c r="NS59" i="1"/>
  <c r="MX51" i="1"/>
  <c r="NS51" i="1"/>
  <c r="MX43" i="1"/>
  <c r="NS43" i="1"/>
  <c r="MX35" i="1"/>
  <c r="NS35" i="1"/>
  <c r="MX27" i="1"/>
  <c r="NS27" i="1"/>
  <c r="MX19" i="1"/>
  <c r="NS19" i="1"/>
  <c r="MX11" i="1"/>
  <c r="NS11" i="1"/>
  <c r="NT12" i="1"/>
  <c r="NT20" i="1"/>
  <c r="NT28" i="1"/>
  <c r="NT36" i="1"/>
  <c r="NT44" i="1"/>
  <c r="NT52" i="1"/>
  <c r="NT60" i="1"/>
  <c r="NT68" i="1"/>
  <c r="NT76" i="1"/>
  <c r="NT84" i="1"/>
  <c r="MZ67" i="1"/>
  <c r="NU67" i="1"/>
  <c r="MZ59" i="1"/>
  <c r="NU59" i="1"/>
  <c r="MZ51" i="1"/>
  <c r="NU51" i="1"/>
  <c r="MZ43" i="1"/>
  <c r="NU43" i="1"/>
  <c r="MZ35" i="1"/>
  <c r="NU35" i="1"/>
  <c r="MZ27" i="1"/>
  <c r="NU27" i="1"/>
  <c r="NW12" i="1"/>
  <c r="NW20" i="1"/>
  <c r="NW28" i="1"/>
  <c r="NW36" i="1"/>
  <c r="NW44" i="1"/>
  <c r="NW52" i="1"/>
  <c r="NW60" i="1"/>
  <c r="NW68" i="1"/>
  <c r="NW76" i="1"/>
  <c r="NW84" i="1"/>
  <c r="NX83" i="1"/>
  <c r="NX75" i="1"/>
  <c r="NX67" i="1"/>
  <c r="NX59" i="1"/>
  <c r="NX51" i="1"/>
  <c r="NX43" i="1"/>
  <c r="NX34" i="1"/>
  <c r="NX26" i="1"/>
  <c r="NX18" i="1"/>
  <c r="NX10" i="1"/>
  <c r="NX39" i="1"/>
  <c r="NT14" i="1"/>
  <c r="NT22" i="1"/>
  <c r="NT30" i="1"/>
  <c r="NT38" i="1"/>
  <c r="NT46" i="1"/>
  <c r="NT54" i="1"/>
  <c r="NT62" i="1"/>
  <c r="NT70" i="1"/>
  <c r="NT78" i="1"/>
  <c r="NT86" i="1"/>
  <c r="NW14" i="1"/>
  <c r="NW22" i="1"/>
  <c r="NW30" i="1"/>
  <c r="NW38" i="1"/>
  <c r="NW46" i="1"/>
  <c r="NW54" i="1"/>
  <c r="NW62" i="1"/>
  <c r="NW70" i="1"/>
  <c r="NW78" i="1"/>
  <c r="NW86" i="1"/>
  <c r="MQ7" i="1"/>
  <c r="OA7" i="1"/>
  <c r="MY35" i="1"/>
  <c r="NT35" i="1"/>
  <c r="NR88" i="1"/>
  <c r="NR80" i="1"/>
  <c r="NR72" i="1"/>
  <c r="NR64" i="1"/>
  <c r="NR56" i="1"/>
  <c r="NR48" i="1"/>
  <c r="NR40" i="1"/>
  <c r="NR32" i="1"/>
  <c r="NR24" i="1"/>
  <c r="NR16" i="1"/>
  <c r="NR8" i="1"/>
  <c r="NS88" i="1"/>
  <c r="NS80" i="1"/>
  <c r="NS72" i="1"/>
  <c r="NS64" i="1"/>
  <c r="NS56" i="1"/>
  <c r="NS48" i="1"/>
  <c r="NS40" i="1"/>
  <c r="NS32" i="1"/>
  <c r="NS24" i="1"/>
  <c r="NS16" i="1"/>
  <c r="NS8" i="1"/>
  <c r="NU88" i="1"/>
  <c r="NU80" i="1"/>
  <c r="NU72" i="1"/>
  <c r="NU64" i="1"/>
  <c r="NU56" i="1"/>
  <c r="NU48" i="1"/>
  <c r="NU40" i="1"/>
  <c r="NU32" i="1"/>
  <c r="NU24" i="1"/>
  <c r="NU16" i="1"/>
  <c r="NU8" i="1"/>
  <c r="NV88" i="1"/>
  <c r="NV80" i="1"/>
  <c r="NV72" i="1"/>
  <c r="NV64" i="1"/>
  <c r="NV56" i="1"/>
  <c r="NV48" i="1"/>
  <c r="NV40" i="1"/>
  <c r="NV32" i="1"/>
  <c r="NV24" i="1"/>
  <c r="NV16" i="1"/>
  <c r="NV8" i="1"/>
  <c r="NY86" i="1"/>
  <c r="NY78" i="1"/>
  <c r="NY70" i="1"/>
  <c r="NY62" i="1"/>
  <c r="NY54" i="1"/>
  <c r="NY46" i="1"/>
  <c r="NY38" i="1"/>
  <c r="NY30" i="1"/>
  <c r="NY22" i="1"/>
  <c r="NY14" i="1"/>
  <c r="NZ86" i="1"/>
  <c r="NZ78" i="1"/>
  <c r="NZ70" i="1"/>
  <c r="NZ62" i="1"/>
  <c r="NZ54" i="1"/>
  <c r="NZ46" i="1"/>
  <c r="NZ38" i="1"/>
  <c r="NZ30" i="1"/>
  <c r="NZ22" i="1"/>
  <c r="NZ14" i="1"/>
  <c r="OA86" i="1"/>
  <c r="OA78" i="1"/>
  <c r="OA70" i="1"/>
  <c r="OA62" i="1"/>
  <c r="OA54" i="1"/>
  <c r="OA46" i="1"/>
  <c r="OA38" i="1"/>
  <c r="OA30" i="1"/>
  <c r="OA22" i="1"/>
  <c r="OA14" i="1"/>
  <c r="OB86" i="1"/>
  <c r="OB78" i="1"/>
  <c r="OB70" i="1"/>
  <c r="OB62" i="1"/>
  <c r="OB54" i="1"/>
  <c r="OB46" i="1"/>
  <c r="OB38" i="1"/>
  <c r="OB30" i="1"/>
  <c r="OB22" i="1"/>
  <c r="OB14" i="1"/>
  <c r="MY11" i="1"/>
  <c r="NT11" i="1"/>
  <c r="NT8" i="1"/>
  <c r="NT16" i="1"/>
  <c r="NT24" i="1"/>
  <c r="NT32" i="1"/>
  <c r="NT40" i="1"/>
  <c r="NT48" i="1"/>
  <c r="NT56" i="1"/>
  <c r="NT64" i="1"/>
  <c r="NT72" i="1"/>
  <c r="NT80" i="1"/>
  <c r="NT88" i="1"/>
  <c r="NW8" i="1"/>
  <c r="NW16" i="1"/>
  <c r="NW24" i="1"/>
  <c r="NW32" i="1"/>
  <c r="NW40" i="1"/>
  <c r="NW48" i="1"/>
  <c r="NW56" i="1"/>
  <c r="NW64" i="1"/>
  <c r="NW72" i="1"/>
  <c r="NW80" i="1"/>
  <c r="NW88" i="1"/>
  <c r="NX87" i="1"/>
  <c r="NX79" i="1"/>
  <c r="NX71" i="1"/>
  <c r="NX63" i="1"/>
  <c r="NX55" i="1"/>
  <c r="NX47" i="1"/>
  <c r="NX38" i="1"/>
  <c r="NX30" i="1"/>
  <c r="NX22" i="1"/>
  <c r="NX14" i="1"/>
  <c r="MY19" i="1"/>
  <c r="NT19" i="1"/>
  <c r="MY43" i="1"/>
  <c r="NT43" i="1"/>
  <c r="NR86" i="1"/>
  <c r="NR70" i="1"/>
  <c r="NR54" i="1"/>
  <c r="NR38" i="1"/>
  <c r="NR22" i="1"/>
  <c r="NS86" i="1"/>
  <c r="NS78" i="1"/>
  <c r="NS70" i="1"/>
  <c r="NS62" i="1"/>
  <c r="NS54" i="1"/>
  <c r="NS46" i="1"/>
  <c r="NS38" i="1"/>
  <c r="NS30" i="1"/>
  <c r="NS22" i="1"/>
  <c r="NS14" i="1"/>
  <c r="NU86" i="1"/>
  <c r="NU78" i="1"/>
  <c r="NU70" i="1"/>
  <c r="NU62" i="1"/>
  <c r="NU54" i="1"/>
  <c r="NU46" i="1"/>
  <c r="NU38" i="1"/>
  <c r="NU30" i="1"/>
  <c r="NU22" i="1"/>
  <c r="NU14" i="1"/>
  <c r="NV86" i="1"/>
  <c r="NV78" i="1"/>
  <c r="NV70" i="1"/>
  <c r="NV62" i="1"/>
  <c r="NV54" i="1"/>
  <c r="NV46" i="1"/>
  <c r="NV38" i="1"/>
  <c r="NV30" i="1"/>
  <c r="NV22" i="1"/>
  <c r="NV14" i="1"/>
  <c r="NY84" i="1"/>
  <c r="NY76" i="1"/>
  <c r="NY68" i="1"/>
  <c r="NY60" i="1"/>
  <c r="NY52" i="1"/>
  <c r="NY44" i="1"/>
  <c r="NY36" i="1"/>
  <c r="NY28" i="1"/>
  <c r="NY20" i="1"/>
  <c r="NY12" i="1"/>
  <c r="NZ84" i="1"/>
  <c r="NZ76" i="1"/>
  <c r="NZ68" i="1"/>
  <c r="NZ60" i="1"/>
  <c r="NZ52" i="1"/>
  <c r="NZ44" i="1"/>
  <c r="NZ36" i="1"/>
  <c r="NZ28" i="1"/>
  <c r="NZ20" i="1"/>
  <c r="NZ12" i="1"/>
  <c r="OA84" i="1"/>
  <c r="OA76" i="1"/>
  <c r="OA68" i="1"/>
  <c r="OA60" i="1"/>
  <c r="OA52" i="1"/>
  <c r="OA44" i="1"/>
  <c r="OA36" i="1"/>
  <c r="OA28" i="1"/>
  <c r="OA20" i="1"/>
  <c r="OA12" i="1"/>
  <c r="OB84" i="1"/>
  <c r="OB76" i="1"/>
  <c r="OB68" i="1"/>
  <c r="OB60" i="1"/>
  <c r="OB52" i="1"/>
  <c r="OB44" i="1"/>
  <c r="OB36" i="1"/>
  <c r="OB28" i="1"/>
  <c r="OB20" i="1"/>
  <c r="OB12" i="1"/>
  <c r="MY51" i="1"/>
  <c r="MY59" i="1"/>
  <c r="MZ19" i="1"/>
  <c r="MZ11" i="1"/>
  <c r="NA67" i="1"/>
  <c r="NA59" i="1"/>
  <c r="NA51" i="1"/>
  <c r="NA43" i="1"/>
  <c r="NA35" i="1"/>
  <c r="NA27" i="1"/>
  <c r="NA19" i="1"/>
  <c r="NA11" i="1"/>
  <c r="NF66" i="1"/>
  <c r="NF58" i="1"/>
  <c r="NF50" i="1"/>
  <c r="NF42" i="1"/>
  <c r="NF34" i="1"/>
  <c r="NF26" i="1"/>
  <c r="NF18" i="1"/>
  <c r="NF10" i="1"/>
  <c r="NG66" i="1"/>
  <c r="NG58" i="1"/>
  <c r="NG50" i="1"/>
  <c r="NG42" i="1"/>
  <c r="NF81" i="1"/>
  <c r="NF73" i="1"/>
  <c r="MX82" i="1"/>
  <c r="MX74" i="1"/>
  <c r="MW80" i="1"/>
  <c r="MW72" i="1"/>
  <c r="MK80" i="1"/>
  <c r="MK72" i="1"/>
  <c r="ML80" i="1"/>
  <c r="ML72" i="1"/>
  <c r="MN79" i="1"/>
  <c r="MN71" i="1"/>
  <c r="NG88" i="1"/>
  <c r="MZ82" i="1"/>
  <c r="MZ74" i="1"/>
  <c r="NF88" i="1"/>
  <c r="NA85" i="1"/>
  <c r="NA77" i="1"/>
  <c r="NA69" i="1"/>
  <c r="MP83" i="1"/>
  <c r="MK65" i="1"/>
  <c r="MK57" i="1"/>
  <c r="MK49" i="1"/>
  <c r="MK41" i="1"/>
  <c r="MK33" i="1"/>
  <c r="MK25" i="1"/>
  <c r="MK17" i="1"/>
  <c r="MK9" i="1"/>
  <c r="MK87" i="1"/>
  <c r="ML87" i="1"/>
  <c r="MQ61" i="1"/>
  <c r="MQ53" i="1"/>
  <c r="MQ45" i="1"/>
  <c r="MQ37" i="1"/>
  <c r="MQ29" i="1"/>
  <c r="MQ21" i="1"/>
  <c r="MQ13" i="1"/>
  <c r="MR61" i="1"/>
  <c r="MR53" i="1"/>
  <c r="MW87" i="1"/>
  <c r="MM9" i="1"/>
  <c r="MM17" i="1"/>
  <c r="MM25" i="1"/>
  <c r="MM33" i="1"/>
  <c r="MM41" i="1"/>
  <c r="MY74" i="1"/>
  <c r="MY82" i="1"/>
  <c r="MN61" i="1"/>
  <c r="MN53" i="1"/>
  <c r="MN45" i="1"/>
  <c r="MN36" i="1"/>
  <c r="MN28" i="1"/>
  <c r="MN20" i="1"/>
  <c r="MP75" i="1"/>
  <c r="NG81" i="1"/>
  <c r="NG73" i="1"/>
  <c r="MS7" i="1"/>
  <c r="MS9" i="1"/>
  <c r="MS11" i="1"/>
  <c r="MS13" i="1"/>
  <c r="MS15" i="1"/>
  <c r="MS17" i="1"/>
  <c r="MS19" i="1"/>
  <c r="MS21" i="1"/>
  <c r="MS23" i="1"/>
  <c r="MS25" i="1"/>
  <c r="MS27" i="1"/>
  <c r="MS29" i="1"/>
  <c r="MS31" i="1"/>
  <c r="MS33" i="1"/>
  <c r="MS35" i="1"/>
  <c r="MS37" i="1"/>
  <c r="MS39" i="1"/>
  <c r="MS41" i="1"/>
  <c r="MS43" i="1"/>
  <c r="MS45" i="1"/>
  <c r="MS47" i="1"/>
  <c r="MS49" i="1"/>
  <c r="MS51" i="1"/>
  <c r="MS53" i="1"/>
  <c r="MS55" i="1"/>
  <c r="MS57" i="1"/>
  <c r="MS59" i="1"/>
  <c r="MS61" i="1"/>
  <c r="MS63" i="1"/>
  <c r="MS65" i="1"/>
  <c r="MS67" i="1"/>
  <c r="MM14" i="1"/>
  <c r="MM22" i="1"/>
  <c r="MM30" i="1"/>
  <c r="MM38" i="1"/>
  <c r="MM46" i="1"/>
  <c r="MM54" i="1"/>
  <c r="MM62" i="1"/>
  <c r="NA62" i="1"/>
  <c r="NA54" i="1"/>
  <c r="NA46" i="1"/>
  <c r="NA38" i="1"/>
  <c r="NA30" i="1"/>
  <c r="NA22" i="1"/>
  <c r="NA14" i="1"/>
  <c r="MM49" i="1"/>
  <c r="MM57" i="1"/>
  <c r="MO60" i="1"/>
  <c r="MO52" i="1"/>
  <c r="MO44" i="1"/>
  <c r="MO36" i="1"/>
  <c r="MO28" i="1"/>
  <c r="MO20" i="1"/>
  <c r="MO12" i="1"/>
  <c r="MP60" i="1"/>
  <c r="MP52" i="1"/>
  <c r="MP44" i="1"/>
  <c r="MP36" i="1"/>
  <c r="MP28" i="1"/>
  <c r="MP20" i="1"/>
  <c r="MP12" i="1"/>
  <c r="MQ84" i="1"/>
  <c r="MQ76" i="1"/>
  <c r="MQ68" i="1"/>
  <c r="MR84" i="1"/>
  <c r="MR76" i="1"/>
  <c r="MR68" i="1"/>
  <c r="MY67" i="1"/>
  <c r="MN84" i="1"/>
  <c r="MN76" i="1"/>
  <c r="MN68" i="1"/>
  <c r="MZ62" i="1"/>
  <c r="MZ54" i="1"/>
  <c r="MZ46" i="1"/>
  <c r="MZ38" i="1"/>
  <c r="MZ30" i="1"/>
  <c r="MZ22" i="1"/>
  <c r="MZ14" i="1"/>
  <c r="NA82" i="1"/>
  <c r="NA74" i="1"/>
  <c r="NG60" i="1"/>
  <c r="NG52" i="1"/>
  <c r="NG44" i="1"/>
  <c r="NG36" i="1"/>
  <c r="NG28" i="1"/>
  <c r="NG12" i="1"/>
  <c r="MW65" i="1"/>
  <c r="MW57" i="1"/>
  <c r="MW49" i="1"/>
  <c r="MW41" i="1"/>
  <c r="MW33" i="1"/>
  <c r="MW25" i="1"/>
  <c r="MW17" i="1"/>
  <c r="MW9" i="1"/>
  <c r="MZ85" i="1"/>
  <c r="MZ77" i="1"/>
  <c r="MZ69" i="1"/>
  <c r="ML65" i="1"/>
  <c r="ML57" i="1"/>
  <c r="ML49" i="1"/>
  <c r="ML41" i="1"/>
  <c r="ML33" i="1"/>
  <c r="ML25" i="1"/>
  <c r="ML17" i="1"/>
  <c r="ML9" i="1"/>
  <c r="MO83" i="1"/>
  <c r="MO75" i="1"/>
  <c r="NG75" i="1"/>
  <c r="MN64" i="1"/>
  <c r="MN56" i="1"/>
  <c r="MN48" i="1"/>
  <c r="MN40" i="1"/>
  <c r="MN31" i="1"/>
  <c r="MN23" i="1"/>
  <c r="NG34" i="1"/>
  <c r="NG26" i="1"/>
  <c r="NG18" i="1"/>
  <c r="NG10" i="1"/>
  <c r="NB69" i="1"/>
  <c r="NB77" i="1"/>
  <c r="NB85" i="1"/>
  <c r="MS68" i="1"/>
  <c r="MS70" i="1"/>
  <c r="MS72" i="1"/>
  <c r="MS74" i="1"/>
  <c r="MS76" i="1"/>
  <c r="MS78" i="1"/>
  <c r="MS80" i="1"/>
  <c r="MS82" i="1"/>
  <c r="MS84" i="1"/>
  <c r="MS86" i="1"/>
  <c r="MS87" i="1"/>
  <c r="MT7" i="1"/>
  <c r="MT9" i="1"/>
  <c r="MT11" i="1"/>
  <c r="MT13" i="1"/>
  <c r="MT15" i="1"/>
  <c r="MT17" i="1"/>
  <c r="MT19" i="1"/>
  <c r="MT21" i="1"/>
  <c r="MT23" i="1"/>
  <c r="MT25" i="1"/>
  <c r="MT27" i="1"/>
  <c r="MT29" i="1"/>
  <c r="MT31" i="1"/>
  <c r="MT33" i="1"/>
  <c r="MT35" i="1"/>
  <c r="MT37" i="1"/>
  <c r="MT39" i="1"/>
  <c r="ND87" i="1"/>
  <c r="ND80" i="1"/>
  <c r="ND72" i="1"/>
  <c r="ND65" i="1"/>
  <c r="ND57" i="1"/>
  <c r="ND49" i="1"/>
  <c r="ND41" i="1"/>
  <c r="ND33" i="1"/>
  <c r="ND25" i="1"/>
  <c r="NE87" i="1"/>
  <c r="ND17" i="1"/>
  <c r="ND9" i="1"/>
  <c r="NE80" i="1"/>
  <c r="NE72" i="1"/>
  <c r="NE65" i="1"/>
  <c r="NE57" i="1"/>
  <c r="NE49" i="1"/>
  <c r="NE41" i="1"/>
  <c r="NE33" i="1"/>
  <c r="NE25" i="1"/>
  <c r="NE17" i="1"/>
  <c r="NE9" i="1"/>
  <c r="NF79" i="1"/>
  <c r="NF71" i="1"/>
  <c r="NF64" i="1"/>
  <c r="NF56" i="1"/>
  <c r="NF48" i="1"/>
  <c r="NF40" i="1"/>
  <c r="NF32" i="1"/>
  <c r="NF24" i="1"/>
  <c r="NF16" i="1"/>
  <c r="NF8" i="1"/>
  <c r="MR79" i="1"/>
  <c r="MR71" i="1"/>
  <c r="MR64" i="1"/>
  <c r="MR56" i="1"/>
  <c r="MR48" i="1"/>
  <c r="MR40" i="1"/>
  <c r="MR32" i="1"/>
  <c r="MR24" i="1"/>
  <c r="MR16" i="1"/>
  <c r="MR8" i="1"/>
  <c r="NI44" i="1"/>
  <c r="MM65" i="1"/>
  <c r="MM72" i="1"/>
  <c r="MM80" i="1"/>
  <c r="MR45" i="1"/>
  <c r="MR37" i="1"/>
  <c r="MR29" i="1"/>
  <c r="MR21" i="1"/>
  <c r="MR13" i="1"/>
  <c r="MM87" i="1"/>
  <c r="NG86" i="1"/>
  <c r="NG78" i="1"/>
  <c r="NG70" i="1"/>
  <c r="NG63" i="1"/>
  <c r="NG55" i="1"/>
  <c r="NG47" i="1"/>
  <c r="NG39" i="1"/>
  <c r="NG31" i="1"/>
  <c r="NG23" i="1"/>
  <c r="NG15" i="1"/>
  <c r="NG7" i="1"/>
  <c r="NH64" i="1"/>
  <c r="MT41" i="1"/>
  <c r="MT43" i="1"/>
  <c r="MT45" i="1"/>
  <c r="MT47" i="1"/>
  <c r="MT49" i="1"/>
  <c r="MT51" i="1"/>
  <c r="MT53" i="1"/>
  <c r="MT55" i="1"/>
  <c r="MT57" i="1"/>
  <c r="MT59" i="1"/>
  <c r="BH27" i="19"/>
  <c r="BF27" i="19"/>
  <c r="NA83" i="1"/>
  <c r="NA75" i="1"/>
  <c r="NA60" i="1"/>
  <c r="NA52" i="1"/>
  <c r="NA44" i="1"/>
  <c r="NA36" i="1"/>
  <c r="NA28" i="1"/>
  <c r="NA20" i="1"/>
  <c r="NA12" i="1"/>
  <c r="ND88" i="1"/>
  <c r="ND81" i="1"/>
  <c r="ND73" i="1"/>
  <c r="ND66" i="1"/>
  <c r="ND58" i="1"/>
  <c r="ND50" i="1"/>
  <c r="ND42" i="1"/>
  <c r="ND34" i="1"/>
  <c r="ND26" i="1"/>
  <c r="ND18" i="1"/>
  <c r="ND10" i="1"/>
  <c r="NE88" i="1"/>
  <c r="NE81" i="1"/>
  <c r="NE73" i="1"/>
  <c r="NE66" i="1"/>
  <c r="NE58" i="1"/>
  <c r="NE50" i="1"/>
  <c r="NE42" i="1"/>
  <c r="NE34" i="1"/>
  <c r="NE26" i="1"/>
  <c r="NE18" i="1"/>
  <c r="NE10" i="1"/>
  <c r="NF82" i="1"/>
  <c r="NG82" i="1"/>
  <c r="NG74" i="1"/>
  <c r="NG67" i="1"/>
  <c r="NG59" i="1"/>
  <c r="NG51" i="1"/>
  <c r="NG43" i="1"/>
  <c r="NG35" i="1"/>
  <c r="NG27" i="1"/>
  <c r="NG19" i="1"/>
  <c r="NG11" i="1"/>
  <c r="NC82" i="1"/>
  <c r="NC74" i="1"/>
  <c r="NC67" i="1"/>
  <c r="NC59" i="1"/>
  <c r="NC51" i="1"/>
  <c r="NC43" i="1"/>
  <c r="NC34" i="1"/>
  <c r="NC26" i="1"/>
  <c r="NC18" i="1"/>
  <c r="NC10" i="1"/>
  <c r="MT61" i="1"/>
  <c r="MT63" i="1"/>
  <c r="MT65" i="1"/>
  <c r="MT67" i="1"/>
  <c r="MT68" i="1"/>
  <c r="NI70" i="1"/>
  <c r="NI72" i="1"/>
  <c r="NI74" i="1"/>
  <c r="NI76" i="1"/>
  <c r="NI78" i="1"/>
  <c r="NI80" i="1"/>
  <c r="NI82" i="1"/>
  <c r="NI84" i="1"/>
  <c r="NI86" i="1"/>
  <c r="NI87" i="1"/>
  <c r="NH8" i="1"/>
  <c r="NH10" i="1"/>
  <c r="NH12" i="1"/>
  <c r="NH14" i="1"/>
  <c r="NH16" i="1"/>
  <c r="NH18" i="1"/>
  <c r="NH20" i="1"/>
  <c r="NH22" i="1"/>
  <c r="NH24" i="1"/>
  <c r="NH26" i="1"/>
  <c r="NH28" i="1"/>
  <c r="NH30" i="1"/>
  <c r="NH32" i="1"/>
  <c r="NH34" i="1"/>
  <c r="NH36" i="1"/>
  <c r="NH38" i="1"/>
  <c r="NH40" i="1"/>
  <c r="NH42" i="1"/>
  <c r="NH44" i="1"/>
  <c r="NH46" i="1"/>
  <c r="NH48" i="1"/>
  <c r="NH50" i="1"/>
  <c r="NH52" i="1"/>
  <c r="NH54" i="1"/>
  <c r="NH56" i="1"/>
  <c r="NH58" i="1"/>
  <c r="NH60" i="1"/>
  <c r="NH62" i="1"/>
  <c r="NH66" i="1"/>
  <c r="NH69" i="1"/>
  <c r="NH71" i="1"/>
  <c r="NH73" i="1"/>
  <c r="NH75" i="1"/>
  <c r="NH77" i="1"/>
  <c r="NH79" i="1"/>
  <c r="NH81" i="1"/>
  <c r="NH83" i="1"/>
  <c r="NH85" i="1"/>
  <c r="NH88" i="1"/>
  <c r="NI8" i="1"/>
  <c r="NI10" i="1"/>
  <c r="NI12" i="1"/>
  <c r="NI14" i="1"/>
  <c r="NI16" i="1"/>
  <c r="NI18" i="1"/>
  <c r="NI20" i="1"/>
  <c r="NI22" i="1"/>
  <c r="NI24" i="1"/>
  <c r="NI26" i="1"/>
  <c r="NI28" i="1"/>
  <c r="NI30" i="1"/>
  <c r="NI32" i="1"/>
  <c r="NI34" i="1"/>
  <c r="NI36" i="1"/>
  <c r="NI38" i="1"/>
  <c r="NI40" i="1"/>
  <c r="NI42" i="1"/>
  <c r="NI46" i="1"/>
  <c r="NI48" i="1"/>
  <c r="NI50" i="1"/>
  <c r="NI52" i="1"/>
  <c r="NI54" i="1"/>
  <c r="NI56" i="1"/>
  <c r="NI58" i="1"/>
  <c r="NI60" i="1"/>
  <c r="NI62" i="1"/>
  <c r="NI64" i="1"/>
  <c r="NI66" i="1"/>
  <c r="NI69" i="1"/>
  <c r="NI71" i="1"/>
  <c r="NI73" i="1"/>
  <c r="NI75" i="1"/>
  <c r="NI77" i="1"/>
  <c r="NI79" i="1"/>
  <c r="NI81" i="1"/>
  <c r="NI83" i="1"/>
  <c r="NI85" i="1"/>
  <c r="NI88" i="1"/>
  <c r="NG87" i="1"/>
  <c r="NG80" i="1"/>
  <c r="NG72" i="1"/>
  <c r="NG65" i="1"/>
  <c r="NG57" i="1"/>
  <c r="NG49" i="1"/>
  <c r="NG41" i="1"/>
  <c r="NG33" i="1"/>
  <c r="NG25" i="1"/>
  <c r="NG17" i="1"/>
  <c r="NG9" i="1"/>
  <c r="NG83" i="1"/>
  <c r="NG20" i="1"/>
  <c r="NC88" i="1"/>
  <c r="NC81" i="1"/>
  <c r="NC73" i="1"/>
  <c r="NC66" i="1"/>
  <c r="NC58" i="1"/>
  <c r="NC50" i="1"/>
  <c r="NC42" i="1"/>
  <c r="NC33" i="1"/>
  <c r="NC25" i="1"/>
  <c r="NC17" i="1"/>
  <c r="NC9" i="1"/>
  <c r="NG85" i="1"/>
  <c r="NG77" i="1"/>
  <c r="NG69" i="1"/>
  <c r="NG62" i="1"/>
  <c r="NG54" i="1"/>
  <c r="NG46" i="1"/>
  <c r="NG38" i="1"/>
  <c r="NG30" i="1"/>
  <c r="NG22" i="1"/>
  <c r="NG14" i="1"/>
  <c r="NB11" i="1"/>
  <c r="NB19" i="1"/>
  <c r="NB27" i="1"/>
  <c r="NB35" i="1"/>
  <c r="NB43" i="1"/>
  <c r="NB51" i="1"/>
  <c r="NB59" i="1"/>
  <c r="NB67" i="1"/>
  <c r="NB74" i="1"/>
  <c r="NB82" i="1"/>
  <c r="NF83" i="1"/>
  <c r="NF75" i="1"/>
  <c r="NF60" i="1"/>
  <c r="NF52" i="1"/>
  <c r="NF44" i="1"/>
  <c r="NF36" i="1"/>
  <c r="NF28" i="1"/>
  <c r="NF20" i="1"/>
  <c r="NF12" i="1"/>
  <c r="NB13" i="1"/>
  <c r="NB21" i="1"/>
  <c r="NB29" i="1"/>
  <c r="NB37" i="1"/>
  <c r="NB45" i="1"/>
  <c r="NB53" i="1"/>
  <c r="NC83" i="1"/>
  <c r="NC75" i="1"/>
  <c r="NC60" i="1"/>
  <c r="NC52" i="1"/>
  <c r="NC44" i="1"/>
  <c r="NC35" i="1"/>
  <c r="NF74" i="1"/>
  <c r="NF67" i="1"/>
  <c r="NF59" i="1"/>
  <c r="NF51" i="1"/>
  <c r="NF43" i="1"/>
  <c r="NF35" i="1"/>
  <c r="NF27" i="1"/>
  <c r="NF19" i="1"/>
  <c r="NF11" i="1"/>
  <c r="NH7" i="1"/>
  <c r="NH15" i="1"/>
  <c r="NH23" i="1"/>
  <c r="NH31" i="1"/>
  <c r="NH39" i="1"/>
  <c r="NH47" i="1"/>
  <c r="NH55" i="1"/>
  <c r="NH63" i="1"/>
  <c r="NH70" i="1"/>
  <c r="NH78" i="1"/>
  <c r="NH86" i="1"/>
  <c r="NI11" i="1"/>
  <c r="NI19" i="1"/>
  <c r="NI27" i="1"/>
  <c r="NI35" i="1"/>
  <c r="NI43" i="1"/>
  <c r="NI51" i="1"/>
  <c r="NI59" i="1"/>
  <c r="NI67" i="1"/>
  <c r="NG13" i="1"/>
  <c r="NG21" i="1"/>
  <c r="NG29" i="1"/>
  <c r="NG37" i="1"/>
  <c r="NG45" i="1"/>
  <c r="NG53" i="1"/>
  <c r="NG61" i="1"/>
  <c r="NG68" i="1"/>
  <c r="NG76" i="1"/>
  <c r="NG84" i="1"/>
  <c r="NH9" i="1"/>
  <c r="NH17" i="1"/>
  <c r="NH25" i="1"/>
  <c r="NH33" i="1"/>
  <c r="NH41" i="1"/>
  <c r="NH49" i="1"/>
  <c r="NH57" i="1"/>
  <c r="NH65" i="1"/>
  <c r="NH72" i="1"/>
  <c r="NH80" i="1"/>
  <c r="NH87" i="1"/>
  <c r="NI13" i="1"/>
  <c r="NI21" i="1"/>
  <c r="NI29" i="1"/>
  <c r="NI37" i="1"/>
  <c r="NI45" i="1"/>
  <c r="NI53" i="1"/>
  <c r="NI61" i="1"/>
  <c r="NI68" i="1"/>
  <c r="NH11" i="1"/>
  <c r="NH19" i="1"/>
  <c r="NH27" i="1"/>
  <c r="NH35" i="1"/>
  <c r="NH43" i="1"/>
  <c r="NH51" i="1"/>
  <c r="NH59" i="1"/>
  <c r="NH67" i="1"/>
  <c r="NH74" i="1"/>
  <c r="NH82" i="1"/>
  <c r="NI7" i="1"/>
  <c r="NI15" i="1"/>
  <c r="NI23" i="1"/>
  <c r="NI31" i="1"/>
  <c r="NI39" i="1"/>
  <c r="NI47" i="1"/>
  <c r="NI55" i="1"/>
  <c r="NI63" i="1"/>
  <c r="NE85" i="1"/>
  <c r="NE77" i="1"/>
  <c r="NE69" i="1"/>
  <c r="NE62" i="1"/>
  <c r="NE54" i="1"/>
  <c r="NE46" i="1"/>
  <c r="NE38" i="1"/>
  <c r="NE30" i="1"/>
  <c r="NE22" i="1"/>
  <c r="NE14" i="1"/>
  <c r="NF86" i="1"/>
  <c r="NF78" i="1"/>
  <c r="NF70" i="1"/>
  <c r="NF63" i="1"/>
  <c r="NF55" i="1"/>
  <c r="NF47" i="1"/>
  <c r="NF39" i="1"/>
  <c r="NF31" i="1"/>
  <c r="NF23" i="1"/>
  <c r="NF15" i="1"/>
  <c r="NG8" i="1"/>
  <c r="NG16" i="1"/>
  <c r="NG24" i="1"/>
  <c r="NG32" i="1"/>
  <c r="NG40" i="1"/>
  <c r="NG48" i="1"/>
  <c r="NG56" i="1"/>
  <c r="NG64" i="1"/>
  <c r="NG71" i="1"/>
  <c r="NG79" i="1"/>
  <c r="NH13" i="1"/>
  <c r="NH21" i="1"/>
  <c r="NH29" i="1"/>
  <c r="NH37" i="1"/>
  <c r="NH45" i="1"/>
  <c r="NH53" i="1"/>
  <c r="NH61" i="1"/>
  <c r="NH68" i="1"/>
  <c r="NH76" i="1"/>
  <c r="NH84" i="1"/>
  <c r="NI9" i="1"/>
  <c r="NI17" i="1"/>
  <c r="NI25" i="1"/>
  <c r="NI33" i="1"/>
  <c r="NI41" i="1"/>
  <c r="NI49" i="1"/>
  <c r="NI57" i="1"/>
  <c r="NI65" i="1"/>
  <c r="MW56" i="1"/>
  <c r="NF85" i="1"/>
  <c r="NF77" i="1"/>
  <c r="NF69" i="1"/>
  <c r="NF62" i="1"/>
  <c r="NF54" i="1"/>
  <c r="NF46" i="1"/>
  <c r="NF38" i="1"/>
  <c r="NF30" i="1"/>
  <c r="NF22" i="1"/>
  <c r="NF14" i="1"/>
  <c r="NE82" i="1"/>
  <c r="NE74" i="1"/>
  <c r="NE67" i="1"/>
  <c r="NE59" i="1"/>
  <c r="NE51" i="1"/>
  <c r="NE43" i="1"/>
  <c r="NE35" i="1"/>
  <c r="NE27" i="1"/>
  <c r="NE19" i="1"/>
  <c r="NE11" i="1"/>
  <c r="MW48" i="1"/>
  <c r="MT70" i="1"/>
  <c r="MT72" i="1"/>
  <c r="MT74" i="1"/>
  <c r="MT76" i="1"/>
  <c r="MT78" i="1"/>
  <c r="MT80" i="1"/>
  <c r="MT82" i="1"/>
  <c r="MT84" i="1"/>
  <c r="MT86" i="1"/>
  <c r="MT87" i="1"/>
  <c r="MW64" i="1"/>
  <c r="NE79" i="1"/>
  <c r="NE71" i="1"/>
  <c r="NE64" i="1"/>
  <c r="NE56" i="1"/>
  <c r="NE48" i="1"/>
  <c r="NE40" i="1"/>
  <c r="NE32" i="1"/>
  <c r="NE24" i="1"/>
  <c r="NE16" i="1"/>
  <c r="NE8" i="1"/>
  <c r="NF87" i="1"/>
  <c r="NF80" i="1"/>
  <c r="NF72" i="1"/>
  <c r="NF65" i="1"/>
  <c r="NF57" i="1"/>
  <c r="NF49" i="1"/>
  <c r="NF41" i="1"/>
  <c r="NF33" i="1"/>
  <c r="NF25" i="1"/>
  <c r="NF17" i="1"/>
  <c r="NF9" i="1"/>
  <c r="MW71" i="1"/>
  <c r="MW32" i="1"/>
  <c r="MW79" i="1"/>
  <c r="MW40" i="1"/>
  <c r="NE60" i="1"/>
  <c r="NE12" i="1"/>
  <c r="NE75" i="1"/>
  <c r="NF13" i="1"/>
  <c r="NF21" i="1"/>
  <c r="NF29" i="1"/>
  <c r="NF37" i="1"/>
  <c r="NF45" i="1"/>
  <c r="NF53" i="1"/>
  <c r="NF61" i="1"/>
  <c r="NF68" i="1"/>
  <c r="NF76" i="1"/>
  <c r="NF84" i="1"/>
  <c r="MN87" i="1"/>
  <c r="MN80" i="1"/>
  <c r="MN72" i="1"/>
  <c r="MN65" i="1"/>
  <c r="MN57" i="1"/>
  <c r="MN49" i="1"/>
  <c r="MN41" i="1"/>
  <c r="MN32" i="1"/>
  <c r="MN24" i="1"/>
  <c r="MN16" i="1"/>
  <c r="MN8" i="1"/>
  <c r="MO86" i="1"/>
  <c r="NE20" i="1"/>
  <c r="NE83" i="1"/>
  <c r="NE28" i="1"/>
  <c r="NF7" i="1"/>
  <c r="NE84" i="1"/>
  <c r="NE76" i="1"/>
  <c r="NE68" i="1"/>
  <c r="NE61" i="1"/>
  <c r="NE53" i="1"/>
  <c r="NE45" i="1"/>
  <c r="NE37" i="1"/>
  <c r="NE29" i="1"/>
  <c r="NE21" i="1"/>
  <c r="NE13" i="1"/>
  <c r="NE36" i="1"/>
  <c r="NE44" i="1"/>
  <c r="NE52" i="1"/>
  <c r="NC39" i="1"/>
  <c r="ND36" i="1"/>
  <c r="MW85" i="1"/>
  <c r="MW62" i="1"/>
  <c r="MW38" i="1"/>
  <c r="MW14" i="1"/>
  <c r="MX79" i="1"/>
  <c r="MX71" i="1"/>
  <c r="MX64" i="1"/>
  <c r="MX56" i="1"/>
  <c r="MX48" i="1"/>
  <c r="MX40" i="1"/>
  <c r="MX32" i="1"/>
  <c r="MX24" i="1"/>
  <c r="MX16" i="1"/>
  <c r="MX8" i="1"/>
  <c r="MY8" i="1"/>
  <c r="MY16" i="1"/>
  <c r="MY24" i="1"/>
  <c r="MY32" i="1"/>
  <c r="MY40" i="1"/>
  <c r="MY48" i="1"/>
  <c r="MY56" i="1"/>
  <c r="MY64" i="1"/>
  <c r="MY71" i="1"/>
  <c r="MY79" i="1"/>
  <c r="NB8" i="1"/>
  <c r="NB16" i="1"/>
  <c r="NB24" i="1"/>
  <c r="NB32" i="1"/>
  <c r="NB40" i="1"/>
  <c r="NB48" i="1"/>
  <c r="NB56" i="1"/>
  <c r="NB64" i="1"/>
  <c r="NB71" i="1"/>
  <c r="NB79" i="1"/>
  <c r="MO78" i="1"/>
  <c r="MO70" i="1"/>
  <c r="MO63" i="1"/>
  <c r="MO55" i="1"/>
  <c r="MO47" i="1"/>
  <c r="MO39" i="1"/>
  <c r="MO31" i="1"/>
  <c r="MO23" i="1"/>
  <c r="MO15" i="1"/>
  <c r="MO7" i="1"/>
  <c r="MP86" i="1"/>
  <c r="MP78" i="1"/>
  <c r="MP70" i="1"/>
  <c r="MP63" i="1"/>
  <c r="MP55" i="1"/>
  <c r="MP47" i="1"/>
  <c r="MP39" i="1"/>
  <c r="MP31" i="1"/>
  <c r="MP23" i="1"/>
  <c r="MP15" i="1"/>
  <c r="MP7" i="1"/>
  <c r="MQ79" i="1"/>
  <c r="MQ71" i="1"/>
  <c r="MQ64" i="1"/>
  <c r="MQ56" i="1"/>
  <c r="MQ48" i="1"/>
  <c r="MQ40" i="1"/>
  <c r="MQ32" i="1"/>
  <c r="MQ24" i="1"/>
  <c r="MQ16" i="1"/>
  <c r="MQ8" i="1"/>
  <c r="NE7" i="1"/>
  <c r="NE15" i="1"/>
  <c r="NE23" i="1"/>
  <c r="NE31" i="1"/>
  <c r="NE39" i="1"/>
  <c r="NE47" i="1"/>
  <c r="NE55" i="1"/>
  <c r="NE63" i="1"/>
  <c r="NE70" i="1"/>
  <c r="NE78" i="1"/>
  <c r="NE86" i="1"/>
  <c r="MW77" i="1"/>
  <c r="MW46" i="1"/>
  <c r="MW22" i="1"/>
  <c r="MZ79" i="1"/>
  <c r="MZ71" i="1"/>
  <c r="MZ64" i="1"/>
  <c r="MZ56" i="1"/>
  <c r="MZ48" i="1"/>
  <c r="MZ40" i="1"/>
  <c r="MZ32" i="1"/>
  <c r="MZ24" i="1"/>
  <c r="MZ16" i="1"/>
  <c r="MZ8" i="1"/>
  <c r="NA79" i="1"/>
  <c r="NA71" i="1"/>
  <c r="NA64" i="1"/>
  <c r="NA56" i="1"/>
  <c r="NA48" i="1"/>
  <c r="NA40" i="1"/>
  <c r="NA32" i="1"/>
  <c r="NA24" i="1"/>
  <c r="NA16" i="1"/>
  <c r="NA8" i="1"/>
  <c r="NB83" i="1"/>
  <c r="NB75" i="1"/>
  <c r="NB60" i="1"/>
  <c r="NB52" i="1"/>
  <c r="NB44" i="1"/>
  <c r="NB36" i="1"/>
  <c r="NB28" i="1"/>
  <c r="NB20" i="1"/>
  <c r="NB12" i="1"/>
  <c r="MN15" i="1"/>
  <c r="MN7" i="1"/>
  <c r="ND85" i="1"/>
  <c r="ND77" i="1"/>
  <c r="ND69" i="1"/>
  <c r="ND62" i="1"/>
  <c r="ND54" i="1"/>
  <c r="ND46" i="1"/>
  <c r="ND38" i="1"/>
  <c r="ND30" i="1"/>
  <c r="ND22" i="1"/>
  <c r="ND14" i="1"/>
  <c r="MW69" i="1"/>
  <c r="MW54" i="1"/>
  <c r="MW30" i="1"/>
  <c r="NB10" i="1"/>
  <c r="NB61" i="1"/>
  <c r="NB68" i="1"/>
  <c r="NB76" i="1"/>
  <c r="NB84" i="1"/>
  <c r="NC27" i="1"/>
  <c r="NC19" i="1"/>
  <c r="NC11" i="1"/>
  <c r="ND28" i="1"/>
  <c r="MW20" i="1"/>
  <c r="MW12" i="1"/>
  <c r="NB7" i="1"/>
  <c r="NB15" i="1"/>
  <c r="NB23" i="1"/>
  <c r="NB31" i="1"/>
  <c r="NB39" i="1"/>
  <c r="NB47" i="1"/>
  <c r="NB55" i="1"/>
  <c r="NB63" i="1"/>
  <c r="NB70" i="1"/>
  <c r="NB78" i="1"/>
  <c r="NB86" i="1"/>
  <c r="ND79" i="1"/>
  <c r="ND71" i="1"/>
  <c r="ND64" i="1"/>
  <c r="ND56" i="1"/>
  <c r="ND48" i="1"/>
  <c r="ND40" i="1"/>
  <c r="ND32" i="1"/>
  <c r="ND24" i="1"/>
  <c r="ND16" i="1"/>
  <c r="ND8" i="1"/>
  <c r="NC8" i="1"/>
  <c r="ND44" i="1"/>
  <c r="NC16" i="1"/>
  <c r="ND52" i="1"/>
  <c r="NC24" i="1"/>
  <c r="ND60" i="1"/>
  <c r="NB18" i="1"/>
  <c r="NB26" i="1"/>
  <c r="NB34" i="1"/>
  <c r="NB42" i="1"/>
  <c r="NB50" i="1"/>
  <c r="NB58" i="1"/>
  <c r="NB66" i="1"/>
  <c r="NB73" i="1"/>
  <c r="NB81" i="1"/>
  <c r="NB88" i="1"/>
  <c r="NC86" i="1"/>
  <c r="NC78" i="1"/>
  <c r="NC70" i="1"/>
  <c r="NC63" i="1"/>
  <c r="NC55" i="1"/>
  <c r="NC47" i="1"/>
  <c r="NC38" i="1"/>
  <c r="NC30" i="1"/>
  <c r="NC22" i="1"/>
  <c r="NC14" i="1"/>
  <c r="ND84" i="1"/>
  <c r="ND76" i="1"/>
  <c r="ND68" i="1"/>
  <c r="ND61" i="1"/>
  <c r="ND53" i="1"/>
  <c r="ND45" i="1"/>
  <c r="ND37" i="1"/>
  <c r="ND29" i="1"/>
  <c r="ND21" i="1"/>
  <c r="ND13" i="1"/>
  <c r="NC32" i="1"/>
  <c r="NC85" i="1"/>
  <c r="NC77" i="1"/>
  <c r="NC69" i="1"/>
  <c r="NC62" i="1"/>
  <c r="NC54" i="1"/>
  <c r="NC46" i="1"/>
  <c r="NC37" i="1"/>
  <c r="NC29" i="1"/>
  <c r="NC21" i="1"/>
  <c r="NC13" i="1"/>
  <c r="ND12" i="1"/>
  <c r="ND75" i="1"/>
  <c r="MN12" i="1"/>
  <c r="ND82" i="1"/>
  <c r="ND74" i="1"/>
  <c r="ND67" i="1"/>
  <c r="ND59" i="1"/>
  <c r="ND51" i="1"/>
  <c r="ND43" i="1"/>
  <c r="ND35" i="1"/>
  <c r="ND27" i="1"/>
  <c r="ND19" i="1"/>
  <c r="ND11" i="1"/>
  <c r="ND20" i="1"/>
  <c r="ND83" i="1"/>
  <c r="NC7" i="1"/>
  <c r="NC15" i="1"/>
  <c r="NC23" i="1"/>
  <c r="NC31" i="1"/>
  <c r="NC40" i="1"/>
  <c r="NC48" i="1"/>
  <c r="NC56" i="1"/>
  <c r="NC64" i="1"/>
  <c r="NC71" i="1"/>
  <c r="NC79" i="1"/>
  <c r="MZ86" i="1"/>
  <c r="MZ78" i="1"/>
  <c r="MZ70" i="1"/>
  <c r="MZ63" i="1"/>
  <c r="MZ55" i="1"/>
  <c r="MZ47" i="1"/>
  <c r="MZ39" i="1"/>
  <c r="MZ31" i="1"/>
  <c r="MZ23" i="1"/>
  <c r="MZ15" i="1"/>
  <c r="MZ7" i="1"/>
  <c r="NA86" i="1"/>
  <c r="NA78" i="1"/>
  <c r="NA70" i="1"/>
  <c r="NA63" i="1"/>
  <c r="NA55" i="1"/>
  <c r="NA47" i="1"/>
  <c r="NA39" i="1"/>
  <c r="NA31" i="1"/>
  <c r="NA23" i="1"/>
  <c r="NA15" i="1"/>
  <c r="NA7" i="1"/>
  <c r="NC41" i="1"/>
  <c r="NC49" i="1"/>
  <c r="NC57" i="1"/>
  <c r="NC65" i="1"/>
  <c r="NC72" i="1"/>
  <c r="NC80" i="1"/>
  <c r="NC87" i="1"/>
  <c r="NB14" i="1"/>
  <c r="NB22" i="1"/>
  <c r="NB30" i="1"/>
  <c r="NB38" i="1"/>
  <c r="NB46" i="1"/>
  <c r="NB54" i="1"/>
  <c r="NB62" i="1"/>
  <c r="MZ84" i="1"/>
  <c r="MZ76" i="1"/>
  <c r="MZ68" i="1"/>
  <c r="MZ61" i="1"/>
  <c r="MZ53" i="1"/>
  <c r="MZ45" i="1"/>
  <c r="MZ37" i="1"/>
  <c r="MZ29" i="1"/>
  <c r="MZ21" i="1"/>
  <c r="MZ13" i="1"/>
  <c r="NA84" i="1"/>
  <c r="NA76" i="1"/>
  <c r="NA68" i="1"/>
  <c r="NA61" i="1"/>
  <c r="NA53" i="1"/>
  <c r="NA45" i="1"/>
  <c r="NA37" i="1"/>
  <c r="NA29" i="1"/>
  <c r="NA21" i="1"/>
  <c r="NA13" i="1"/>
  <c r="ND7" i="1"/>
  <c r="ND15" i="1"/>
  <c r="ND23" i="1"/>
  <c r="ND31" i="1"/>
  <c r="ND39" i="1"/>
  <c r="ND47" i="1"/>
  <c r="ND55" i="1"/>
  <c r="ND63" i="1"/>
  <c r="ND70" i="1"/>
  <c r="ND78" i="1"/>
  <c r="ND86" i="1"/>
  <c r="MZ83" i="1"/>
  <c r="MZ75" i="1"/>
  <c r="MZ60" i="1"/>
  <c r="MZ52" i="1"/>
  <c r="MZ44" i="1"/>
  <c r="MZ36" i="1"/>
  <c r="MZ28" i="1"/>
  <c r="MZ20" i="1"/>
  <c r="MZ12" i="1"/>
  <c r="NC12" i="1"/>
  <c r="NC20" i="1"/>
  <c r="NC28" i="1"/>
  <c r="NC36" i="1"/>
  <c r="NB9" i="1"/>
  <c r="NB17" i="1"/>
  <c r="NB25" i="1"/>
  <c r="NB33" i="1"/>
  <c r="NB41" i="1"/>
  <c r="NB49" i="1"/>
  <c r="NB57" i="1"/>
  <c r="NB65" i="1"/>
  <c r="NB72" i="1"/>
  <c r="NB80" i="1"/>
  <c r="NB87" i="1"/>
  <c r="NC45" i="1"/>
  <c r="NC53" i="1"/>
  <c r="NC61" i="1"/>
  <c r="NC68" i="1"/>
  <c r="NC76" i="1"/>
  <c r="NC84" i="1"/>
  <c r="MK88" i="1"/>
  <c r="MK81" i="1"/>
  <c r="MK73" i="1"/>
  <c r="MK66" i="1"/>
  <c r="MK58" i="1"/>
  <c r="MK50" i="1"/>
  <c r="MK42" i="1"/>
  <c r="MK34" i="1"/>
  <c r="MK26" i="1"/>
  <c r="MK18" i="1"/>
  <c r="MK10" i="1"/>
  <c r="MY7" i="1"/>
  <c r="MY15" i="1"/>
  <c r="MY23" i="1"/>
  <c r="MY31" i="1"/>
  <c r="MY39" i="1"/>
  <c r="MY47" i="1"/>
  <c r="MY55" i="1"/>
  <c r="MY63" i="1"/>
  <c r="MY70" i="1"/>
  <c r="MY78" i="1"/>
  <c r="MY86" i="1"/>
  <c r="ML88" i="1"/>
  <c r="ML81" i="1"/>
  <c r="ML73" i="1"/>
  <c r="ML66" i="1"/>
  <c r="ML58" i="1"/>
  <c r="ML50" i="1"/>
  <c r="ML42" i="1"/>
  <c r="ML34" i="1"/>
  <c r="ML26" i="1"/>
  <c r="ML18" i="1"/>
  <c r="ML10" i="1"/>
  <c r="MW84" i="1"/>
  <c r="MW53" i="1"/>
  <c r="MW21" i="1"/>
  <c r="MX86" i="1"/>
  <c r="MX78" i="1"/>
  <c r="MX63" i="1"/>
  <c r="MX55" i="1"/>
  <c r="MX47" i="1"/>
  <c r="MX39" i="1"/>
  <c r="MX31" i="1"/>
  <c r="MX23" i="1"/>
  <c r="MX15" i="1"/>
  <c r="MX7" i="1"/>
  <c r="MZ9" i="1"/>
  <c r="MZ17" i="1"/>
  <c r="MZ25" i="1"/>
  <c r="MZ33" i="1"/>
  <c r="MZ41" i="1"/>
  <c r="MZ49" i="1"/>
  <c r="MZ57" i="1"/>
  <c r="MZ65" i="1"/>
  <c r="MZ72" i="1"/>
  <c r="MZ80" i="1"/>
  <c r="MZ87" i="1"/>
  <c r="MW61" i="1"/>
  <c r="MW29" i="1"/>
  <c r="MX70" i="1"/>
  <c r="MW75" i="1"/>
  <c r="MZ10" i="1"/>
  <c r="MZ18" i="1"/>
  <c r="MZ26" i="1"/>
  <c r="MZ34" i="1"/>
  <c r="MZ42" i="1"/>
  <c r="MZ50" i="1"/>
  <c r="MZ58" i="1"/>
  <c r="MZ66" i="1"/>
  <c r="MZ73" i="1"/>
  <c r="MZ81" i="1"/>
  <c r="MZ88" i="1"/>
  <c r="MW68" i="1"/>
  <c r="MW37" i="1"/>
  <c r="MW76" i="1"/>
  <c r="MW45" i="1"/>
  <c r="MW13" i="1"/>
  <c r="MY36" i="1"/>
  <c r="MY44" i="1"/>
  <c r="NA9" i="1"/>
  <c r="NA17" i="1"/>
  <c r="NA25" i="1"/>
  <c r="NA33" i="1"/>
  <c r="NA41" i="1"/>
  <c r="NA49" i="1"/>
  <c r="NA57" i="1"/>
  <c r="NA65" i="1"/>
  <c r="NA72" i="1"/>
  <c r="NA80" i="1"/>
  <c r="NA87" i="1"/>
  <c r="NA10" i="1"/>
  <c r="NA18" i="1"/>
  <c r="NA26" i="1"/>
  <c r="NA34" i="1"/>
  <c r="NA42" i="1"/>
  <c r="NA50" i="1"/>
  <c r="NA58" i="1"/>
  <c r="NA66" i="1"/>
  <c r="NA73" i="1"/>
  <c r="NA81" i="1"/>
  <c r="NA88" i="1"/>
  <c r="MH63" i="1"/>
  <c r="MW63" i="1"/>
  <c r="MI80" i="1"/>
  <c r="MX80" i="1"/>
  <c r="MI33" i="1"/>
  <c r="MX33" i="1"/>
  <c r="MJ33" i="1"/>
  <c r="MY33" i="1"/>
  <c r="MJ80" i="1"/>
  <c r="MY80" i="1"/>
  <c r="MH86" i="1"/>
  <c r="MW86" i="1"/>
  <c r="MH47" i="1"/>
  <c r="MW47" i="1"/>
  <c r="MH7" i="1"/>
  <c r="MW7" i="1"/>
  <c r="MI49" i="1"/>
  <c r="MX49" i="1"/>
  <c r="MJ9" i="1"/>
  <c r="MY9" i="1"/>
  <c r="MJ57" i="1"/>
  <c r="MY57" i="1"/>
  <c r="MH83" i="1"/>
  <c r="MH75" i="1"/>
  <c r="MH60" i="1"/>
  <c r="MW60" i="1"/>
  <c r="MH52" i="1"/>
  <c r="MW52" i="1"/>
  <c r="MH44" i="1"/>
  <c r="MW44" i="1"/>
  <c r="MH36" i="1"/>
  <c r="MW36" i="1"/>
  <c r="MH28" i="1"/>
  <c r="MW28" i="1"/>
  <c r="MH20" i="1"/>
  <c r="MH12" i="1"/>
  <c r="MI85" i="1"/>
  <c r="MX85" i="1"/>
  <c r="MI77" i="1"/>
  <c r="MX77" i="1"/>
  <c r="MI69" i="1"/>
  <c r="MX69" i="1"/>
  <c r="MI62" i="1"/>
  <c r="MX62" i="1"/>
  <c r="MI54" i="1"/>
  <c r="MX54" i="1"/>
  <c r="MI46" i="1"/>
  <c r="MX46" i="1"/>
  <c r="MI38" i="1"/>
  <c r="MX38" i="1"/>
  <c r="MI30" i="1"/>
  <c r="MX30" i="1"/>
  <c r="MI22" i="1"/>
  <c r="MX22" i="1"/>
  <c r="MI14" i="1"/>
  <c r="MX14" i="1"/>
  <c r="MJ10" i="1"/>
  <c r="MY10" i="1"/>
  <c r="MJ18" i="1"/>
  <c r="MY18" i="1"/>
  <c r="MJ26" i="1"/>
  <c r="MY26" i="1"/>
  <c r="MJ34" i="1"/>
  <c r="MY34" i="1"/>
  <c r="MJ42" i="1"/>
  <c r="MY42" i="1"/>
  <c r="MJ50" i="1"/>
  <c r="MY50" i="1"/>
  <c r="MJ58" i="1"/>
  <c r="MY58" i="1"/>
  <c r="MJ66" i="1"/>
  <c r="MY66" i="1"/>
  <c r="MJ73" i="1"/>
  <c r="MY73" i="1"/>
  <c r="MJ81" i="1"/>
  <c r="MY81" i="1"/>
  <c r="MJ88" i="1"/>
  <c r="MY88" i="1"/>
  <c r="MW83" i="1"/>
  <c r="MH31" i="1"/>
  <c r="MW31" i="1"/>
  <c r="MI57" i="1"/>
  <c r="MX57" i="1"/>
  <c r="MI9" i="1"/>
  <c r="MX9" i="1"/>
  <c r="MJ25" i="1"/>
  <c r="MY25" i="1"/>
  <c r="MJ72" i="1"/>
  <c r="MY72" i="1"/>
  <c r="MH82" i="1"/>
  <c r="MW82" i="1"/>
  <c r="MH67" i="1"/>
  <c r="MW67" i="1"/>
  <c r="MH51" i="1"/>
  <c r="MW51" i="1"/>
  <c r="MH35" i="1"/>
  <c r="MW35" i="1"/>
  <c r="MH19" i="1"/>
  <c r="MW19" i="1"/>
  <c r="MI84" i="1"/>
  <c r="MX84" i="1"/>
  <c r="MI76" i="1"/>
  <c r="MX76" i="1"/>
  <c r="MI68" i="1"/>
  <c r="MX68" i="1"/>
  <c r="MI61" i="1"/>
  <c r="MX61" i="1"/>
  <c r="MI53" i="1"/>
  <c r="MX53" i="1"/>
  <c r="MI45" i="1"/>
  <c r="MX45" i="1"/>
  <c r="MI37" i="1"/>
  <c r="MX37" i="1"/>
  <c r="MI29" i="1"/>
  <c r="MX29" i="1"/>
  <c r="MI21" i="1"/>
  <c r="MX21" i="1"/>
  <c r="MI13" i="1"/>
  <c r="MX13" i="1"/>
  <c r="MK85" i="1"/>
  <c r="MK77" i="1"/>
  <c r="MK69" i="1"/>
  <c r="MK62" i="1"/>
  <c r="MK54" i="1"/>
  <c r="MK46" i="1"/>
  <c r="MK38" i="1"/>
  <c r="MK30" i="1"/>
  <c r="MK22" i="1"/>
  <c r="MK14" i="1"/>
  <c r="ML85" i="1"/>
  <c r="ML77" i="1"/>
  <c r="ML69" i="1"/>
  <c r="ML62" i="1"/>
  <c r="ML54" i="1"/>
  <c r="ML46" i="1"/>
  <c r="ML38" i="1"/>
  <c r="ML30" i="1"/>
  <c r="ML22" i="1"/>
  <c r="ML14" i="1"/>
  <c r="MH55" i="1"/>
  <c r="MW55" i="1"/>
  <c r="MH15" i="1"/>
  <c r="MW15" i="1"/>
  <c r="MI65" i="1"/>
  <c r="MX65" i="1"/>
  <c r="MI17" i="1"/>
  <c r="MX17" i="1"/>
  <c r="MJ49" i="1"/>
  <c r="MY49" i="1"/>
  <c r="MH74" i="1"/>
  <c r="MW74" i="1"/>
  <c r="MH59" i="1"/>
  <c r="MW59" i="1"/>
  <c r="MH43" i="1"/>
  <c r="MW43" i="1"/>
  <c r="MH27" i="1"/>
  <c r="MW27" i="1"/>
  <c r="MH11" i="1"/>
  <c r="MW11" i="1"/>
  <c r="MW88" i="1"/>
  <c r="MW81" i="1"/>
  <c r="MW73" i="1"/>
  <c r="MW66" i="1"/>
  <c r="MW58" i="1"/>
  <c r="MW50" i="1"/>
  <c r="MW42" i="1"/>
  <c r="MW34" i="1"/>
  <c r="MW26" i="1"/>
  <c r="MW18" i="1"/>
  <c r="MW10" i="1"/>
  <c r="MX83" i="1"/>
  <c r="MX75" i="1"/>
  <c r="MX60" i="1"/>
  <c r="MX52" i="1"/>
  <c r="MX44" i="1"/>
  <c r="MX36" i="1"/>
  <c r="MX28" i="1"/>
  <c r="MX20" i="1"/>
  <c r="MX12" i="1"/>
  <c r="MY12" i="1"/>
  <c r="MY20" i="1"/>
  <c r="MY28" i="1"/>
  <c r="MY52" i="1"/>
  <c r="MY60" i="1"/>
  <c r="MY75" i="1"/>
  <c r="MY83" i="1"/>
  <c r="ML84" i="1"/>
  <c r="ML76" i="1"/>
  <c r="ML68" i="1"/>
  <c r="MH70" i="1"/>
  <c r="MW70" i="1"/>
  <c r="MH23" i="1"/>
  <c r="MW23" i="1"/>
  <c r="MI87" i="1"/>
  <c r="MX87" i="1"/>
  <c r="MI41" i="1"/>
  <c r="MX41" i="1"/>
  <c r="MJ41" i="1"/>
  <c r="MY41" i="1"/>
  <c r="MJ87" i="1"/>
  <c r="MY87" i="1"/>
  <c r="MY13" i="1"/>
  <c r="MY21" i="1"/>
  <c r="MY29" i="1"/>
  <c r="MY37" i="1"/>
  <c r="MY45" i="1"/>
  <c r="MY53" i="1"/>
  <c r="MY61" i="1"/>
  <c r="MY68" i="1"/>
  <c r="MY76" i="1"/>
  <c r="MY84" i="1"/>
  <c r="MH78" i="1"/>
  <c r="MW78" i="1"/>
  <c r="MH39" i="1"/>
  <c r="MW39" i="1"/>
  <c r="MI72" i="1"/>
  <c r="MX72" i="1"/>
  <c r="MI25" i="1"/>
  <c r="MX25" i="1"/>
  <c r="MJ17" i="1"/>
  <c r="MY17" i="1"/>
  <c r="MJ65" i="1"/>
  <c r="MY65" i="1"/>
  <c r="MW24" i="1"/>
  <c r="MW16" i="1"/>
  <c r="MW8" i="1"/>
  <c r="MX88" i="1"/>
  <c r="MX81" i="1"/>
  <c r="MX73" i="1"/>
  <c r="MX66" i="1"/>
  <c r="MX58" i="1"/>
  <c r="MX50" i="1"/>
  <c r="MX42" i="1"/>
  <c r="MX34" i="1"/>
  <c r="MX26" i="1"/>
  <c r="MX18" i="1"/>
  <c r="MX10" i="1"/>
  <c r="MJ14" i="1"/>
  <c r="MY14" i="1"/>
  <c r="MJ22" i="1"/>
  <c r="MY22" i="1"/>
  <c r="MJ30" i="1"/>
  <c r="MY30" i="1"/>
  <c r="MJ38" i="1"/>
  <c r="MY38" i="1"/>
  <c r="MJ46" i="1"/>
  <c r="MY46" i="1"/>
  <c r="MJ54" i="1"/>
  <c r="MY54" i="1"/>
  <c r="MJ62" i="1"/>
  <c r="MY62" i="1"/>
  <c r="MJ69" i="1"/>
  <c r="MY69" i="1"/>
  <c r="MJ77" i="1"/>
  <c r="MY77" i="1"/>
  <c r="MJ85" i="1"/>
  <c r="MY85" i="1"/>
  <c r="MO79" i="1"/>
  <c r="MO71" i="1"/>
  <c r="MO64" i="1"/>
  <c r="MO56" i="1"/>
  <c r="MO48" i="1"/>
  <c r="MO40" i="1"/>
  <c r="MO32" i="1"/>
  <c r="MO24" i="1"/>
  <c r="MO16" i="1"/>
  <c r="MO8" i="1"/>
  <c r="MP79" i="1"/>
  <c r="MP71" i="1"/>
  <c r="MP64" i="1"/>
  <c r="MP56" i="1"/>
  <c r="MP48" i="1"/>
  <c r="MP40" i="1"/>
  <c r="MP32" i="1"/>
  <c r="MP24" i="1"/>
  <c r="MP16" i="1"/>
  <c r="MP8" i="1"/>
  <c r="MQ87" i="1"/>
  <c r="MQ80" i="1"/>
  <c r="MQ72" i="1"/>
  <c r="MQ65" i="1"/>
  <c r="MQ57" i="1"/>
  <c r="MQ49" i="1"/>
  <c r="MQ41" i="1"/>
  <c r="MQ33" i="1"/>
  <c r="MQ25" i="1"/>
  <c r="MQ17" i="1"/>
  <c r="MQ9" i="1"/>
  <c r="MR87" i="1"/>
  <c r="MR80" i="1"/>
  <c r="MR72" i="1"/>
  <c r="MR65" i="1"/>
  <c r="MR57" i="1"/>
  <c r="MR49" i="1"/>
  <c r="MR41" i="1"/>
  <c r="MR33" i="1"/>
  <c r="MR25" i="1"/>
  <c r="MR17" i="1"/>
  <c r="MR9" i="1"/>
  <c r="MM10" i="1"/>
  <c r="MM18" i="1"/>
  <c r="MM26" i="1"/>
  <c r="MM34" i="1"/>
  <c r="MM42" i="1"/>
  <c r="MM50" i="1"/>
  <c r="MM58" i="1"/>
  <c r="MM66" i="1"/>
  <c r="MM73" i="1"/>
  <c r="MM81" i="1"/>
  <c r="MM88" i="1"/>
  <c r="MO84" i="1"/>
  <c r="MO76" i="1"/>
  <c r="MO68" i="1"/>
  <c r="MO53" i="1"/>
  <c r="MO45" i="1"/>
  <c r="MO37" i="1"/>
  <c r="MO29" i="1"/>
  <c r="MO21" i="1"/>
  <c r="MO13" i="1"/>
  <c r="MP84" i="1"/>
  <c r="MP76" i="1"/>
  <c r="MP68" i="1"/>
  <c r="MP61" i="1"/>
  <c r="MP53" i="1"/>
  <c r="MP45" i="1"/>
  <c r="MP37" i="1"/>
  <c r="MP29" i="1"/>
  <c r="MP21" i="1"/>
  <c r="MP13" i="1"/>
  <c r="MQ85" i="1"/>
  <c r="MQ77" i="1"/>
  <c r="MQ69" i="1"/>
  <c r="MQ62" i="1"/>
  <c r="MQ54" i="1"/>
  <c r="MQ46" i="1"/>
  <c r="MQ38" i="1"/>
  <c r="MQ30" i="1"/>
  <c r="MQ22" i="1"/>
  <c r="MQ14" i="1"/>
  <c r="MR85" i="1"/>
  <c r="MR77" i="1"/>
  <c r="MR69" i="1"/>
  <c r="MR62" i="1"/>
  <c r="MR54" i="1"/>
  <c r="MR46" i="1"/>
  <c r="MR38" i="1"/>
  <c r="MR30" i="1"/>
  <c r="MR22" i="1"/>
  <c r="MR14" i="1"/>
  <c r="MS8" i="1"/>
  <c r="MS10" i="1"/>
  <c r="MS12" i="1"/>
  <c r="MS14" i="1"/>
  <c r="MS16" i="1"/>
  <c r="MS18" i="1"/>
  <c r="MS20" i="1"/>
  <c r="MS22" i="1"/>
  <c r="MS24" i="1"/>
  <c r="MS26" i="1"/>
  <c r="MS28" i="1"/>
  <c r="MS30" i="1"/>
  <c r="MS32" i="1"/>
  <c r="MS34" i="1"/>
  <c r="MS36" i="1"/>
  <c r="MS38" i="1"/>
  <c r="MS40" i="1"/>
  <c r="MS42" i="1"/>
  <c r="MS44" i="1"/>
  <c r="MS46" i="1"/>
  <c r="MS48" i="1"/>
  <c r="MS50" i="1"/>
  <c r="MS52" i="1"/>
  <c r="MS54" i="1"/>
  <c r="MS56" i="1"/>
  <c r="MS58" i="1"/>
  <c r="MS60" i="1"/>
  <c r="MS62" i="1"/>
  <c r="MS64" i="1"/>
  <c r="MS66" i="1"/>
  <c r="MO82" i="1"/>
  <c r="MO74" i="1"/>
  <c r="MO67" i="1"/>
  <c r="MO59" i="1"/>
  <c r="MO51" i="1"/>
  <c r="MO43" i="1"/>
  <c r="MO35" i="1"/>
  <c r="MO27" i="1"/>
  <c r="MO19" i="1"/>
  <c r="MO11" i="1"/>
  <c r="MP82" i="1"/>
  <c r="MP74" i="1"/>
  <c r="MP67" i="1"/>
  <c r="MP59" i="1"/>
  <c r="MP51" i="1"/>
  <c r="MP43" i="1"/>
  <c r="MP35" i="1"/>
  <c r="MP27" i="1"/>
  <c r="MP19" i="1"/>
  <c r="MP11" i="1"/>
  <c r="MQ83" i="1"/>
  <c r="MQ75" i="1"/>
  <c r="MQ60" i="1"/>
  <c r="MQ52" i="1"/>
  <c r="MQ44" i="1"/>
  <c r="MQ36" i="1"/>
  <c r="MQ28" i="1"/>
  <c r="MQ20" i="1"/>
  <c r="MQ12" i="1"/>
  <c r="MR83" i="1"/>
  <c r="MR75" i="1"/>
  <c r="MR60" i="1"/>
  <c r="MR52" i="1"/>
  <c r="MR44" i="1"/>
  <c r="MR36" i="1"/>
  <c r="MR28" i="1"/>
  <c r="MR20" i="1"/>
  <c r="MR12" i="1"/>
  <c r="MM13" i="1"/>
  <c r="MM21" i="1"/>
  <c r="MM29" i="1"/>
  <c r="MM37" i="1"/>
  <c r="MM45" i="1"/>
  <c r="MM53" i="1"/>
  <c r="MM61" i="1"/>
  <c r="MM68" i="1"/>
  <c r="MM76" i="1"/>
  <c r="MM84" i="1"/>
  <c r="MN83" i="1"/>
  <c r="MN75" i="1"/>
  <c r="MN60" i="1"/>
  <c r="MN52" i="1"/>
  <c r="MS69" i="1"/>
  <c r="MS71" i="1"/>
  <c r="MS73" i="1"/>
  <c r="MS75" i="1"/>
  <c r="MS77" i="1"/>
  <c r="MS79" i="1"/>
  <c r="MS81" i="1"/>
  <c r="MS83" i="1"/>
  <c r="MS85" i="1"/>
  <c r="MS88" i="1"/>
  <c r="MT8" i="1"/>
  <c r="MT10" i="1"/>
  <c r="MT12" i="1"/>
  <c r="MT14" i="1"/>
  <c r="MT16" i="1"/>
  <c r="MT18" i="1"/>
  <c r="MT20" i="1"/>
  <c r="MT22" i="1"/>
  <c r="MT24" i="1"/>
  <c r="MT26" i="1"/>
  <c r="MT28" i="1"/>
  <c r="MT30" i="1"/>
  <c r="MT32" i="1"/>
  <c r="MT34" i="1"/>
  <c r="MT36" i="1"/>
  <c r="MT38" i="1"/>
  <c r="MT40" i="1"/>
  <c r="MT42" i="1"/>
  <c r="MT44" i="1"/>
  <c r="MT46" i="1"/>
  <c r="MT48" i="1"/>
  <c r="MT50" i="1"/>
  <c r="MT52" i="1"/>
  <c r="MT54" i="1"/>
  <c r="MT56" i="1"/>
  <c r="MT58" i="1"/>
  <c r="MT60" i="1"/>
  <c r="MT62" i="1"/>
  <c r="MT64" i="1"/>
  <c r="MT66" i="1"/>
  <c r="MT69" i="1"/>
  <c r="MT71" i="1"/>
  <c r="MT73" i="1"/>
  <c r="MT75" i="1"/>
  <c r="MT77" i="1"/>
  <c r="MT79" i="1"/>
  <c r="MT81" i="1"/>
  <c r="MT83" i="1"/>
  <c r="MT85" i="1"/>
  <c r="MT88" i="1"/>
  <c r="MK84" i="1"/>
  <c r="MK45" i="1"/>
  <c r="MK82" i="1"/>
  <c r="MK74" i="1"/>
  <c r="MK67" i="1"/>
  <c r="MK59" i="1"/>
  <c r="MK51" i="1"/>
  <c r="MK43" i="1"/>
  <c r="MK35" i="1"/>
  <c r="MK27" i="1"/>
  <c r="MK19" i="1"/>
  <c r="MK11" i="1"/>
  <c r="ML82" i="1"/>
  <c r="ML74" i="1"/>
  <c r="ML67" i="1"/>
  <c r="ML59" i="1"/>
  <c r="ML51" i="1"/>
  <c r="ML43" i="1"/>
  <c r="ML35" i="1"/>
  <c r="ML27" i="1"/>
  <c r="ML19" i="1"/>
  <c r="MO87" i="1"/>
  <c r="MO80" i="1"/>
  <c r="MO72" i="1"/>
  <c r="MO65" i="1"/>
  <c r="MO57" i="1"/>
  <c r="MO49" i="1"/>
  <c r="MO41" i="1"/>
  <c r="MO33" i="1"/>
  <c r="MO25" i="1"/>
  <c r="MO17" i="1"/>
  <c r="MO9" i="1"/>
  <c r="MP87" i="1"/>
  <c r="MP80" i="1"/>
  <c r="MP72" i="1"/>
  <c r="MP65" i="1"/>
  <c r="MP57" i="1"/>
  <c r="MP49" i="1"/>
  <c r="MP41" i="1"/>
  <c r="MP33" i="1"/>
  <c r="MP25" i="1"/>
  <c r="MP17" i="1"/>
  <c r="MP9" i="1"/>
  <c r="MQ88" i="1"/>
  <c r="MQ81" i="1"/>
  <c r="MQ73" i="1"/>
  <c r="MQ66" i="1"/>
  <c r="MQ58" i="1"/>
  <c r="MQ50" i="1"/>
  <c r="MQ42" i="1"/>
  <c r="MQ34" i="1"/>
  <c r="MQ26" i="1"/>
  <c r="MQ18" i="1"/>
  <c r="MQ10" i="1"/>
  <c r="MR88" i="1"/>
  <c r="MR81" i="1"/>
  <c r="MR73" i="1"/>
  <c r="MR66" i="1"/>
  <c r="MR58" i="1"/>
  <c r="MR50" i="1"/>
  <c r="MR42" i="1"/>
  <c r="MR34" i="1"/>
  <c r="MR26" i="1"/>
  <c r="MR18" i="1"/>
  <c r="MR10" i="1"/>
  <c r="MN88" i="1"/>
  <c r="MN81" i="1"/>
  <c r="MN73" i="1"/>
  <c r="MN66" i="1"/>
  <c r="MN58" i="1"/>
  <c r="MN50" i="1"/>
  <c r="MN42" i="1"/>
  <c r="MN33" i="1"/>
  <c r="MN25" i="1"/>
  <c r="MN17" i="1"/>
  <c r="MN9" i="1"/>
  <c r="MI79" i="1"/>
  <c r="MI71" i="1"/>
  <c r="MI64" i="1"/>
  <c r="MJ8" i="1"/>
  <c r="MJ16" i="1"/>
  <c r="MJ24" i="1"/>
  <c r="MJ32" i="1"/>
  <c r="MJ40" i="1"/>
  <c r="MJ48" i="1"/>
  <c r="MM8" i="1"/>
  <c r="MM16" i="1"/>
  <c r="MM24" i="1"/>
  <c r="MM32" i="1"/>
  <c r="MM40" i="1"/>
  <c r="MM48" i="1"/>
  <c r="MM56" i="1"/>
  <c r="MM64" i="1"/>
  <c r="MM71" i="1"/>
  <c r="MM79" i="1"/>
  <c r="MK79" i="1"/>
  <c r="MK71" i="1"/>
  <c r="MK64" i="1"/>
  <c r="MK56" i="1"/>
  <c r="MK48" i="1"/>
  <c r="MK40" i="1"/>
  <c r="MK32" i="1"/>
  <c r="MK24" i="1"/>
  <c r="MK16" i="1"/>
  <c r="MK8" i="1"/>
  <c r="ML79" i="1"/>
  <c r="ML71" i="1"/>
  <c r="ML64" i="1"/>
  <c r="ML56" i="1"/>
  <c r="ML48" i="1"/>
  <c r="ML40" i="1"/>
  <c r="ML32" i="1"/>
  <c r="ML24" i="1"/>
  <c r="ML16" i="1"/>
  <c r="ML8" i="1"/>
  <c r="MO85" i="1"/>
  <c r="MO77" i="1"/>
  <c r="MO69" i="1"/>
  <c r="MO62" i="1"/>
  <c r="MO54" i="1"/>
  <c r="MO46" i="1"/>
  <c r="MO38" i="1"/>
  <c r="MO30" i="1"/>
  <c r="MO22" i="1"/>
  <c r="MO14" i="1"/>
  <c r="MP85" i="1"/>
  <c r="MP77" i="1"/>
  <c r="MP69" i="1"/>
  <c r="MP62" i="1"/>
  <c r="MP54" i="1"/>
  <c r="MP46" i="1"/>
  <c r="MP38" i="1"/>
  <c r="MP30" i="1"/>
  <c r="MP22" i="1"/>
  <c r="MP14" i="1"/>
  <c r="MQ86" i="1"/>
  <c r="MQ78" i="1"/>
  <c r="MQ70" i="1"/>
  <c r="MQ63" i="1"/>
  <c r="MQ55" i="1"/>
  <c r="MQ47" i="1"/>
  <c r="MQ39" i="1"/>
  <c r="MQ31" i="1"/>
  <c r="MQ23" i="1"/>
  <c r="MQ15" i="1"/>
  <c r="MR86" i="1"/>
  <c r="MR78" i="1"/>
  <c r="MR70" i="1"/>
  <c r="MR63" i="1"/>
  <c r="MR55" i="1"/>
  <c r="MR47" i="1"/>
  <c r="MR39" i="1"/>
  <c r="MR31" i="1"/>
  <c r="MR23" i="1"/>
  <c r="MR15" i="1"/>
  <c r="MR7" i="1"/>
  <c r="MN86" i="1"/>
  <c r="MN78" i="1"/>
  <c r="MN70" i="1"/>
  <c r="MN63" i="1"/>
  <c r="MN55" i="1"/>
  <c r="MN47" i="1"/>
  <c r="MN38" i="1"/>
  <c r="MN30" i="1"/>
  <c r="MN22" i="1"/>
  <c r="MN14" i="1"/>
  <c r="MM11" i="1"/>
  <c r="MM19" i="1"/>
  <c r="MM27" i="1"/>
  <c r="MM35" i="1"/>
  <c r="MM43" i="1"/>
  <c r="MM51" i="1"/>
  <c r="MM59" i="1"/>
  <c r="MJ19" i="1"/>
  <c r="MJ35" i="1"/>
  <c r="MJ51" i="1"/>
  <c r="MJ67" i="1"/>
  <c r="MJ11" i="1"/>
  <c r="MJ27" i="1"/>
  <c r="MJ43" i="1"/>
  <c r="MJ59" i="1"/>
  <c r="MP88" i="1"/>
  <c r="MP81" i="1"/>
  <c r="MP73" i="1"/>
  <c r="MP66" i="1"/>
  <c r="MP58" i="1"/>
  <c r="MP50" i="1"/>
  <c r="MP42" i="1"/>
  <c r="MP34" i="1"/>
  <c r="MP26" i="1"/>
  <c r="MP18" i="1"/>
  <c r="MP10" i="1"/>
  <c r="MQ82" i="1"/>
  <c r="MQ74" i="1"/>
  <c r="MQ67" i="1"/>
  <c r="MQ59" i="1"/>
  <c r="MQ51" i="1"/>
  <c r="MQ43" i="1"/>
  <c r="MQ35" i="1"/>
  <c r="MQ27" i="1"/>
  <c r="MQ19" i="1"/>
  <c r="MQ11" i="1"/>
  <c r="MR82" i="1"/>
  <c r="MR74" i="1"/>
  <c r="MR67" i="1"/>
  <c r="MR59" i="1"/>
  <c r="MR51" i="1"/>
  <c r="MR43" i="1"/>
  <c r="MR35" i="1"/>
  <c r="MR27" i="1"/>
  <c r="MR19" i="1"/>
  <c r="MR11" i="1"/>
  <c r="MH64" i="1"/>
  <c r="MH48" i="1"/>
  <c r="MH16" i="1"/>
  <c r="MI81" i="1"/>
  <c r="MI58" i="1"/>
  <c r="MI50" i="1"/>
  <c r="MI26" i="1"/>
  <c r="MH79" i="1"/>
  <c r="MH56" i="1"/>
  <c r="MH40" i="1"/>
  <c r="MH24" i="1"/>
  <c r="MI73" i="1"/>
  <c r="MI34" i="1"/>
  <c r="MI18" i="1"/>
  <c r="MH71" i="1"/>
  <c r="MH32" i="1"/>
  <c r="MH8" i="1"/>
  <c r="MI88" i="1"/>
  <c r="MI66" i="1"/>
  <c r="MI42" i="1"/>
  <c r="MI10" i="1"/>
  <c r="MM67" i="1"/>
  <c r="MM74" i="1"/>
  <c r="MK76" i="1"/>
  <c r="MK68" i="1"/>
  <c r="MK61" i="1"/>
  <c r="MK53" i="1"/>
  <c r="MK37" i="1"/>
  <c r="MK29" i="1"/>
  <c r="MK21" i="1"/>
  <c r="MK13" i="1"/>
  <c r="ML61" i="1"/>
  <c r="ML53" i="1"/>
  <c r="ML45" i="1"/>
  <c r="ML11" i="1"/>
  <c r="MM69" i="1"/>
  <c r="MM77" i="1"/>
  <c r="MM85" i="1"/>
  <c r="MO61" i="1"/>
  <c r="MN39" i="1"/>
  <c r="MH61" i="1"/>
  <c r="MH87" i="1"/>
  <c r="MH80" i="1"/>
  <c r="MH72" i="1"/>
  <c r="MH65" i="1"/>
  <c r="MH57" i="1"/>
  <c r="MH49" i="1"/>
  <c r="MH41" i="1"/>
  <c r="MH33" i="1"/>
  <c r="MH25" i="1"/>
  <c r="MH17" i="1"/>
  <c r="MH9" i="1"/>
  <c r="MI82" i="1"/>
  <c r="MI74" i="1"/>
  <c r="MI67" i="1"/>
  <c r="MI59" i="1"/>
  <c r="MI51" i="1"/>
  <c r="MI43" i="1"/>
  <c r="MI35" i="1"/>
  <c r="MI27" i="1"/>
  <c r="MI19" i="1"/>
  <c r="MI11" i="1"/>
  <c r="MJ13" i="1"/>
  <c r="MJ21" i="1"/>
  <c r="MJ29" i="1"/>
  <c r="MJ37" i="1"/>
  <c r="MJ45" i="1"/>
  <c r="MJ53" i="1"/>
  <c r="MJ61" i="1"/>
  <c r="MJ68" i="1"/>
  <c r="MJ76" i="1"/>
  <c r="MJ84" i="1"/>
  <c r="MN44" i="1"/>
  <c r="MN35" i="1"/>
  <c r="MN27" i="1"/>
  <c r="MN19" i="1"/>
  <c r="MN11" i="1"/>
  <c r="MJ7" i="1"/>
  <c r="MJ15" i="1"/>
  <c r="MJ23" i="1"/>
  <c r="MJ31" i="1"/>
  <c r="MJ39" i="1"/>
  <c r="MJ47" i="1"/>
  <c r="MJ55" i="1"/>
  <c r="MJ63" i="1"/>
  <c r="MJ70" i="1"/>
  <c r="MJ78" i="1"/>
  <c r="MM7" i="1"/>
  <c r="MM15" i="1"/>
  <c r="MM23" i="1"/>
  <c r="MM31" i="1"/>
  <c r="MM39" i="1"/>
  <c r="MM47" i="1"/>
  <c r="MM55" i="1"/>
  <c r="MM63" i="1"/>
  <c r="MM70" i="1"/>
  <c r="MM78" i="1"/>
  <c r="MM86" i="1"/>
  <c r="MH68" i="1"/>
  <c r="MH45" i="1"/>
  <c r="MH37" i="1"/>
  <c r="MH29" i="1"/>
  <c r="MH21" i="1"/>
  <c r="MH13" i="1"/>
  <c r="MI86" i="1"/>
  <c r="MI78" i="1"/>
  <c r="MI70" i="1"/>
  <c r="MI63" i="1"/>
  <c r="MI55" i="1"/>
  <c r="MI47" i="1"/>
  <c r="MI39" i="1"/>
  <c r="MI31" i="1"/>
  <c r="MI23" i="1"/>
  <c r="MI15" i="1"/>
  <c r="MI7" i="1"/>
  <c r="MK86" i="1"/>
  <c r="MK78" i="1"/>
  <c r="MK70" i="1"/>
  <c r="MK63" i="1"/>
  <c r="MK55" i="1"/>
  <c r="MK47" i="1"/>
  <c r="MK39" i="1"/>
  <c r="MK31" i="1"/>
  <c r="MK23" i="1"/>
  <c r="MK15" i="1"/>
  <c r="MK7" i="1"/>
  <c r="ML86" i="1"/>
  <c r="ML78" i="1"/>
  <c r="ML70" i="1"/>
  <c r="ML63" i="1"/>
  <c r="ML55" i="1"/>
  <c r="ML47" i="1"/>
  <c r="ML39" i="1"/>
  <c r="ML31" i="1"/>
  <c r="ML23" i="1"/>
  <c r="ML15" i="1"/>
  <c r="ML7" i="1"/>
  <c r="MH84" i="1"/>
  <c r="MJ74" i="1"/>
  <c r="MM82" i="1"/>
  <c r="MN85" i="1"/>
  <c r="MN77" i="1"/>
  <c r="MN69" i="1"/>
  <c r="MN62" i="1"/>
  <c r="MN54" i="1"/>
  <c r="MN46" i="1"/>
  <c r="MN37" i="1"/>
  <c r="MN29" i="1"/>
  <c r="MN21" i="1"/>
  <c r="MN13" i="1"/>
  <c r="MH76" i="1"/>
  <c r="MH53" i="1"/>
  <c r="ML37" i="1"/>
  <c r="ML29" i="1"/>
  <c r="ML21" i="1"/>
  <c r="ML13" i="1"/>
  <c r="MN82" i="1"/>
  <c r="MN74" i="1"/>
  <c r="MN67" i="1"/>
  <c r="MN59" i="1"/>
  <c r="MN51" i="1"/>
  <c r="MN43" i="1"/>
  <c r="MN34" i="1"/>
  <c r="MN26" i="1"/>
  <c r="MN18" i="1"/>
  <c r="MN10" i="1"/>
  <c r="MH85" i="1"/>
  <c r="MH77" i="1"/>
  <c r="MH69" i="1"/>
  <c r="MH62" i="1"/>
  <c r="MH54" i="1"/>
  <c r="MH46" i="1"/>
  <c r="MH88" i="1"/>
  <c r="MM12" i="1"/>
  <c r="MM20" i="1"/>
  <c r="MM28" i="1"/>
  <c r="MM36" i="1"/>
  <c r="MM44" i="1"/>
  <c r="MM52" i="1"/>
  <c r="MM60" i="1"/>
  <c r="MM75" i="1"/>
  <c r="MM83" i="1"/>
  <c r="MK83" i="1"/>
  <c r="MK75" i="1"/>
  <c r="MK60" i="1"/>
  <c r="MK52" i="1"/>
  <c r="MK44" i="1"/>
  <c r="MK36" i="1"/>
  <c r="MK28" i="1"/>
  <c r="MK20" i="1"/>
  <c r="MK12" i="1"/>
  <c r="ML83" i="1"/>
  <c r="ML75" i="1"/>
  <c r="ML60" i="1"/>
  <c r="ML52" i="1"/>
  <c r="ML44" i="1"/>
  <c r="ML36" i="1"/>
  <c r="ML28" i="1"/>
  <c r="ML20" i="1"/>
  <c r="ML12" i="1"/>
  <c r="MO88" i="1"/>
  <c r="MO81" i="1"/>
  <c r="MO73" i="1"/>
  <c r="MO66" i="1"/>
  <c r="MO58" i="1"/>
  <c r="MO50" i="1"/>
  <c r="MO42" i="1"/>
  <c r="MO34" i="1"/>
  <c r="MO26" i="1"/>
  <c r="MO18" i="1"/>
  <c r="MO10" i="1"/>
  <c r="MH38" i="1"/>
  <c r="MH30" i="1"/>
  <c r="MH22" i="1"/>
  <c r="MH14" i="1"/>
  <c r="MI56" i="1"/>
  <c r="MI48" i="1"/>
  <c r="MI40" i="1"/>
  <c r="MI32" i="1"/>
  <c r="MI24" i="1"/>
  <c r="MI16" i="1"/>
  <c r="MI8" i="1"/>
  <c r="MJ56" i="1"/>
  <c r="MJ64" i="1"/>
  <c r="MJ71" i="1"/>
  <c r="MJ79" i="1"/>
  <c r="MJ82" i="1"/>
  <c r="MH81" i="1"/>
  <c r="MH73" i="1"/>
  <c r="MH66" i="1"/>
  <c r="MH58" i="1"/>
  <c r="MH50" i="1"/>
  <c r="MH42" i="1"/>
  <c r="MH34" i="1"/>
  <c r="MH26" i="1"/>
  <c r="MH18" i="1"/>
  <c r="MH10" i="1"/>
  <c r="MI83" i="1"/>
  <c r="MI75" i="1"/>
  <c r="MI60" i="1"/>
  <c r="MI52" i="1"/>
  <c r="MI44" i="1"/>
  <c r="MI36" i="1"/>
  <c r="MI28" i="1"/>
  <c r="MI20" i="1"/>
  <c r="MI12" i="1"/>
  <c r="MJ12" i="1"/>
  <c r="MJ20" i="1"/>
  <c r="MJ28" i="1"/>
  <c r="MJ36" i="1"/>
  <c r="MJ44" i="1"/>
  <c r="MJ52" i="1"/>
  <c r="MJ60" i="1"/>
  <c r="MJ75" i="1"/>
  <c r="MJ83" i="1"/>
  <c r="MJ86" i="1"/>
  <c r="FO7" i="1"/>
  <c r="FO8" i="1"/>
  <c r="FO9" i="1"/>
  <c r="FO10" i="1"/>
  <c r="FO11" i="1"/>
  <c r="FO12" i="1"/>
  <c r="FO13" i="1"/>
  <c r="FO14" i="1"/>
  <c r="FO15" i="1"/>
  <c r="FO16" i="1"/>
  <c r="FO17" i="1"/>
  <c r="FO18" i="1"/>
  <c r="FO19" i="1"/>
  <c r="FO20" i="1"/>
  <c r="FO21" i="1"/>
  <c r="FO22" i="1"/>
  <c r="FO23" i="1"/>
  <c r="FO24" i="1"/>
  <c r="FO25" i="1"/>
  <c r="FO26" i="1"/>
  <c r="FO27" i="1"/>
  <c r="FO28" i="1"/>
  <c r="FO29" i="1"/>
  <c r="HW29" i="1" s="1"/>
  <c r="FO30" i="1"/>
  <c r="FO31" i="1"/>
  <c r="FO32" i="1"/>
  <c r="FO33" i="1"/>
  <c r="FO34" i="1"/>
  <c r="FO35" i="1"/>
  <c r="FO36" i="1"/>
  <c r="FO37" i="1"/>
  <c r="FO38" i="1"/>
  <c r="FO39" i="1"/>
  <c r="FO40" i="1"/>
  <c r="FO41" i="1"/>
  <c r="FO42" i="1"/>
  <c r="FO43" i="1"/>
  <c r="FO44" i="1"/>
  <c r="FO45" i="1"/>
  <c r="FO46" i="1"/>
  <c r="FO47" i="1"/>
  <c r="FO48" i="1"/>
  <c r="FO49" i="1"/>
  <c r="FO50" i="1"/>
  <c r="FO51" i="1"/>
  <c r="FO52" i="1"/>
  <c r="FO53" i="1"/>
  <c r="FO54" i="1"/>
  <c r="FO55" i="1"/>
  <c r="FO56" i="1"/>
  <c r="FO57" i="1"/>
  <c r="FO58" i="1"/>
  <c r="FO59" i="1"/>
  <c r="FO60" i="1"/>
  <c r="FO61" i="1"/>
  <c r="FO62" i="1"/>
  <c r="FO63" i="1"/>
  <c r="FO64" i="1"/>
  <c r="FO65" i="1"/>
  <c r="FO66" i="1"/>
  <c r="FO67" i="1"/>
  <c r="FO68" i="1"/>
  <c r="FO69" i="1"/>
  <c r="FO70" i="1"/>
  <c r="FO71" i="1"/>
  <c r="FO72" i="1"/>
  <c r="FO73" i="1"/>
  <c r="FO74" i="1"/>
  <c r="FO75" i="1"/>
  <c r="FO76" i="1"/>
  <c r="FO77" i="1"/>
  <c r="FO78" i="1"/>
  <c r="FO79" i="1"/>
  <c r="FO80" i="1"/>
  <c r="FO81" i="1"/>
  <c r="FO82" i="1"/>
  <c r="FO83" i="1"/>
  <c r="FO84" i="1"/>
  <c r="FO85" i="1"/>
  <c r="FO86" i="1"/>
  <c r="FO87" i="1"/>
  <c r="FO88" i="1"/>
  <c r="FN8" i="1"/>
  <c r="FN9" i="1"/>
  <c r="FN10" i="1"/>
  <c r="FN11" i="1"/>
  <c r="FN12" i="1"/>
  <c r="FN13" i="1"/>
  <c r="FN14" i="1"/>
  <c r="FN15" i="1"/>
  <c r="FN16" i="1"/>
  <c r="FN17" i="1"/>
  <c r="FN18" i="1"/>
  <c r="FN19" i="1"/>
  <c r="FN20" i="1"/>
  <c r="FN21" i="1"/>
  <c r="FN22" i="1"/>
  <c r="FN23" i="1"/>
  <c r="FN24" i="1"/>
  <c r="FN25" i="1"/>
  <c r="FN26" i="1"/>
  <c r="FN27" i="1"/>
  <c r="FN28" i="1"/>
  <c r="FN29" i="1"/>
  <c r="HV29" i="1" s="1"/>
  <c r="FN30" i="1"/>
  <c r="FN31" i="1"/>
  <c r="FN32" i="1"/>
  <c r="FN33" i="1"/>
  <c r="FN34" i="1"/>
  <c r="FN35" i="1"/>
  <c r="FN36" i="1"/>
  <c r="FN37" i="1"/>
  <c r="FN38" i="1"/>
  <c r="FN39" i="1"/>
  <c r="FN40" i="1"/>
  <c r="FN41" i="1"/>
  <c r="FN42" i="1"/>
  <c r="FN43" i="1"/>
  <c r="FN44" i="1"/>
  <c r="FN45" i="1"/>
  <c r="FN46" i="1"/>
  <c r="FN47" i="1"/>
  <c r="FN48" i="1"/>
  <c r="FN49" i="1"/>
  <c r="FN50" i="1"/>
  <c r="FN51" i="1"/>
  <c r="FN52" i="1"/>
  <c r="FN53" i="1"/>
  <c r="FN54" i="1"/>
  <c r="FN55" i="1"/>
  <c r="FN56" i="1"/>
  <c r="FN57" i="1"/>
  <c r="FN58" i="1"/>
  <c r="FN59" i="1"/>
  <c r="FN60" i="1"/>
  <c r="FN61" i="1"/>
  <c r="FN62" i="1"/>
  <c r="FN63" i="1"/>
  <c r="FN64" i="1"/>
  <c r="FN65" i="1"/>
  <c r="FN66" i="1"/>
  <c r="FN67" i="1"/>
  <c r="FN68" i="1"/>
  <c r="FN69" i="1"/>
  <c r="FN70" i="1"/>
  <c r="FN71" i="1"/>
  <c r="FN72" i="1"/>
  <c r="FN73" i="1"/>
  <c r="FN74" i="1"/>
  <c r="FN75" i="1"/>
  <c r="FN76" i="1"/>
  <c r="FN77" i="1"/>
  <c r="FN78" i="1"/>
  <c r="FN79" i="1"/>
  <c r="FN80" i="1"/>
  <c r="FN81" i="1"/>
  <c r="FN82" i="1"/>
  <c r="FN83" i="1"/>
  <c r="FN84" i="1"/>
  <c r="FN85" i="1"/>
  <c r="FN86" i="1"/>
  <c r="FN87" i="1"/>
  <c r="FN88" i="1"/>
  <c r="FM88" i="1"/>
  <c r="FM87" i="1"/>
  <c r="FM86" i="1"/>
  <c r="FM85" i="1"/>
  <c r="HU85" i="1" s="1"/>
  <c r="FM84" i="1"/>
  <c r="FM83" i="1"/>
  <c r="FM82" i="1"/>
  <c r="FM81" i="1"/>
  <c r="FM80" i="1"/>
  <c r="FM79" i="1"/>
  <c r="HU79" i="1" s="1"/>
  <c r="FM78" i="1"/>
  <c r="FM77" i="1"/>
  <c r="FM76" i="1"/>
  <c r="FM75" i="1"/>
  <c r="FM74" i="1"/>
  <c r="FM73" i="1"/>
  <c r="HU73" i="1" s="1"/>
  <c r="FM72" i="1"/>
  <c r="HU72" i="1" s="1"/>
  <c r="FM71" i="1"/>
  <c r="FM70" i="1"/>
  <c r="FM69" i="1"/>
  <c r="FM68" i="1"/>
  <c r="FM67" i="1"/>
  <c r="FM66" i="1"/>
  <c r="FM65" i="1"/>
  <c r="FM64" i="1"/>
  <c r="FM63" i="1"/>
  <c r="FM62" i="1"/>
  <c r="FM61" i="1"/>
  <c r="FM60" i="1"/>
  <c r="FM59" i="1"/>
  <c r="FM58" i="1"/>
  <c r="FM57" i="1"/>
  <c r="FM56" i="1"/>
  <c r="FM55" i="1"/>
  <c r="FM54" i="1"/>
  <c r="FM53" i="1"/>
  <c r="FM52" i="1"/>
  <c r="FM51" i="1"/>
  <c r="FM50" i="1"/>
  <c r="FM49" i="1"/>
  <c r="FM48" i="1"/>
  <c r="HU48" i="1" s="1"/>
  <c r="FM47" i="1"/>
  <c r="FM46" i="1"/>
  <c r="FM45" i="1"/>
  <c r="FM44" i="1"/>
  <c r="FM43" i="1"/>
  <c r="FM42" i="1"/>
  <c r="FM41" i="1"/>
  <c r="FM40" i="1"/>
  <c r="FM39" i="1"/>
  <c r="FM38" i="1"/>
  <c r="FM37" i="1"/>
  <c r="FM36" i="1"/>
  <c r="FM35" i="1"/>
  <c r="FM34" i="1"/>
  <c r="FM33" i="1"/>
  <c r="FM32" i="1"/>
  <c r="FM31" i="1"/>
  <c r="FM30" i="1"/>
  <c r="FM29" i="1"/>
  <c r="HU29" i="1" s="1"/>
  <c r="RB29" i="1" s="1"/>
  <c r="FM28" i="1"/>
  <c r="FM27" i="1"/>
  <c r="FM26" i="1"/>
  <c r="FM25" i="1"/>
  <c r="FM24" i="1"/>
  <c r="FM23" i="1"/>
  <c r="FM22" i="1"/>
  <c r="FM21" i="1"/>
  <c r="FM20" i="1"/>
  <c r="FM19" i="1"/>
  <c r="FM18" i="1"/>
  <c r="FM17" i="1"/>
  <c r="HU17" i="1" s="1"/>
  <c r="FM16" i="1"/>
  <c r="FM15" i="1"/>
  <c r="FM14" i="1"/>
  <c r="FM13" i="1"/>
  <c r="FM12" i="1"/>
  <c r="FM11" i="1"/>
  <c r="FM10" i="1"/>
  <c r="FM9" i="1"/>
  <c r="FM8" i="1"/>
  <c r="HU8" i="1" s="1"/>
  <c r="OU8" i="1" s="1"/>
  <c r="FM7" i="1"/>
  <c r="HU7" i="1" s="1"/>
  <c r="OU7" i="1" s="1"/>
  <c r="FL88" i="1"/>
  <c r="FL87" i="1"/>
  <c r="FL86" i="1"/>
  <c r="FL85" i="1"/>
  <c r="HT85" i="1" s="1"/>
  <c r="FL84" i="1"/>
  <c r="FL83" i="1"/>
  <c r="FL82" i="1"/>
  <c r="FL81" i="1"/>
  <c r="HT81" i="1" s="1"/>
  <c r="OT81" i="1" s="1"/>
  <c r="FL80" i="1"/>
  <c r="FL79" i="1"/>
  <c r="HT79" i="1" s="1"/>
  <c r="FL78" i="1"/>
  <c r="FL77" i="1"/>
  <c r="FL76" i="1"/>
  <c r="HT76" i="1" s="1"/>
  <c r="FL75" i="1"/>
  <c r="FL74" i="1"/>
  <c r="HT74" i="1" s="1"/>
  <c r="FL73" i="1"/>
  <c r="FL72" i="1"/>
  <c r="FL71" i="1"/>
  <c r="FL70" i="1"/>
  <c r="FL69" i="1"/>
  <c r="FL68" i="1"/>
  <c r="FL67" i="1"/>
  <c r="FL66" i="1"/>
  <c r="FL65" i="1"/>
  <c r="HT65" i="1" s="1"/>
  <c r="OT65" i="1" s="1"/>
  <c r="FL64" i="1"/>
  <c r="FL63" i="1"/>
  <c r="FL62" i="1"/>
  <c r="FL61" i="1"/>
  <c r="FL60" i="1"/>
  <c r="FL59" i="1"/>
  <c r="FL58" i="1"/>
  <c r="FL57" i="1"/>
  <c r="HT57" i="1" s="1"/>
  <c r="OT57" i="1" s="1"/>
  <c r="FL56" i="1"/>
  <c r="FL55" i="1"/>
  <c r="FL54" i="1"/>
  <c r="FL53" i="1"/>
  <c r="FL52" i="1"/>
  <c r="FL51" i="1"/>
  <c r="FL50" i="1"/>
  <c r="HT50" i="1" s="1"/>
  <c r="FL49" i="1"/>
  <c r="HT49" i="1" s="1"/>
  <c r="OT49" i="1" s="1"/>
  <c r="FL48" i="1"/>
  <c r="FL47" i="1"/>
  <c r="FL46" i="1"/>
  <c r="FL45" i="1"/>
  <c r="FL44" i="1"/>
  <c r="FL43" i="1"/>
  <c r="FL42" i="1"/>
  <c r="FL41" i="1"/>
  <c r="HT41" i="1" s="1"/>
  <c r="OT41" i="1" s="1"/>
  <c r="FL40" i="1"/>
  <c r="FL39" i="1"/>
  <c r="FL38" i="1"/>
  <c r="FL37" i="1"/>
  <c r="FL36" i="1"/>
  <c r="FL35" i="1"/>
  <c r="FL34" i="1"/>
  <c r="FL33" i="1"/>
  <c r="HT33" i="1" s="1"/>
  <c r="OT33" i="1" s="1"/>
  <c r="FL32" i="1"/>
  <c r="FL31" i="1"/>
  <c r="FL30" i="1"/>
  <c r="FL29" i="1"/>
  <c r="HT29" i="1" s="1"/>
  <c r="FL28" i="1"/>
  <c r="FL27" i="1"/>
  <c r="FL26" i="1"/>
  <c r="FL25" i="1"/>
  <c r="HT25" i="1" s="1"/>
  <c r="OT25" i="1" s="1"/>
  <c r="FL24" i="1"/>
  <c r="FL23" i="1"/>
  <c r="FL22" i="1"/>
  <c r="FL21" i="1"/>
  <c r="FL20" i="1"/>
  <c r="FL19" i="1"/>
  <c r="FL18" i="1"/>
  <c r="FL17" i="1"/>
  <c r="FL16" i="1"/>
  <c r="FL15" i="1"/>
  <c r="FL14" i="1"/>
  <c r="FL13" i="1"/>
  <c r="FL12" i="1"/>
  <c r="FL11" i="1"/>
  <c r="FL10" i="1"/>
  <c r="FL9" i="1"/>
  <c r="HT9" i="1" s="1"/>
  <c r="OT9" i="1" s="1"/>
  <c r="RF17" i="1" l="1"/>
  <c r="RN77" i="1"/>
  <c r="RJ70" i="1"/>
  <c r="RJ55" i="1"/>
  <c r="RE69" i="1"/>
  <c r="RI42" i="1"/>
  <c r="RE71" i="1"/>
  <c r="RK67" i="1"/>
  <c r="RM49" i="1"/>
  <c r="RN15" i="1"/>
  <c r="RF44" i="1"/>
  <c r="RJ19" i="1"/>
  <c r="RF69" i="1"/>
  <c r="RE88" i="1"/>
  <c r="RN26" i="1"/>
  <c r="RK14" i="1"/>
  <c r="HT48" i="1"/>
  <c r="RM50" i="1"/>
  <c r="RJ85" i="1"/>
  <c r="RK23" i="1"/>
  <c r="RH12" i="1"/>
  <c r="HU50" i="1"/>
  <c r="HU75" i="1"/>
  <c r="RI39" i="1"/>
  <c r="PW39" i="1"/>
  <c r="RI21" i="1"/>
  <c r="PW21" i="1"/>
  <c r="RI15" i="1"/>
  <c r="PW15" i="1"/>
  <c r="RI54" i="1"/>
  <c r="PW54" i="1"/>
  <c r="RI14" i="1"/>
  <c r="PW14" i="1"/>
  <c r="RI23" i="1"/>
  <c r="PW23" i="1"/>
  <c r="HT17" i="1"/>
  <c r="HT73" i="1"/>
  <c r="RI22" i="1"/>
  <c r="PW22" i="1"/>
  <c r="RI31" i="1"/>
  <c r="PW31" i="1"/>
  <c r="HT67" i="1"/>
  <c r="HT75" i="1"/>
  <c r="RI30" i="1"/>
  <c r="PW30" i="1"/>
  <c r="HU74" i="1"/>
  <c r="HU67" i="1"/>
  <c r="RI61" i="1"/>
  <c r="PW61" i="1"/>
  <c r="HU76" i="1"/>
  <c r="RI77" i="1"/>
  <c r="PW77" i="1"/>
  <c r="RI13" i="1"/>
  <c r="PW13" i="1"/>
  <c r="RH22" i="1"/>
  <c r="PS22" i="1"/>
  <c r="RH32" i="1"/>
  <c r="PS32" i="1"/>
  <c r="RH15" i="1"/>
  <c r="PS15" i="1"/>
  <c r="RH48" i="1"/>
  <c r="PS48" i="1"/>
  <c r="RH65" i="1"/>
  <c r="PS65" i="1"/>
  <c r="RM83" i="1"/>
  <c r="QM83" i="1"/>
  <c r="RP18" i="1"/>
  <c r="QY18" i="1"/>
  <c r="RM36" i="1"/>
  <c r="QM36" i="1"/>
  <c r="RH54" i="1"/>
  <c r="PS54" i="1"/>
  <c r="RH39" i="1"/>
  <c r="PS39" i="1"/>
  <c r="RF39" i="1"/>
  <c r="PK39" i="1"/>
  <c r="RH72" i="1"/>
  <c r="PS72" i="1"/>
  <c r="RF32" i="1"/>
  <c r="PK32" i="1"/>
  <c r="RH55" i="1"/>
  <c r="PS55" i="1"/>
  <c r="RH8" i="1"/>
  <c r="PS8" i="1"/>
  <c r="RH80" i="1"/>
  <c r="PS80" i="1"/>
  <c r="RH9" i="1"/>
  <c r="PS9" i="1"/>
  <c r="RM32" i="1"/>
  <c r="QM32" i="1"/>
  <c r="RF54" i="1"/>
  <c r="PK54" i="1"/>
  <c r="RH63" i="1"/>
  <c r="PS63" i="1"/>
  <c r="RH33" i="1"/>
  <c r="PS33" i="1"/>
  <c r="RH14" i="1"/>
  <c r="PS14" i="1"/>
  <c r="RH87" i="1"/>
  <c r="PS87" i="1"/>
  <c r="RH24" i="1"/>
  <c r="PS24" i="1"/>
  <c r="RM63" i="1"/>
  <c r="RM13" i="1"/>
  <c r="RM48" i="1"/>
  <c r="RM40" i="1"/>
  <c r="RM55" i="1"/>
  <c r="RM24" i="1"/>
  <c r="RM88" i="1"/>
  <c r="RM16" i="1"/>
  <c r="RM39" i="1"/>
  <c r="RM80" i="1"/>
  <c r="RM8" i="1"/>
  <c r="RM30" i="1"/>
  <c r="RM72" i="1"/>
  <c r="RM64" i="1"/>
  <c r="RM22" i="1"/>
  <c r="RM56" i="1"/>
  <c r="RI64" i="1"/>
  <c r="RI57" i="1"/>
  <c r="RI26" i="1"/>
  <c r="RI29" i="1"/>
  <c r="RI75" i="1"/>
  <c r="RI82" i="1"/>
  <c r="RI45" i="1"/>
  <c r="RI37" i="1"/>
  <c r="HV72" i="1"/>
  <c r="RI88" i="1"/>
  <c r="RI33" i="1"/>
  <c r="RI53" i="1"/>
  <c r="RI46" i="1"/>
  <c r="RI43" i="1"/>
  <c r="RI69" i="1"/>
  <c r="RI62" i="1"/>
  <c r="RI8" i="1"/>
  <c r="RI85" i="1"/>
  <c r="RI70" i="1"/>
  <c r="RI83" i="1"/>
  <c r="RI78" i="1"/>
  <c r="RI51" i="1"/>
  <c r="RI16" i="1"/>
  <c r="RI86" i="1"/>
  <c r="RI59" i="1"/>
  <c r="RI67" i="1"/>
  <c r="RH31" i="1"/>
  <c r="RH64" i="1"/>
  <c r="RP87" i="1"/>
  <c r="RH57" i="1"/>
  <c r="RP13" i="1"/>
  <c r="RH23" i="1"/>
  <c r="RH56" i="1"/>
  <c r="RH88" i="1"/>
  <c r="RO80" i="1"/>
  <c r="RO64" i="1"/>
  <c r="RO48" i="1"/>
  <c r="RO36" i="1"/>
  <c r="RO26" i="1"/>
  <c r="RO12" i="1"/>
  <c r="RO78" i="1"/>
  <c r="RO62" i="1"/>
  <c r="RO46" i="1"/>
  <c r="RO24" i="1"/>
  <c r="RO10" i="1"/>
  <c r="RO76" i="1"/>
  <c r="RO60" i="1"/>
  <c r="RO44" i="1"/>
  <c r="RO34" i="1"/>
  <c r="RO22" i="1"/>
  <c r="RO8" i="1"/>
  <c r="RO74" i="1"/>
  <c r="RO58" i="1"/>
  <c r="RO32" i="1"/>
  <c r="RO20" i="1"/>
  <c r="RO87" i="1"/>
  <c r="RO13" i="1"/>
  <c r="RO72" i="1"/>
  <c r="RO56" i="1"/>
  <c r="RO42" i="1"/>
  <c r="RO18" i="1"/>
  <c r="RO88" i="1"/>
  <c r="RO70" i="1"/>
  <c r="RO54" i="1"/>
  <c r="RO40" i="1"/>
  <c r="RO30" i="1"/>
  <c r="RO84" i="1"/>
  <c r="RO68" i="1"/>
  <c r="RO52" i="1"/>
  <c r="RO16" i="1"/>
  <c r="RO82" i="1"/>
  <c r="RO66" i="1"/>
  <c r="RO50" i="1"/>
  <c r="RO38" i="1"/>
  <c r="RO28" i="1"/>
  <c r="RO14" i="1"/>
  <c r="RO39" i="1"/>
  <c r="RO21" i="1"/>
  <c r="RO55" i="1"/>
  <c r="RN29" i="1"/>
  <c r="RN44" i="1"/>
  <c r="RN46" i="1"/>
  <c r="RN45" i="1"/>
  <c r="RN60" i="1"/>
  <c r="RN62" i="1"/>
  <c r="RN39" i="1"/>
  <c r="RN13" i="1"/>
  <c r="RN20" i="1"/>
  <c r="RN22" i="1"/>
  <c r="RN86" i="1"/>
  <c r="RN55" i="1"/>
  <c r="RN36" i="1"/>
  <c r="RN30" i="1"/>
  <c r="RN87" i="1"/>
  <c r="RN21" i="1"/>
  <c r="RF55" i="1"/>
  <c r="RH41" i="1"/>
  <c r="RN16" i="1"/>
  <c r="RH78" i="1"/>
  <c r="RH16" i="1"/>
  <c r="RN18" i="1"/>
  <c r="RN32" i="1"/>
  <c r="RN73" i="1"/>
  <c r="RH30" i="1"/>
  <c r="RL31" i="1"/>
  <c r="RL71" i="1"/>
  <c r="RL9" i="1"/>
  <c r="RL73" i="1"/>
  <c r="RL58" i="1"/>
  <c r="RL44" i="1"/>
  <c r="RL45" i="1"/>
  <c r="RL39" i="1"/>
  <c r="RL79" i="1"/>
  <c r="RL40" i="1"/>
  <c r="RL17" i="1"/>
  <c r="RL81" i="1"/>
  <c r="RL10" i="1"/>
  <c r="RL66" i="1"/>
  <c r="RL43" i="1"/>
  <c r="RL12" i="1"/>
  <c r="RL52" i="1"/>
  <c r="RL53" i="1"/>
  <c r="RL30" i="1"/>
  <c r="RL70" i="1"/>
  <c r="RL87" i="1"/>
  <c r="RL48" i="1"/>
  <c r="RL25" i="1"/>
  <c r="RL26" i="1"/>
  <c r="RL51" i="1"/>
  <c r="RL20" i="1"/>
  <c r="RL68" i="1"/>
  <c r="RL61" i="1"/>
  <c r="RL78" i="1"/>
  <c r="RL47" i="1"/>
  <c r="RL8" i="1"/>
  <c r="RL56" i="1"/>
  <c r="RL33" i="1"/>
  <c r="RL74" i="1"/>
  <c r="RL11" i="1"/>
  <c r="RL59" i="1"/>
  <c r="RL76" i="1"/>
  <c r="RL13" i="1"/>
  <c r="RL38" i="1"/>
  <c r="RL86" i="1"/>
  <c r="RL55" i="1"/>
  <c r="RL16" i="1"/>
  <c r="RL64" i="1"/>
  <c r="RL41" i="1"/>
  <c r="RL34" i="1"/>
  <c r="RL82" i="1"/>
  <c r="RL19" i="1"/>
  <c r="RL67" i="1"/>
  <c r="RL28" i="1"/>
  <c r="RL84" i="1"/>
  <c r="RL69" i="1"/>
  <c r="RL46" i="1"/>
  <c r="RL24" i="1"/>
  <c r="RL72" i="1"/>
  <c r="RL49" i="1"/>
  <c r="RL42" i="1"/>
  <c r="RL27" i="1"/>
  <c r="RL75" i="1"/>
  <c r="RL21" i="1"/>
  <c r="RL77" i="1"/>
  <c r="RL54" i="1"/>
  <c r="RL15" i="1"/>
  <c r="RL63" i="1"/>
  <c r="RL80" i="1"/>
  <c r="RL57" i="1"/>
  <c r="RL83" i="1"/>
  <c r="RL36" i="1"/>
  <c r="RL29" i="1"/>
  <c r="RL85" i="1"/>
  <c r="RL14" i="1"/>
  <c r="RL23" i="1"/>
  <c r="RL32" i="1"/>
  <c r="RL88" i="1"/>
  <c r="RL65" i="1"/>
  <c r="RL50" i="1"/>
  <c r="RL35" i="1"/>
  <c r="RL37" i="1"/>
  <c r="RL22" i="1"/>
  <c r="RL62" i="1"/>
  <c r="RK29" i="1"/>
  <c r="RK77" i="1"/>
  <c r="RK55" i="1"/>
  <c r="RK32" i="1"/>
  <c r="RK42" i="1"/>
  <c r="RK27" i="1"/>
  <c r="RK83" i="1"/>
  <c r="RK44" i="1"/>
  <c r="RK84" i="1"/>
  <c r="RK9" i="1"/>
  <c r="RK10" i="1"/>
  <c r="RK46" i="1"/>
  <c r="RK78" i="1"/>
  <c r="RK45" i="1"/>
  <c r="RK31" i="1"/>
  <c r="RK63" i="1"/>
  <c r="RK40" i="1"/>
  <c r="RK50" i="1"/>
  <c r="RK35" i="1"/>
  <c r="RK20" i="1"/>
  <c r="RK52" i="1"/>
  <c r="RK41" i="1"/>
  <c r="RK18" i="1"/>
  <c r="RK58" i="1"/>
  <c r="RK54" i="1"/>
  <c r="RK86" i="1"/>
  <c r="RK53" i="1"/>
  <c r="RK39" i="1"/>
  <c r="RK56" i="1"/>
  <c r="RK66" i="1"/>
  <c r="RK43" i="1"/>
  <c r="RK28" i="1"/>
  <c r="RK68" i="1"/>
  <c r="RK65" i="1"/>
  <c r="RK26" i="1"/>
  <c r="RK22" i="1"/>
  <c r="RK62" i="1"/>
  <c r="RK13" i="1"/>
  <c r="RK61" i="1"/>
  <c r="RK47" i="1"/>
  <c r="RK24" i="1"/>
  <c r="RK80" i="1"/>
  <c r="RK74" i="1"/>
  <c r="RK11" i="1"/>
  <c r="RK59" i="1"/>
  <c r="RK36" i="1"/>
  <c r="RK76" i="1"/>
  <c r="RK73" i="1"/>
  <c r="RK34" i="1"/>
  <c r="RK82" i="1"/>
  <c r="RK30" i="1"/>
  <c r="RK70" i="1"/>
  <c r="RJ82" i="1"/>
  <c r="RJ34" i="1"/>
  <c r="RJ42" i="1"/>
  <c r="RJ50" i="1"/>
  <c r="RJ77" i="1"/>
  <c r="RJ58" i="1"/>
  <c r="RJ10" i="1"/>
  <c r="RJ66" i="1"/>
  <c r="RJ18" i="1"/>
  <c r="RJ74" i="1"/>
  <c r="RJ16" i="1"/>
  <c r="RJ26" i="1"/>
  <c r="RJ13" i="1"/>
  <c r="RJ39" i="1"/>
  <c r="RJ83" i="1"/>
  <c r="RJ30" i="1"/>
  <c r="RJ88" i="1"/>
  <c r="RJ21" i="1"/>
  <c r="RJ15" i="1"/>
  <c r="RJ23" i="1"/>
  <c r="RJ31" i="1"/>
  <c r="RH26" i="1"/>
  <c r="RH82" i="1"/>
  <c r="RH59" i="1"/>
  <c r="RH20" i="1"/>
  <c r="RH60" i="1"/>
  <c r="RH13" i="1"/>
  <c r="RH77" i="1"/>
  <c r="RH58" i="1"/>
  <c r="RH67" i="1"/>
  <c r="RH36" i="1"/>
  <c r="RH21" i="1"/>
  <c r="RH76" i="1"/>
  <c r="RH66" i="1"/>
  <c r="RH35" i="1"/>
  <c r="RH75" i="1"/>
  <c r="RH44" i="1"/>
  <c r="RH61" i="1"/>
  <c r="RH84" i="1"/>
  <c r="RH74" i="1"/>
  <c r="RH43" i="1"/>
  <c r="RH83" i="1"/>
  <c r="RH52" i="1"/>
  <c r="RH69" i="1"/>
  <c r="RG14" i="1"/>
  <c r="RG46" i="1"/>
  <c r="RG78" i="1"/>
  <c r="RG23" i="1"/>
  <c r="RG55" i="1"/>
  <c r="RG32" i="1"/>
  <c r="RG72" i="1"/>
  <c r="RG9" i="1"/>
  <c r="RG49" i="1"/>
  <c r="RG81" i="1"/>
  <c r="RG22" i="1"/>
  <c r="RG54" i="1"/>
  <c r="RG86" i="1"/>
  <c r="RG31" i="1"/>
  <c r="RG63" i="1"/>
  <c r="RG8" i="1"/>
  <c r="RG48" i="1"/>
  <c r="RG80" i="1"/>
  <c r="RG25" i="1"/>
  <c r="RG57" i="1"/>
  <c r="RG30" i="1"/>
  <c r="RG62" i="1"/>
  <c r="RG7" i="1"/>
  <c r="RG39" i="1"/>
  <c r="RG71" i="1"/>
  <c r="RG16" i="1"/>
  <c r="RG56" i="1"/>
  <c r="RG88" i="1"/>
  <c r="RG33" i="1"/>
  <c r="RG65" i="1"/>
  <c r="RG38" i="1"/>
  <c r="RG70" i="1"/>
  <c r="RG15" i="1"/>
  <c r="RG47" i="1"/>
  <c r="RG87" i="1"/>
  <c r="RG24" i="1"/>
  <c r="RG64" i="1"/>
  <c r="RG41" i="1"/>
  <c r="RG73" i="1"/>
  <c r="RG36" i="1"/>
  <c r="RG68" i="1"/>
  <c r="RG10" i="1"/>
  <c r="RG58" i="1"/>
  <c r="RG35" i="1"/>
  <c r="RG67" i="1"/>
  <c r="RG37" i="1"/>
  <c r="RG69" i="1"/>
  <c r="RG44" i="1"/>
  <c r="RG76" i="1"/>
  <c r="RG18" i="1"/>
  <c r="RG66" i="1"/>
  <c r="RG43" i="1"/>
  <c r="RG75" i="1"/>
  <c r="RG13" i="1"/>
  <c r="RG45" i="1"/>
  <c r="RG77" i="1"/>
  <c r="RG12" i="1"/>
  <c r="RG52" i="1"/>
  <c r="RG84" i="1"/>
  <c r="RG26" i="1"/>
  <c r="RG74" i="1"/>
  <c r="RG11" i="1"/>
  <c r="RG51" i="1"/>
  <c r="RG83" i="1"/>
  <c r="RG21" i="1"/>
  <c r="RG53" i="1"/>
  <c r="RG20" i="1"/>
  <c r="RG60" i="1"/>
  <c r="RG34" i="1"/>
  <c r="RG82" i="1"/>
  <c r="RG19" i="1"/>
  <c r="RG59" i="1"/>
  <c r="RG29" i="1"/>
  <c r="RG61" i="1"/>
  <c r="RF13" i="1"/>
  <c r="RF28" i="1"/>
  <c r="RF53" i="1"/>
  <c r="RF27" i="1"/>
  <c r="RF30" i="1"/>
  <c r="RF26" i="1"/>
  <c r="RF82" i="1"/>
  <c r="RE30" i="1"/>
  <c r="RE63" i="1"/>
  <c r="RE32" i="1"/>
  <c r="RE36" i="1"/>
  <c r="RE54" i="1"/>
  <c r="RE15" i="1"/>
  <c r="RE44" i="1"/>
  <c r="RE52" i="1"/>
  <c r="RE62" i="1"/>
  <c r="RE39" i="1"/>
  <c r="RE12" i="1"/>
  <c r="RE60" i="1"/>
  <c r="RE68" i="1"/>
  <c r="RE14" i="1"/>
  <c r="RE78" i="1"/>
  <c r="RE55" i="1"/>
  <c r="RE24" i="1"/>
  <c r="RE73" i="1"/>
  <c r="RE82" i="1"/>
  <c r="RE51" i="1"/>
  <c r="RE76" i="1"/>
  <c r="RE61" i="1"/>
  <c r="RE28" i="1"/>
  <c r="RE75" i="1"/>
  <c r="RE84" i="1"/>
  <c r="RE26" i="1"/>
  <c r="RE83" i="1"/>
  <c r="RE13" i="1"/>
  <c r="RE74" i="1"/>
  <c r="RE27" i="1"/>
  <c r="RE53" i="1"/>
  <c r="RE20" i="1"/>
  <c r="RD46" i="1"/>
  <c r="RD78" i="1"/>
  <c r="RD41" i="1"/>
  <c r="RD20" i="1"/>
  <c r="RD60" i="1"/>
  <c r="RD17" i="1"/>
  <c r="RD15" i="1"/>
  <c r="RD55" i="1"/>
  <c r="RD68" i="1"/>
  <c r="RD24" i="1"/>
  <c r="RD25" i="1"/>
  <c r="RD54" i="1"/>
  <c r="RD86" i="1"/>
  <c r="RD49" i="1"/>
  <c r="RD28" i="1"/>
  <c r="RD76" i="1"/>
  <c r="RD23" i="1"/>
  <c r="RD63" i="1"/>
  <c r="RD14" i="1"/>
  <c r="RD62" i="1"/>
  <c r="RD57" i="1"/>
  <c r="RD36" i="1"/>
  <c r="RD84" i="1"/>
  <c r="RD31" i="1"/>
  <c r="RD30" i="1"/>
  <c r="RD70" i="1"/>
  <c r="RD9" i="1"/>
  <c r="RD73" i="1"/>
  <c r="RD44" i="1"/>
  <c r="RD39" i="1"/>
  <c r="RD12" i="1"/>
  <c r="RD52" i="1"/>
  <c r="RD51" i="1"/>
  <c r="RD13" i="1"/>
  <c r="RD77" i="1"/>
  <c r="RD48" i="1"/>
  <c r="RD16" i="1"/>
  <c r="RD10" i="1"/>
  <c r="RD66" i="1"/>
  <c r="RD72" i="1"/>
  <c r="RD32" i="1"/>
  <c r="RD59" i="1"/>
  <c r="RD45" i="1"/>
  <c r="RD88" i="1"/>
  <c r="RC36" i="1"/>
  <c r="RD56" i="1"/>
  <c r="RD26" i="1"/>
  <c r="RD74" i="1"/>
  <c r="RD75" i="1"/>
  <c r="RD53" i="1"/>
  <c r="RD42" i="1"/>
  <c r="RD82" i="1"/>
  <c r="RD27" i="1"/>
  <c r="RD83" i="1"/>
  <c r="RD61" i="1"/>
  <c r="RD58" i="1"/>
  <c r="RC9" i="1"/>
  <c r="RC65" i="1"/>
  <c r="RC56" i="1"/>
  <c r="RC42" i="1"/>
  <c r="RC59" i="1"/>
  <c r="RC64" i="1"/>
  <c r="RC22" i="1"/>
  <c r="RC54" i="1"/>
  <c r="RC55" i="1"/>
  <c r="RC13" i="1"/>
  <c r="RC61" i="1"/>
  <c r="RC25" i="1"/>
  <c r="RC81" i="1"/>
  <c r="RC82" i="1"/>
  <c r="RC83" i="1"/>
  <c r="RC84" i="1"/>
  <c r="RC30" i="1"/>
  <c r="RC70" i="1"/>
  <c r="RC31" i="1"/>
  <c r="RC63" i="1"/>
  <c r="RC32" i="1"/>
  <c r="RC12" i="1"/>
  <c r="RC21" i="1"/>
  <c r="RC69" i="1"/>
  <c r="RC41" i="1"/>
  <c r="RC26" i="1"/>
  <c r="RC27" i="1"/>
  <c r="RC38" i="1"/>
  <c r="RC39" i="1"/>
  <c r="RC87" i="1"/>
  <c r="RC16" i="1"/>
  <c r="RC20" i="1"/>
  <c r="RC60" i="1"/>
  <c r="RC29" i="1"/>
  <c r="RC77" i="1"/>
  <c r="RC24" i="1"/>
  <c r="RC49" i="1"/>
  <c r="RC8" i="1"/>
  <c r="RC34" i="1"/>
  <c r="RC88" i="1"/>
  <c r="RC43" i="1"/>
  <c r="RC14" i="1"/>
  <c r="RC46" i="1"/>
  <c r="RC47" i="1"/>
  <c r="RC28" i="1"/>
  <c r="RC68" i="1"/>
  <c r="RC45" i="1"/>
  <c r="RC80" i="1"/>
  <c r="HT11" i="1"/>
  <c r="OT11" i="1" s="1"/>
  <c r="HT43" i="1"/>
  <c r="OT43" i="1" s="1"/>
  <c r="HT83" i="1"/>
  <c r="OT83" i="1" s="1"/>
  <c r="HU57" i="1"/>
  <c r="OU57" i="1" s="1"/>
  <c r="HT14" i="1"/>
  <c r="OT14" i="1" s="1"/>
  <c r="HT22" i="1"/>
  <c r="OT22" i="1" s="1"/>
  <c r="HT30" i="1"/>
  <c r="OT30" i="1" s="1"/>
  <c r="HT38" i="1"/>
  <c r="OT38" i="1" s="1"/>
  <c r="HT46" i="1"/>
  <c r="OT46" i="1" s="1"/>
  <c r="HT54" i="1"/>
  <c r="OT54" i="1" s="1"/>
  <c r="HT62" i="1"/>
  <c r="OT62" i="1" s="1"/>
  <c r="HT70" i="1"/>
  <c r="OT70" i="1" s="1"/>
  <c r="HT78" i="1"/>
  <c r="OT78" i="1" s="1"/>
  <c r="HT86" i="1"/>
  <c r="OT86" i="1" s="1"/>
  <c r="HU12" i="1"/>
  <c r="HU20" i="1"/>
  <c r="OU20" i="1" s="1"/>
  <c r="HU28" i="1"/>
  <c r="OU28" i="1" s="1"/>
  <c r="HU36" i="1"/>
  <c r="OU36" i="1" s="1"/>
  <c r="HU44" i="1"/>
  <c r="HU52" i="1"/>
  <c r="OU52" i="1" s="1"/>
  <c r="HU60" i="1"/>
  <c r="OU60" i="1" s="1"/>
  <c r="HU68" i="1"/>
  <c r="OU68" i="1" s="1"/>
  <c r="HU84" i="1"/>
  <c r="OU84" i="1" s="1"/>
  <c r="HV85" i="1"/>
  <c r="HV77" i="1"/>
  <c r="OV77" i="1" s="1"/>
  <c r="HV69" i="1"/>
  <c r="OV69" i="1" s="1"/>
  <c r="HV61" i="1"/>
  <c r="OV61" i="1" s="1"/>
  <c r="HV53" i="1"/>
  <c r="OV53" i="1" s="1"/>
  <c r="HV45" i="1"/>
  <c r="OV45" i="1" s="1"/>
  <c r="HV37" i="1"/>
  <c r="OV37" i="1" s="1"/>
  <c r="HV21" i="1"/>
  <c r="OV21" i="1" s="1"/>
  <c r="HV13" i="1"/>
  <c r="OV13" i="1" s="1"/>
  <c r="HW86" i="1"/>
  <c r="OW86" i="1" s="1"/>
  <c r="HW78" i="1"/>
  <c r="OW78" i="1" s="1"/>
  <c r="HW70" i="1"/>
  <c r="OW70" i="1" s="1"/>
  <c r="HW62" i="1"/>
  <c r="OW62" i="1" s="1"/>
  <c r="HW54" i="1"/>
  <c r="OW54" i="1" s="1"/>
  <c r="HW46" i="1"/>
  <c r="OW46" i="1" s="1"/>
  <c r="HW38" i="1"/>
  <c r="OW38" i="1" s="1"/>
  <c r="HW30" i="1"/>
  <c r="OW30" i="1" s="1"/>
  <c r="HW22" i="1"/>
  <c r="OW22" i="1" s="1"/>
  <c r="HW14" i="1"/>
  <c r="OW14" i="1" s="1"/>
  <c r="HT19" i="1"/>
  <c r="OT19" i="1" s="1"/>
  <c r="HU49" i="1"/>
  <c r="OU49" i="1" s="1"/>
  <c r="HT15" i="1"/>
  <c r="OT15" i="1" s="1"/>
  <c r="HT23" i="1"/>
  <c r="OT23" i="1" s="1"/>
  <c r="HT31" i="1"/>
  <c r="OT31" i="1" s="1"/>
  <c r="HT39" i="1"/>
  <c r="OT39" i="1" s="1"/>
  <c r="HT47" i="1"/>
  <c r="OT47" i="1" s="1"/>
  <c r="HT55" i="1"/>
  <c r="OT55" i="1" s="1"/>
  <c r="HT63" i="1"/>
  <c r="OT63" i="1" s="1"/>
  <c r="HT71" i="1"/>
  <c r="OT71" i="1" s="1"/>
  <c r="HT87" i="1"/>
  <c r="OT87" i="1" s="1"/>
  <c r="HU13" i="1"/>
  <c r="OU13" i="1" s="1"/>
  <c r="HU21" i="1"/>
  <c r="HU37" i="1"/>
  <c r="OU37" i="1" s="1"/>
  <c r="HU45" i="1"/>
  <c r="OU45" i="1" s="1"/>
  <c r="HU53" i="1"/>
  <c r="OU53" i="1" s="1"/>
  <c r="HU61" i="1"/>
  <c r="HU69" i="1"/>
  <c r="OU69" i="1" s="1"/>
  <c r="HU77" i="1"/>
  <c r="OU77" i="1" s="1"/>
  <c r="HV84" i="1"/>
  <c r="OV84" i="1" s="1"/>
  <c r="HV76" i="1"/>
  <c r="HV68" i="1"/>
  <c r="OV68" i="1" s="1"/>
  <c r="HV60" i="1"/>
  <c r="OV60" i="1" s="1"/>
  <c r="HV52" i="1"/>
  <c r="OV52" i="1" s="1"/>
  <c r="HV44" i="1"/>
  <c r="OV44" i="1" s="1"/>
  <c r="HV36" i="1"/>
  <c r="OV36" i="1" s="1"/>
  <c r="HV28" i="1"/>
  <c r="OV28" i="1" s="1"/>
  <c r="HV20" i="1"/>
  <c r="OV20" i="1" s="1"/>
  <c r="HV12" i="1"/>
  <c r="OV12" i="1" s="1"/>
  <c r="HW85" i="1"/>
  <c r="RB85" i="1" s="1"/>
  <c r="HW77" i="1"/>
  <c r="OW77" i="1" s="1"/>
  <c r="HW69" i="1"/>
  <c r="OW69" i="1" s="1"/>
  <c r="HW61" i="1"/>
  <c r="OW61" i="1" s="1"/>
  <c r="HW53" i="1"/>
  <c r="OW53" i="1" s="1"/>
  <c r="HW45" i="1"/>
  <c r="OW45" i="1" s="1"/>
  <c r="HW37" i="1"/>
  <c r="OW37" i="1" s="1"/>
  <c r="HW21" i="1"/>
  <c r="OW21" i="1" s="1"/>
  <c r="HW13" i="1"/>
  <c r="OW13" i="1" s="1"/>
  <c r="HT35" i="1"/>
  <c r="OT35" i="1" s="1"/>
  <c r="HT59" i="1"/>
  <c r="OT59" i="1" s="1"/>
  <c r="HU25" i="1"/>
  <c r="OU25" i="1" s="1"/>
  <c r="HU41" i="1"/>
  <c r="OU41" i="1" s="1"/>
  <c r="HT16" i="1"/>
  <c r="OT16" i="1" s="1"/>
  <c r="HT24" i="1"/>
  <c r="OT24" i="1" s="1"/>
  <c r="HT32" i="1"/>
  <c r="OT32" i="1" s="1"/>
  <c r="HT40" i="1"/>
  <c r="OT40" i="1" s="1"/>
  <c r="HT56" i="1"/>
  <c r="OT56" i="1" s="1"/>
  <c r="HT64" i="1"/>
  <c r="OT64" i="1" s="1"/>
  <c r="HT72" i="1"/>
  <c r="HT80" i="1"/>
  <c r="OT80" i="1" s="1"/>
  <c r="HT88" i="1"/>
  <c r="OT88" i="1" s="1"/>
  <c r="HU14" i="1"/>
  <c r="HU22" i="1"/>
  <c r="OU22" i="1" s="1"/>
  <c r="HU30" i="1"/>
  <c r="HU38" i="1"/>
  <c r="HU46" i="1"/>
  <c r="HU54" i="1"/>
  <c r="OU54" i="1" s="1"/>
  <c r="HU62" i="1"/>
  <c r="HU70" i="1"/>
  <c r="HU78" i="1"/>
  <c r="HU86" i="1"/>
  <c r="OU86" i="1" s="1"/>
  <c r="HV83" i="1"/>
  <c r="OV83" i="1" s="1"/>
  <c r="HV75" i="1"/>
  <c r="HV67" i="1"/>
  <c r="HV59" i="1"/>
  <c r="OV59" i="1" s="1"/>
  <c r="HV51" i="1"/>
  <c r="OV51" i="1" s="1"/>
  <c r="HV43" i="1"/>
  <c r="OV43" i="1" s="1"/>
  <c r="HV35" i="1"/>
  <c r="OV35" i="1" s="1"/>
  <c r="HV27" i="1"/>
  <c r="OV27" i="1" s="1"/>
  <c r="HV19" i="1"/>
  <c r="OV19" i="1" s="1"/>
  <c r="HV11" i="1"/>
  <c r="OV11" i="1" s="1"/>
  <c r="HW84" i="1"/>
  <c r="OW84" i="1" s="1"/>
  <c r="HW76" i="1"/>
  <c r="RB76" i="1" s="1"/>
  <c r="HW68" i="1"/>
  <c r="OW68" i="1" s="1"/>
  <c r="HW60" i="1"/>
  <c r="OW60" i="1" s="1"/>
  <c r="HW52" i="1"/>
  <c r="OW52" i="1" s="1"/>
  <c r="HW44" i="1"/>
  <c r="OW44" i="1" s="1"/>
  <c r="HW36" i="1"/>
  <c r="OW36" i="1" s="1"/>
  <c r="HW28" i="1"/>
  <c r="OW28" i="1" s="1"/>
  <c r="HW20" i="1"/>
  <c r="OW20" i="1" s="1"/>
  <c r="HW12" i="1"/>
  <c r="OW12" i="1" s="1"/>
  <c r="HU15" i="1"/>
  <c r="OU15" i="1" s="1"/>
  <c r="HU23" i="1"/>
  <c r="OU23" i="1" s="1"/>
  <c r="HU31" i="1"/>
  <c r="OU31" i="1" s="1"/>
  <c r="HU39" i="1"/>
  <c r="OU39" i="1" s="1"/>
  <c r="HU47" i="1"/>
  <c r="OU47" i="1" s="1"/>
  <c r="HU55" i="1"/>
  <c r="OU55" i="1" s="1"/>
  <c r="HU63" i="1"/>
  <c r="OU63" i="1" s="1"/>
  <c r="HU71" i="1"/>
  <c r="OU71" i="1" s="1"/>
  <c r="HU87" i="1"/>
  <c r="OU87" i="1" s="1"/>
  <c r="HV82" i="1"/>
  <c r="OV82" i="1" s="1"/>
  <c r="HV74" i="1"/>
  <c r="HV66" i="1"/>
  <c r="OV66" i="1" s="1"/>
  <c r="HV58" i="1"/>
  <c r="OV58" i="1" s="1"/>
  <c r="HV50" i="1"/>
  <c r="HV42" i="1"/>
  <c r="OV42" i="1" s="1"/>
  <c r="HV34" i="1"/>
  <c r="OV34" i="1" s="1"/>
  <c r="HV26" i="1"/>
  <c r="OV26" i="1" s="1"/>
  <c r="HV18" i="1"/>
  <c r="OV18" i="1" s="1"/>
  <c r="HV10" i="1"/>
  <c r="OV10" i="1" s="1"/>
  <c r="HW83" i="1"/>
  <c r="OW83" i="1" s="1"/>
  <c r="HW75" i="1"/>
  <c r="HW67" i="1"/>
  <c r="RB67" i="1" s="1"/>
  <c r="HW59" i="1"/>
  <c r="OW59" i="1" s="1"/>
  <c r="HW51" i="1"/>
  <c r="OW51" i="1" s="1"/>
  <c r="HW43" i="1"/>
  <c r="OW43" i="1" s="1"/>
  <c r="HW35" i="1"/>
  <c r="OW35" i="1" s="1"/>
  <c r="HW27" i="1"/>
  <c r="OW27" i="1" s="1"/>
  <c r="HW19" i="1"/>
  <c r="OW19" i="1" s="1"/>
  <c r="HW11" i="1"/>
  <c r="OW11" i="1" s="1"/>
  <c r="HT10" i="1"/>
  <c r="OT10" i="1" s="1"/>
  <c r="HT18" i="1"/>
  <c r="OT18" i="1" s="1"/>
  <c r="HT26" i="1"/>
  <c r="OT26" i="1" s="1"/>
  <c r="HT34" i="1"/>
  <c r="OT34" i="1" s="1"/>
  <c r="HT42" i="1"/>
  <c r="OT42" i="1" s="1"/>
  <c r="HT58" i="1"/>
  <c r="OT58" i="1" s="1"/>
  <c r="HT66" i="1"/>
  <c r="OT66" i="1" s="1"/>
  <c r="HT82" i="1"/>
  <c r="OT82" i="1" s="1"/>
  <c r="HU16" i="1"/>
  <c r="OU16" i="1" s="1"/>
  <c r="HU24" i="1"/>
  <c r="HU32" i="1"/>
  <c r="OU32" i="1" s="1"/>
  <c r="HU40" i="1"/>
  <c r="OU40" i="1" s="1"/>
  <c r="HU56" i="1"/>
  <c r="OU56" i="1" s="1"/>
  <c r="HU64" i="1"/>
  <c r="OU64" i="1" s="1"/>
  <c r="HU80" i="1"/>
  <c r="OU80" i="1" s="1"/>
  <c r="HU88" i="1"/>
  <c r="OU88" i="1" s="1"/>
  <c r="HV81" i="1"/>
  <c r="OV81" i="1" s="1"/>
  <c r="HV73" i="1"/>
  <c r="HV65" i="1"/>
  <c r="OV65" i="1" s="1"/>
  <c r="HV57" i="1"/>
  <c r="OV57" i="1" s="1"/>
  <c r="HV49" i="1"/>
  <c r="OV49" i="1" s="1"/>
  <c r="HV41" i="1"/>
  <c r="OV41" i="1" s="1"/>
  <c r="HV33" i="1"/>
  <c r="OV33" i="1" s="1"/>
  <c r="HV25" i="1"/>
  <c r="OV25" i="1" s="1"/>
  <c r="HV17" i="1"/>
  <c r="HV9" i="1"/>
  <c r="OV9" i="1" s="1"/>
  <c r="HW82" i="1"/>
  <c r="OW82" i="1" s="1"/>
  <c r="HW74" i="1"/>
  <c r="RB74" i="1" s="1"/>
  <c r="HW66" i="1"/>
  <c r="OW66" i="1" s="1"/>
  <c r="HW58" i="1"/>
  <c r="OW58" i="1" s="1"/>
  <c r="HW50" i="1"/>
  <c r="RB50" i="1" s="1"/>
  <c r="HW42" i="1"/>
  <c r="OW42" i="1" s="1"/>
  <c r="HW34" i="1"/>
  <c r="OW34" i="1" s="1"/>
  <c r="HW26" i="1"/>
  <c r="OW26" i="1" s="1"/>
  <c r="HW18" i="1"/>
  <c r="OW18" i="1" s="1"/>
  <c r="HW10" i="1"/>
  <c r="OW10" i="1" s="1"/>
  <c r="HU81" i="1"/>
  <c r="OU81" i="1" s="1"/>
  <c r="HV88" i="1"/>
  <c r="OV88" i="1" s="1"/>
  <c r="HV80" i="1"/>
  <c r="OV80" i="1" s="1"/>
  <c r="HV64" i="1"/>
  <c r="OV64" i="1" s="1"/>
  <c r="HV56" i="1"/>
  <c r="OV56" i="1" s="1"/>
  <c r="HV48" i="1"/>
  <c r="HV40" i="1"/>
  <c r="OV40" i="1" s="1"/>
  <c r="HV32" i="1"/>
  <c r="OV32" i="1" s="1"/>
  <c r="HV24" i="1"/>
  <c r="OV24" i="1" s="1"/>
  <c r="HV16" i="1"/>
  <c r="OV16" i="1" s="1"/>
  <c r="HV8" i="1"/>
  <c r="OV8" i="1" s="1"/>
  <c r="HW81" i="1"/>
  <c r="OW81" i="1" s="1"/>
  <c r="HW73" i="1"/>
  <c r="RB73" i="1" s="1"/>
  <c r="HW65" i="1"/>
  <c r="OW65" i="1" s="1"/>
  <c r="HW57" i="1"/>
  <c r="OW57" i="1" s="1"/>
  <c r="HW49" i="1"/>
  <c r="OW49" i="1" s="1"/>
  <c r="HW41" i="1"/>
  <c r="OW41" i="1" s="1"/>
  <c r="HW33" i="1"/>
  <c r="OW33" i="1" s="1"/>
  <c r="HW25" i="1"/>
  <c r="OW25" i="1" s="1"/>
  <c r="HW17" i="1"/>
  <c r="RB17" i="1" s="1"/>
  <c r="HW9" i="1"/>
  <c r="OW9" i="1" s="1"/>
  <c r="HT27" i="1"/>
  <c r="OT27" i="1" s="1"/>
  <c r="HT51" i="1"/>
  <c r="OT51" i="1" s="1"/>
  <c r="HU9" i="1"/>
  <c r="HU33" i="1"/>
  <c r="HT12" i="1"/>
  <c r="OT12" i="1" s="1"/>
  <c r="HT20" i="1"/>
  <c r="OT20" i="1" s="1"/>
  <c r="HT28" i="1"/>
  <c r="OT28" i="1" s="1"/>
  <c r="HT36" i="1"/>
  <c r="OT36" i="1" s="1"/>
  <c r="HT44" i="1"/>
  <c r="OT44" i="1" s="1"/>
  <c r="HT52" i="1"/>
  <c r="OT52" i="1" s="1"/>
  <c r="HT60" i="1"/>
  <c r="OT60" i="1" s="1"/>
  <c r="HT68" i="1"/>
  <c r="OT68" i="1" s="1"/>
  <c r="HT84" i="1"/>
  <c r="OT84" i="1" s="1"/>
  <c r="HU10" i="1"/>
  <c r="HU18" i="1"/>
  <c r="HU26" i="1"/>
  <c r="OU26" i="1" s="1"/>
  <c r="HU34" i="1"/>
  <c r="HU42" i="1"/>
  <c r="HU58" i="1"/>
  <c r="HU66" i="1"/>
  <c r="OU66" i="1" s="1"/>
  <c r="HU82" i="1"/>
  <c r="OU82" i="1" s="1"/>
  <c r="HV87" i="1"/>
  <c r="OV87" i="1" s="1"/>
  <c r="HV79" i="1"/>
  <c r="HV71" i="1"/>
  <c r="OV71" i="1" s="1"/>
  <c r="HV63" i="1"/>
  <c r="OV63" i="1" s="1"/>
  <c r="HV55" i="1"/>
  <c r="OV55" i="1" s="1"/>
  <c r="HV47" i="1"/>
  <c r="OV47" i="1" s="1"/>
  <c r="HV39" i="1"/>
  <c r="OV39" i="1" s="1"/>
  <c r="HV31" i="1"/>
  <c r="OV31" i="1" s="1"/>
  <c r="HV23" i="1"/>
  <c r="OV23" i="1" s="1"/>
  <c r="HV15" i="1"/>
  <c r="OV15" i="1" s="1"/>
  <c r="HW88" i="1"/>
  <c r="OW88" i="1" s="1"/>
  <c r="HW80" i="1"/>
  <c r="OW80" i="1" s="1"/>
  <c r="HW72" i="1"/>
  <c r="RB72" i="1" s="1"/>
  <c r="HW64" i="1"/>
  <c r="OW64" i="1" s="1"/>
  <c r="HW56" i="1"/>
  <c r="OW56" i="1" s="1"/>
  <c r="HW48" i="1"/>
  <c r="RB48" i="1" s="1"/>
  <c r="HW40" i="1"/>
  <c r="OW40" i="1" s="1"/>
  <c r="HW32" i="1"/>
  <c r="OW32" i="1" s="1"/>
  <c r="HW24" i="1"/>
  <c r="OW24" i="1" s="1"/>
  <c r="HW16" i="1"/>
  <c r="OW16" i="1" s="1"/>
  <c r="HW8" i="1"/>
  <c r="HU65" i="1"/>
  <c r="HT13" i="1"/>
  <c r="OT13" i="1" s="1"/>
  <c r="HT21" i="1"/>
  <c r="OT21" i="1" s="1"/>
  <c r="HT37" i="1"/>
  <c r="OT37" i="1" s="1"/>
  <c r="HT45" i="1"/>
  <c r="OT45" i="1" s="1"/>
  <c r="HT53" i="1"/>
  <c r="OT53" i="1" s="1"/>
  <c r="HT61" i="1"/>
  <c r="OT61" i="1" s="1"/>
  <c r="HT69" i="1"/>
  <c r="OT69" i="1" s="1"/>
  <c r="HT77" i="1"/>
  <c r="OT77" i="1" s="1"/>
  <c r="HU11" i="1"/>
  <c r="HU19" i="1"/>
  <c r="HU27" i="1"/>
  <c r="HU35" i="1"/>
  <c r="OU35" i="1" s="1"/>
  <c r="HU43" i="1"/>
  <c r="HU51" i="1"/>
  <c r="HU59" i="1"/>
  <c r="HU83" i="1"/>
  <c r="HV86" i="1"/>
  <c r="OV86" i="1" s="1"/>
  <c r="HV78" i="1"/>
  <c r="OV78" i="1" s="1"/>
  <c r="HV70" i="1"/>
  <c r="OV70" i="1" s="1"/>
  <c r="HV62" i="1"/>
  <c r="OV62" i="1" s="1"/>
  <c r="HV54" i="1"/>
  <c r="OV54" i="1" s="1"/>
  <c r="HV46" i="1"/>
  <c r="OV46" i="1" s="1"/>
  <c r="HV38" i="1"/>
  <c r="OV38" i="1" s="1"/>
  <c r="HV30" i="1"/>
  <c r="OV30" i="1" s="1"/>
  <c r="HV22" i="1"/>
  <c r="OV22" i="1" s="1"/>
  <c r="HV14" i="1"/>
  <c r="OV14" i="1" s="1"/>
  <c r="HW87" i="1"/>
  <c r="OW87" i="1" s="1"/>
  <c r="HW79" i="1"/>
  <c r="RB79" i="1" s="1"/>
  <c r="HW71" i="1"/>
  <c r="OW71" i="1" s="1"/>
  <c r="HW63" i="1"/>
  <c r="OW63" i="1" s="1"/>
  <c r="HW55" i="1"/>
  <c r="OW55" i="1" s="1"/>
  <c r="HW47" i="1"/>
  <c r="OW47" i="1" s="1"/>
  <c r="HW39" i="1"/>
  <c r="OW39" i="1" s="1"/>
  <c r="HW31" i="1"/>
  <c r="OW31" i="1" s="1"/>
  <c r="HW23" i="1"/>
  <c r="OW23" i="1" s="1"/>
  <c r="HW15" i="1"/>
  <c r="OW15" i="1" s="1"/>
  <c r="HW7" i="1"/>
  <c r="OF17" i="1"/>
  <c r="OF73" i="1"/>
  <c r="OF41" i="1"/>
  <c r="OF57" i="1"/>
  <c r="OF81" i="1"/>
  <c r="OF7" i="1"/>
  <c r="OF25" i="1"/>
  <c r="OF8" i="1"/>
  <c r="OF9" i="1"/>
  <c r="OF33" i="1"/>
  <c r="OF49" i="1"/>
  <c r="OF65" i="1"/>
  <c r="OF13" i="1"/>
  <c r="OF21" i="1"/>
  <c r="OF29" i="1"/>
  <c r="OF37" i="1"/>
  <c r="OF45" i="1"/>
  <c r="OF53" i="1"/>
  <c r="OF61" i="1"/>
  <c r="OF69" i="1"/>
  <c r="OF77" i="1"/>
  <c r="OF85" i="1"/>
  <c r="OF12" i="1"/>
  <c r="OF20" i="1"/>
  <c r="OF28" i="1"/>
  <c r="OF36" i="1"/>
  <c r="OF44" i="1"/>
  <c r="OF52" i="1"/>
  <c r="OF60" i="1"/>
  <c r="OF68" i="1"/>
  <c r="OF76" i="1"/>
  <c r="OF84" i="1"/>
  <c r="OF24" i="1"/>
  <c r="OF40" i="1"/>
  <c r="OF56" i="1"/>
  <c r="OF64" i="1"/>
  <c r="OF80" i="1"/>
  <c r="OF16" i="1"/>
  <c r="OF32" i="1"/>
  <c r="OF48" i="1"/>
  <c r="OF72" i="1"/>
  <c r="OF88" i="1"/>
  <c r="NQ14" i="1"/>
  <c r="OE14" i="1" s="1"/>
  <c r="OF14" i="1"/>
  <c r="NQ30" i="1"/>
  <c r="OE30" i="1" s="1"/>
  <c r="OF30" i="1"/>
  <c r="NQ54" i="1"/>
  <c r="OE54" i="1" s="1"/>
  <c r="OF54" i="1"/>
  <c r="NQ70" i="1"/>
  <c r="OE70" i="1" s="1"/>
  <c r="OF70" i="1"/>
  <c r="NQ78" i="1"/>
  <c r="OE78" i="1" s="1"/>
  <c r="OF78" i="1"/>
  <c r="NQ22" i="1"/>
  <c r="OE22" i="1" s="1"/>
  <c r="OF22" i="1"/>
  <c r="NQ38" i="1"/>
  <c r="OE38" i="1" s="1"/>
  <c r="OF38" i="1"/>
  <c r="NQ46" i="1"/>
  <c r="OE46" i="1" s="1"/>
  <c r="OF46" i="1"/>
  <c r="NQ62" i="1"/>
  <c r="OE62" i="1" s="1"/>
  <c r="OF62" i="1"/>
  <c r="NQ86" i="1"/>
  <c r="OE86" i="1" s="1"/>
  <c r="OF86" i="1"/>
  <c r="NQ15" i="1"/>
  <c r="OE15" i="1" s="1"/>
  <c r="OF15" i="1"/>
  <c r="NQ23" i="1"/>
  <c r="OE23" i="1" s="1"/>
  <c r="OF23" i="1"/>
  <c r="NQ31" i="1"/>
  <c r="OE31" i="1" s="1"/>
  <c r="OF31" i="1"/>
  <c r="NQ39" i="1"/>
  <c r="OE39" i="1" s="1"/>
  <c r="OF39" i="1"/>
  <c r="NQ47" i="1"/>
  <c r="OE47" i="1" s="1"/>
  <c r="OF47" i="1"/>
  <c r="NQ55" i="1"/>
  <c r="OE55" i="1" s="1"/>
  <c r="OF55" i="1"/>
  <c r="NQ63" i="1"/>
  <c r="OE63" i="1" s="1"/>
  <c r="OF63" i="1"/>
  <c r="NQ71" i="1"/>
  <c r="OE71" i="1" s="1"/>
  <c r="OF71" i="1"/>
  <c r="NQ79" i="1"/>
  <c r="OE79" i="1" s="1"/>
  <c r="OF79" i="1"/>
  <c r="NQ87" i="1"/>
  <c r="OE87" i="1" s="1"/>
  <c r="OF87" i="1"/>
  <c r="OF10" i="1"/>
  <c r="OF26" i="1"/>
  <c r="OF42" i="1"/>
  <c r="OF58" i="1"/>
  <c r="OF66" i="1"/>
  <c r="OF82" i="1"/>
  <c r="OF18" i="1"/>
  <c r="OF34" i="1"/>
  <c r="OF50" i="1"/>
  <c r="OF74" i="1"/>
  <c r="NQ11" i="1"/>
  <c r="OE11" i="1" s="1"/>
  <c r="OF11" i="1"/>
  <c r="NQ19" i="1"/>
  <c r="OF19" i="1"/>
  <c r="NQ27" i="1"/>
  <c r="OE27" i="1" s="1"/>
  <c r="OF27" i="1"/>
  <c r="NQ35" i="1"/>
  <c r="OE35" i="1" s="1"/>
  <c r="OF35" i="1"/>
  <c r="NQ43" i="1"/>
  <c r="OE43" i="1" s="1"/>
  <c r="OF43" i="1"/>
  <c r="NQ51" i="1"/>
  <c r="OE51" i="1" s="1"/>
  <c r="OF51" i="1"/>
  <c r="NQ59" i="1"/>
  <c r="OE59" i="1" s="1"/>
  <c r="OF59" i="1"/>
  <c r="NQ67" i="1"/>
  <c r="OE67" i="1" s="1"/>
  <c r="OF67" i="1"/>
  <c r="NQ75" i="1"/>
  <c r="OE75" i="1" s="1"/>
  <c r="OF75" i="1"/>
  <c r="NQ83" i="1"/>
  <c r="OE83" i="1" s="1"/>
  <c r="OF83" i="1"/>
  <c r="MG34" i="1"/>
  <c r="MU34" i="1" s="1"/>
  <c r="NQ34" i="1"/>
  <c r="OE34" i="1" s="1"/>
  <c r="MG8" i="1"/>
  <c r="MU8" i="1" s="1"/>
  <c r="NQ8" i="1"/>
  <c r="OE8" i="1" s="1"/>
  <c r="MG16" i="1"/>
  <c r="MU16" i="1" s="1"/>
  <c r="NQ16" i="1"/>
  <c r="OE16" i="1" s="1"/>
  <c r="MG32" i="1"/>
  <c r="MU32" i="1" s="1"/>
  <c r="NQ32" i="1"/>
  <c r="OE32" i="1" s="1"/>
  <c r="MG48" i="1"/>
  <c r="MU48" i="1" s="1"/>
  <c r="NQ48" i="1"/>
  <c r="OE48" i="1" s="1"/>
  <c r="MG9" i="1"/>
  <c r="MU9" i="1" s="1"/>
  <c r="NQ9" i="1"/>
  <c r="OE9" i="1" s="1"/>
  <c r="MG17" i="1"/>
  <c r="MU17" i="1" s="1"/>
  <c r="NQ17" i="1"/>
  <c r="OE17" i="1" s="1"/>
  <c r="MG25" i="1"/>
  <c r="MU25" i="1" s="1"/>
  <c r="NQ25" i="1"/>
  <c r="OE25" i="1" s="1"/>
  <c r="MG33" i="1"/>
  <c r="MU33" i="1" s="1"/>
  <c r="NQ33" i="1"/>
  <c r="OE33" i="1" s="1"/>
  <c r="MG41" i="1"/>
  <c r="MU41" i="1" s="1"/>
  <c r="NQ41" i="1"/>
  <c r="OE41" i="1" s="1"/>
  <c r="MG49" i="1"/>
  <c r="MU49" i="1" s="1"/>
  <c r="NQ49" i="1"/>
  <c r="OE49" i="1" s="1"/>
  <c r="MG57" i="1"/>
  <c r="MU57" i="1" s="1"/>
  <c r="NQ57" i="1"/>
  <c r="OE57" i="1" s="1"/>
  <c r="MG65" i="1"/>
  <c r="MU65" i="1" s="1"/>
  <c r="NQ65" i="1"/>
  <c r="OE65" i="1" s="1"/>
  <c r="MG73" i="1"/>
  <c r="MU73" i="1" s="1"/>
  <c r="NQ73" i="1"/>
  <c r="OE73" i="1" s="1"/>
  <c r="MG81" i="1"/>
  <c r="MU81" i="1" s="1"/>
  <c r="NQ81" i="1"/>
  <c r="OE81" i="1" s="1"/>
  <c r="MG7" i="1"/>
  <c r="MU7" i="1" s="1"/>
  <c r="NQ7" i="1"/>
  <c r="OE7" i="1" s="1"/>
  <c r="MG42" i="1"/>
  <c r="MU42" i="1" s="1"/>
  <c r="NQ42" i="1"/>
  <c r="OE42" i="1" s="1"/>
  <c r="MG26" i="1"/>
  <c r="MU26" i="1" s="1"/>
  <c r="NQ26" i="1"/>
  <c r="OE26" i="1" s="1"/>
  <c r="MG74" i="1"/>
  <c r="MU74" i="1" s="1"/>
  <c r="NQ74" i="1"/>
  <c r="OE74" i="1" s="1"/>
  <c r="MG12" i="1"/>
  <c r="MU12" i="1" s="1"/>
  <c r="NQ12" i="1"/>
  <c r="OE12" i="1" s="1"/>
  <c r="MG20" i="1"/>
  <c r="MU20" i="1" s="1"/>
  <c r="NQ20" i="1"/>
  <c r="OE20" i="1" s="1"/>
  <c r="MG28" i="1"/>
  <c r="MU28" i="1" s="1"/>
  <c r="NQ28" i="1"/>
  <c r="OE28" i="1" s="1"/>
  <c r="MG36" i="1"/>
  <c r="MU36" i="1" s="1"/>
  <c r="NQ36" i="1"/>
  <c r="OE36" i="1" s="1"/>
  <c r="MG44" i="1"/>
  <c r="MU44" i="1" s="1"/>
  <c r="NQ44" i="1"/>
  <c r="OE44" i="1" s="1"/>
  <c r="MG52" i="1"/>
  <c r="MU52" i="1" s="1"/>
  <c r="NQ52" i="1"/>
  <c r="OE52" i="1" s="1"/>
  <c r="MG60" i="1"/>
  <c r="MU60" i="1" s="1"/>
  <c r="NQ60" i="1"/>
  <c r="OE60" i="1" s="1"/>
  <c r="MG68" i="1"/>
  <c r="MU68" i="1" s="1"/>
  <c r="NQ68" i="1"/>
  <c r="OE68" i="1" s="1"/>
  <c r="MG76" i="1"/>
  <c r="MU76" i="1" s="1"/>
  <c r="NQ76" i="1"/>
  <c r="OE76" i="1" s="1"/>
  <c r="MG84" i="1"/>
  <c r="MU84" i="1" s="1"/>
  <c r="NQ84" i="1"/>
  <c r="OE84" i="1" s="1"/>
  <c r="MG58" i="1"/>
  <c r="MU58" i="1" s="1"/>
  <c r="NQ58" i="1"/>
  <c r="OE58" i="1" s="1"/>
  <c r="OE19" i="1"/>
  <c r="MG13" i="1"/>
  <c r="MU13" i="1" s="1"/>
  <c r="NQ13" i="1"/>
  <c r="OE13" i="1" s="1"/>
  <c r="MG21" i="1"/>
  <c r="MU21" i="1" s="1"/>
  <c r="NQ21" i="1"/>
  <c r="OE21" i="1" s="1"/>
  <c r="MG29" i="1"/>
  <c r="MU29" i="1" s="1"/>
  <c r="NQ29" i="1"/>
  <c r="OE29" i="1" s="1"/>
  <c r="MG37" i="1"/>
  <c r="MU37" i="1" s="1"/>
  <c r="NQ37" i="1"/>
  <c r="OE37" i="1" s="1"/>
  <c r="MG45" i="1"/>
  <c r="MU45" i="1" s="1"/>
  <c r="NQ45" i="1"/>
  <c r="OE45" i="1" s="1"/>
  <c r="MG53" i="1"/>
  <c r="MU53" i="1" s="1"/>
  <c r="NQ53" i="1"/>
  <c r="OE53" i="1" s="1"/>
  <c r="MG61" i="1"/>
  <c r="MU61" i="1" s="1"/>
  <c r="NQ61" i="1"/>
  <c r="OE61" i="1" s="1"/>
  <c r="MG69" i="1"/>
  <c r="MU69" i="1" s="1"/>
  <c r="NQ69" i="1"/>
  <c r="OE69" i="1" s="1"/>
  <c r="MG77" i="1"/>
  <c r="MU77" i="1" s="1"/>
  <c r="NQ77" i="1"/>
  <c r="OE77" i="1" s="1"/>
  <c r="MG85" i="1"/>
  <c r="MU85" i="1" s="1"/>
  <c r="NQ85" i="1"/>
  <c r="OE85" i="1" s="1"/>
  <c r="MG18" i="1"/>
  <c r="MU18" i="1" s="1"/>
  <c r="NQ18" i="1"/>
  <c r="OE18" i="1" s="1"/>
  <c r="MG82" i="1"/>
  <c r="MU82" i="1" s="1"/>
  <c r="NQ82" i="1"/>
  <c r="OE82" i="1" s="1"/>
  <c r="MG10" i="1"/>
  <c r="MU10" i="1" s="1"/>
  <c r="NQ10" i="1"/>
  <c r="OE10" i="1" s="1"/>
  <c r="MG66" i="1"/>
  <c r="MU66" i="1" s="1"/>
  <c r="NQ66" i="1"/>
  <c r="OE66" i="1" s="1"/>
  <c r="MG50" i="1"/>
  <c r="MU50" i="1" s="1"/>
  <c r="NQ50" i="1"/>
  <c r="OE50" i="1" s="1"/>
  <c r="MG24" i="1"/>
  <c r="MU24" i="1" s="1"/>
  <c r="NQ24" i="1"/>
  <c r="OE24" i="1" s="1"/>
  <c r="MG40" i="1"/>
  <c r="MU40" i="1" s="1"/>
  <c r="NQ40" i="1"/>
  <c r="OE40" i="1" s="1"/>
  <c r="MG56" i="1"/>
  <c r="MU56" i="1" s="1"/>
  <c r="NQ56" i="1"/>
  <c r="OE56" i="1" s="1"/>
  <c r="MG64" i="1"/>
  <c r="MU64" i="1" s="1"/>
  <c r="NQ64" i="1"/>
  <c r="OE64" i="1" s="1"/>
  <c r="MG72" i="1"/>
  <c r="MU72" i="1" s="1"/>
  <c r="NQ72" i="1"/>
  <c r="OE72" i="1" s="1"/>
  <c r="MG80" i="1"/>
  <c r="MU80" i="1" s="1"/>
  <c r="NQ80" i="1"/>
  <c r="OE80" i="1" s="1"/>
  <c r="MG88" i="1"/>
  <c r="MU88" i="1" s="1"/>
  <c r="NQ88" i="1"/>
  <c r="OE88" i="1" s="1"/>
  <c r="MG11" i="1"/>
  <c r="MU11" i="1" s="1"/>
  <c r="MG19" i="1"/>
  <c r="MU19" i="1" s="1"/>
  <c r="MG27" i="1"/>
  <c r="MU27" i="1" s="1"/>
  <c r="MG35" i="1"/>
  <c r="MU35" i="1" s="1"/>
  <c r="MG43" i="1"/>
  <c r="MU43" i="1" s="1"/>
  <c r="MG51" i="1"/>
  <c r="MU51" i="1" s="1"/>
  <c r="MG59" i="1"/>
  <c r="MU59" i="1" s="1"/>
  <c r="MG67" i="1"/>
  <c r="MU67" i="1" s="1"/>
  <c r="MG75" i="1"/>
  <c r="MU75" i="1" s="1"/>
  <c r="MG83" i="1"/>
  <c r="MU83" i="1" s="1"/>
  <c r="MG14" i="1"/>
  <c r="MU14" i="1" s="1"/>
  <c r="MG22" i="1"/>
  <c r="MU22" i="1" s="1"/>
  <c r="MG30" i="1"/>
  <c r="MU30" i="1" s="1"/>
  <c r="MG38" i="1"/>
  <c r="MU38" i="1" s="1"/>
  <c r="MG46" i="1"/>
  <c r="MU46" i="1" s="1"/>
  <c r="MG54" i="1"/>
  <c r="MU54" i="1" s="1"/>
  <c r="MG62" i="1"/>
  <c r="MU62" i="1" s="1"/>
  <c r="MG70" i="1"/>
  <c r="MU70" i="1" s="1"/>
  <c r="MG78" i="1"/>
  <c r="MU78" i="1" s="1"/>
  <c r="MG86" i="1"/>
  <c r="MU86" i="1" s="1"/>
  <c r="MG15" i="1"/>
  <c r="MU15" i="1" s="1"/>
  <c r="MG23" i="1"/>
  <c r="MU23" i="1" s="1"/>
  <c r="MG31" i="1"/>
  <c r="MU31" i="1" s="1"/>
  <c r="MG39" i="1"/>
  <c r="MU39" i="1" s="1"/>
  <c r="MG47" i="1"/>
  <c r="MU47" i="1" s="1"/>
  <c r="MG55" i="1"/>
  <c r="MU55" i="1" s="1"/>
  <c r="MG63" i="1"/>
  <c r="MU63" i="1" s="1"/>
  <c r="MG71" i="1"/>
  <c r="MU71" i="1" s="1"/>
  <c r="MG79" i="1"/>
  <c r="MU79" i="1" s="1"/>
  <c r="MG87" i="1"/>
  <c r="MU87" i="1" s="1"/>
  <c r="MV63" i="1"/>
  <c r="MV78" i="1"/>
  <c r="MV86" i="1"/>
  <c r="MV13" i="1"/>
  <c r="MV21" i="1"/>
  <c r="MV29" i="1"/>
  <c r="MV37" i="1"/>
  <c r="MV45" i="1"/>
  <c r="MV53" i="1"/>
  <c r="MV61" i="1"/>
  <c r="MV68" i="1"/>
  <c r="MV76" i="1"/>
  <c r="MV84" i="1"/>
  <c r="MV24" i="1"/>
  <c r="MV32" i="1"/>
  <c r="MV40" i="1"/>
  <c r="MV48" i="1"/>
  <c r="MV56" i="1"/>
  <c r="MV64" i="1"/>
  <c r="MV71" i="1"/>
  <c r="MV79" i="1"/>
  <c r="MV8" i="1"/>
  <c r="MV16" i="1"/>
  <c r="MV28" i="1"/>
  <c r="MV52" i="1"/>
  <c r="MV75" i="1"/>
  <c r="MV14" i="1"/>
  <c r="MV22" i="1"/>
  <c r="MV30" i="1"/>
  <c r="MV38" i="1"/>
  <c r="MV46" i="1"/>
  <c r="MV54" i="1"/>
  <c r="MV62" i="1"/>
  <c r="MV69" i="1"/>
  <c r="MV77" i="1"/>
  <c r="MV85" i="1"/>
  <c r="MV9" i="1"/>
  <c r="MV17" i="1"/>
  <c r="MV25" i="1"/>
  <c r="MV33" i="1"/>
  <c r="MV41" i="1"/>
  <c r="MV49" i="1"/>
  <c r="MV57" i="1"/>
  <c r="MV65" i="1"/>
  <c r="MV72" i="1"/>
  <c r="MV80" i="1"/>
  <c r="MV87" i="1"/>
  <c r="MV20" i="1"/>
  <c r="MV44" i="1"/>
  <c r="MV12" i="1"/>
  <c r="MV36" i="1"/>
  <c r="MV60" i="1"/>
  <c r="MV83" i="1"/>
  <c r="MV23" i="1"/>
  <c r="MV47" i="1"/>
  <c r="MV31" i="1"/>
  <c r="MV55" i="1"/>
  <c r="MV18" i="1"/>
  <c r="MV34" i="1"/>
  <c r="MV42" i="1"/>
  <c r="MV50" i="1"/>
  <c r="MV58" i="1"/>
  <c r="MV66" i="1"/>
  <c r="MV73" i="1"/>
  <c r="MV81" i="1"/>
  <c r="MV88" i="1"/>
  <c r="MV15" i="1"/>
  <c r="MV39" i="1"/>
  <c r="MV70" i="1"/>
  <c r="MV10" i="1"/>
  <c r="MV26" i="1"/>
  <c r="MV11" i="1"/>
  <c r="MV19" i="1"/>
  <c r="MV27" i="1"/>
  <c r="MV35" i="1"/>
  <c r="MV43" i="1"/>
  <c r="MV51" i="1"/>
  <c r="MV59" i="1"/>
  <c r="MV67" i="1"/>
  <c r="MV74" i="1"/>
  <c r="MV82" i="1"/>
  <c r="MV7" i="1"/>
  <c r="RB75" i="1" l="1"/>
  <c r="RB19" i="1"/>
  <c r="OU19" i="1"/>
  <c r="RB78" i="1"/>
  <c r="OU78" i="1"/>
  <c r="RB14" i="1"/>
  <c r="OU14" i="1"/>
  <c r="RB11" i="1"/>
  <c r="OU11" i="1"/>
  <c r="RB33" i="1"/>
  <c r="OU33" i="1"/>
  <c r="RB70" i="1"/>
  <c r="OU70" i="1"/>
  <c r="RB83" i="1"/>
  <c r="OU83" i="1"/>
  <c r="RB65" i="1"/>
  <c r="OU65" i="1"/>
  <c r="RB58" i="1"/>
  <c r="OU58" i="1"/>
  <c r="RB9" i="1"/>
  <c r="OU9" i="1"/>
  <c r="RB62" i="1"/>
  <c r="OU62" i="1"/>
  <c r="RB59" i="1"/>
  <c r="OU59" i="1"/>
  <c r="RB8" i="1"/>
  <c r="OW8" i="1"/>
  <c r="RB42" i="1"/>
  <c r="OU42" i="1"/>
  <c r="RB61" i="1"/>
  <c r="OU61" i="1"/>
  <c r="RB44" i="1"/>
  <c r="OU44" i="1"/>
  <c r="RB51" i="1"/>
  <c r="OU51" i="1"/>
  <c r="RB34" i="1"/>
  <c r="OU34" i="1"/>
  <c r="RB24" i="1"/>
  <c r="OU24" i="1"/>
  <c r="RB46" i="1"/>
  <c r="OU46" i="1"/>
  <c r="RB7" i="1"/>
  <c r="OW7" i="1"/>
  <c r="RB43" i="1"/>
  <c r="OU43" i="1"/>
  <c r="RB38" i="1"/>
  <c r="OU38" i="1"/>
  <c r="RB18" i="1"/>
  <c r="OU18" i="1"/>
  <c r="RB30" i="1"/>
  <c r="OU30" i="1"/>
  <c r="RB27" i="1"/>
  <c r="OU27" i="1"/>
  <c r="RB10" i="1"/>
  <c r="OU10" i="1"/>
  <c r="RB21" i="1"/>
  <c r="OU21" i="1"/>
  <c r="RB12" i="1"/>
  <c r="OU12" i="1"/>
  <c r="RB35" i="1"/>
  <c r="RB81" i="1"/>
  <c r="RB80" i="1"/>
  <c r="RB32" i="1"/>
  <c r="RB55" i="1"/>
  <c r="RB23" i="1"/>
  <c r="RB25" i="1"/>
  <c r="RB53" i="1"/>
  <c r="RB13" i="1"/>
  <c r="RB82" i="1"/>
  <c r="RB86" i="1"/>
  <c r="RB54" i="1"/>
  <c r="RB22" i="1"/>
  <c r="RB60" i="1"/>
  <c r="RB28" i="1"/>
  <c r="RB64" i="1"/>
  <c r="RB87" i="1"/>
  <c r="RB47" i="1"/>
  <c r="RB15" i="1"/>
  <c r="RB77" i="1"/>
  <c r="RB45" i="1"/>
  <c r="RB66" i="1"/>
  <c r="RB26" i="1"/>
  <c r="RB52" i="1"/>
  <c r="RB20" i="1"/>
  <c r="RB57" i="1"/>
  <c r="RB56" i="1"/>
  <c r="RB16" i="1"/>
  <c r="RB71" i="1"/>
  <c r="RB39" i="1"/>
  <c r="RB69" i="1"/>
  <c r="RB37" i="1"/>
  <c r="RB49" i="1"/>
  <c r="RB88" i="1"/>
  <c r="RB40" i="1"/>
  <c r="RB63" i="1"/>
  <c r="RB31" i="1"/>
  <c r="RB41" i="1"/>
  <c r="RB84" i="1"/>
  <c r="RB68" i="1"/>
  <c r="RB36" i="1"/>
  <c r="AL11" i="19"/>
  <c r="AL10" i="19"/>
  <c r="AK11" i="19"/>
  <c r="AK10" i="19"/>
  <c r="AJ11" i="19"/>
  <c r="AJ10" i="19"/>
  <c r="AL5" i="19"/>
  <c r="AJ5" i="19"/>
  <c r="AL4" i="19"/>
  <c r="AK4" i="19"/>
  <c r="AJ4" i="19"/>
  <c r="ME7" i="1"/>
  <c r="ME8" i="1"/>
  <c r="ME9" i="1"/>
  <c r="ME10" i="1"/>
  <c r="ME11" i="1"/>
  <c r="ME12" i="1"/>
  <c r="ME13" i="1"/>
  <c r="ME14" i="1"/>
  <c r="ME15" i="1"/>
  <c r="ME16" i="1"/>
  <c r="ME17" i="1"/>
  <c r="ME18" i="1"/>
  <c r="ME19" i="1"/>
  <c r="ME20" i="1"/>
  <c r="ME21" i="1"/>
  <c r="ME22" i="1"/>
  <c r="ME23" i="1"/>
  <c r="ME24" i="1"/>
  <c r="ME25" i="1"/>
  <c r="ME26" i="1"/>
  <c r="ME27" i="1"/>
  <c r="ME28" i="1"/>
  <c r="ME29" i="1"/>
  <c r="ME30" i="1"/>
  <c r="ME31" i="1"/>
  <c r="ME32" i="1"/>
  <c r="ME33" i="1"/>
  <c r="ME34" i="1"/>
  <c r="ME35" i="1"/>
  <c r="ME36" i="1"/>
  <c r="ME37" i="1"/>
  <c r="ME38" i="1"/>
  <c r="ME39" i="1"/>
  <c r="ME40" i="1"/>
  <c r="ME41" i="1"/>
  <c r="ME42" i="1"/>
  <c r="ME43" i="1"/>
  <c r="ME44" i="1"/>
  <c r="ME45" i="1"/>
  <c r="ME46" i="1"/>
  <c r="ME47" i="1"/>
  <c r="ME48" i="1"/>
  <c r="ME49" i="1"/>
  <c r="ME50" i="1"/>
  <c r="ME51" i="1"/>
  <c r="ME52" i="1"/>
  <c r="ME53" i="1"/>
  <c r="ME54" i="1"/>
  <c r="ME55" i="1"/>
  <c r="ME56" i="1"/>
  <c r="ME57" i="1"/>
  <c r="ME58" i="1"/>
  <c r="ME59" i="1"/>
  <c r="ME60" i="1"/>
  <c r="ME61" i="1"/>
  <c r="ME62" i="1"/>
  <c r="ME63" i="1"/>
  <c r="ME64" i="1"/>
  <c r="ME65" i="1"/>
  <c r="ME66" i="1"/>
  <c r="ME67" i="1"/>
  <c r="ME68" i="1"/>
  <c r="ME69" i="1"/>
  <c r="ME70" i="1"/>
  <c r="ME71" i="1"/>
  <c r="ME72" i="1"/>
  <c r="ME73" i="1"/>
  <c r="ME74" i="1"/>
  <c r="ME75" i="1"/>
  <c r="ME76" i="1"/>
  <c r="ME77" i="1"/>
  <c r="ME78" i="1"/>
  <c r="ME79" i="1"/>
  <c r="ME80" i="1"/>
  <c r="ME81" i="1"/>
  <c r="ME82" i="1"/>
  <c r="ME83" i="1"/>
  <c r="ME84" i="1"/>
  <c r="ME85" i="1"/>
  <c r="ME86" i="1"/>
  <c r="ME87" i="1"/>
  <c r="ME88" i="1"/>
  <c r="AK5" i="19"/>
  <c r="MB7" i="1"/>
  <c r="MB8" i="1"/>
  <c r="MB9" i="1"/>
  <c r="MB10" i="1"/>
  <c r="MB11" i="1"/>
  <c r="MB12" i="1"/>
  <c r="MB13" i="1"/>
  <c r="MB14" i="1"/>
  <c r="MB15" i="1"/>
  <c r="MB16" i="1"/>
  <c r="MB17" i="1"/>
  <c r="MB18" i="1"/>
  <c r="MB19" i="1"/>
  <c r="MB20" i="1"/>
  <c r="MB21" i="1"/>
  <c r="MB22" i="1"/>
  <c r="MB23" i="1"/>
  <c r="MB24" i="1"/>
  <c r="MB25" i="1"/>
  <c r="MB26" i="1"/>
  <c r="MB27" i="1"/>
  <c r="MB28" i="1"/>
  <c r="MB29" i="1"/>
  <c r="MB30" i="1"/>
  <c r="MB31" i="1"/>
  <c r="MB32" i="1"/>
  <c r="MB33" i="1"/>
  <c r="MB34" i="1"/>
  <c r="MB35" i="1"/>
  <c r="MB36" i="1"/>
  <c r="MB37" i="1"/>
  <c r="MB38" i="1"/>
  <c r="MB39" i="1"/>
  <c r="MB40" i="1"/>
  <c r="MB41" i="1"/>
  <c r="MB42" i="1"/>
  <c r="MB43" i="1"/>
  <c r="MB44" i="1"/>
  <c r="MB45" i="1"/>
  <c r="MB46" i="1"/>
  <c r="MB47" i="1"/>
  <c r="MB48" i="1"/>
  <c r="MB49" i="1"/>
  <c r="MB50" i="1"/>
  <c r="MB51" i="1"/>
  <c r="MB52" i="1"/>
  <c r="MB53" i="1"/>
  <c r="MB54" i="1"/>
  <c r="MB55" i="1"/>
  <c r="MB56" i="1"/>
  <c r="MB57" i="1"/>
  <c r="MB58" i="1"/>
  <c r="MB59" i="1"/>
  <c r="MB60" i="1"/>
  <c r="MB61" i="1"/>
  <c r="MB62" i="1"/>
  <c r="MB63" i="1"/>
  <c r="MB64" i="1"/>
  <c r="MB65" i="1"/>
  <c r="MB66" i="1"/>
  <c r="MB67" i="1"/>
  <c r="MB68" i="1"/>
  <c r="MB69" i="1"/>
  <c r="MB70" i="1"/>
  <c r="MB71" i="1"/>
  <c r="MB72" i="1"/>
  <c r="MB73" i="1"/>
  <c r="MB74" i="1"/>
  <c r="MB75" i="1"/>
  <c r="MB76" i="1"/>
  <c r="MB77" i="1"/>
  <c r="MB78" i="1"/>
  <c r="MB79" i="1"/>
  <c r="MB80" i="1"/>
  <c r="MB81" i="1"/>
  <c r="MB82" i="1"/>
  <c r="MB83" i="1"/>
  <c r="MB84" i="1"/>
  <c r="MB85" i="1"/>
  <c r="MB86" i="1"/>
  <c r="MB87" i="1"/>
  <c r="MB88" i="1"/>
  <c r="MA7" i="1"/>
  <c r="MA8" i="1"/>
  <c r="MA9" i="1"/>
  <c r="MA10" i="1"/>
  <c r="MA11" i="1"/>
  <c r="MA12" i="1"/>
  <c r="MA13" i="1"/>
  <c r="MA14" i="1"/>
  <c r="MA15" i="1"/>
  <c r="MA16" i="1"/>
  <c r="MA17" i="1"/>
  <c r="MA18" i="1"/>
  <c r="MA19" i="1"/>
  <c r="MA20" i="1"/>
  <c r="MA21" i="1"/>
  <c r="MA22" i="1"/>
  <c r="MA23" i="1"/>
  <c r="MA24" i="1"/>
  <c r="MA25" i="1"/>
  <c r="MA26" i="1"/>
  <c r="MA27" i="1"/>
  <c r="MA28" i="1"/>
  <c r="MA29" i="1"/>
  <c r="MA30" i="1"/>
  <c r="MA31" i="1"/>
  <c r="MA32" i="1"/>
  <c r="MA33" i="1"/>
  <c r="MA34" i="1"/>
  <c r="MA35" i="1"/>
  <c r="MA36" i="1"/>
  <c r="MA37" i="1"/>
  <c r="MA38" i="1"/>
  <c r="MA39" i="1"/>
  <c r="MA40" i="1"/>
  <c r="MA41" i="1"/>
  <c r="MA42" i="1"/>
  <c r="MA43" i="1"/>
  <c r="MA44" i="1"/>
  <c r="MA45" i="1"/>
  <c r="MA46" i="1"/>
  <c r="MA47" i="1"/>
  <c r="MA48" i="1"/>
  <c r="MA49" i="1"/>
  <c r="MA50" i="1"/>
  <c r="MA51" i="1"/>
  <c r="MA52" i="1"/>
  <c r="MA53" i="1"/>
  <c r="MA54" i="1"/>
  <c r="MA55" i="1"/>
  <c r="MA56" i="1"/>
  <c r="MA57" i="1"/>
  <c r="MA58" i="1"/>
  <c r="MA59" i="1"/>
  <c r="MA60" i="1"/>
  <c r="MA61" i="1"/>
  <c r="MA62" i="1"/>
  <c r="MA63" i="1"/>
  <c r="MA64" i="1"/>
  <c r="MA65" i="1"/>
  <c r="MA66" i="1"/>
  <c r="MA67" i="1"/>
  <c r="MA68" i="1"/>
  <c r="MA69" i="1"/>
  <c r="MA70" i="1"/>
  <c r="MA71" i="1"/>
  <c r="MA72" i="1"/>
  <c r="MA73" i="1"/>
  <c r="MA74" i="1"/>
  <c r="MA75" i="1"/>
  <c r="MA76" i="1"/>
  <c r="MA77" i="1"/>
  <c r="MA78" i="1"/>
  <c r="MA79" i="1"/>
  <c r="MA80" i="1"/>
  <c r="MA81" i="1"/>
  <c r="MA82" i="1"/>
  <c r="MA83" i="1"/>
  <c r="MA84" i="1"/>
  <c r="MA85" i="1"/>
  <c r="MA86" i="1"/>
  <c r="MA87" i="1"/>
  <c r="MA88" i="1"/>
  <c r="FJ7" i="1"/>
  <c r="FK7" i="1" s="1"/>
  <c r="FJ8" i="1"/>
  <c r="FK8" i="1" s="1"/>
  <c r="FJ9" i="1"/>
  <c r="FK9" i="1" s="1"/>
  <c r="FJ10" i="1"/>
  <c r="FK10" i="1" s="1"/>
  <c r="FJ11" i="1"/>
  <c r="FK11" i="1" s="1"/>
  <c r="FJ12" i="1"/>
  <c r="FK12" i="1" s="1"/>
  <c r="FJ13" i="1"/>
  <c r="FK13" i="1" s="1"/>
  <c r="FJ14" i="1"/>
  <c r="FK14" i="1" s="1"/>
  <c r="FJ15" i="1"/>
  <c r="FK15" i="1" s="1"/>
  <c r="FJ16" i="1"/>
  <c r="FK16" i="1" s="1"/>
  <c r="FJ17" i="1"/>
  <c r="FK17" i="1" s="1"/>
  <c r="FJ18" i="1"/>
  <c r="FK18" i="1" s="1"/>
  <c r="FJ19" i="1"/>
  <c r="FK19" i="1" s="1"/>
  <c r="FJ20" i="1"/>
  <c r="FK20" i="1" s="1"/>
  <c r="FJ21" i="1"/>
  <c r="FK21" i="1" s="1"/>
  <c r="FJ22" i="1"/>
  <c r="FK22" i="1" s="1"/>
  <c r="FJ23" i="1"/>
  <c r="FK23" i="1" s="1"/>
  <c r="FJ24" i="1"/>
  <c r="FK24" i="1" s="1"/>
  <c r="FJ25" i="1"/>
  <c r="FK25" i="1" s="1"/>
  <c r="FJ26" i="1"/>
  <c r="FK26" i="1" s="1"/>
  <c r="FJ27" i="1"/>
  <c r="FK27" i="1" s="1"/>
  <c r="FJ28" i="1"/>
  <c r="FK28" i="1" s="1"/>
  <c r="FJ29" i="1"/>
  <c r="FK29" i="1" s="1"/>
  <c r="FJ30" i="1"/>
  <c r="FK30" i="1" s="1"/>
  <c r="FJ31" i="1"/>
  <c r="FK31" i="1" s="1"/>
  <c r="FJ32" i="1"/>
  <c r="FK32" i="1" s="1"/>
  <c r="FJ33" i="1"/>
  <c r="FK33" i="1" s="1"/>
  <c r="FJ34" i="1"/>
  <c r="FK34" i="1" s="1"/>
  <c r="FJ35" i="1"/>
  <c r="FK35" i="1" s="1"/>
  <c r="FJ36" i="1"/>
  <c r="FK36" i="1" s="1"/>
  <c r="FJ37" i="1"/>
  <c r="FK37" i="1" s="1"/>
  <c r="FJ38" i="1"/>
  <c r="FK38" i="1" s="1"/>
  <c r="FJ39" i="1"/>
  <c r="FK39" i="1" s="1"/>
  <c r="FJ40" i="1"/>
  <c r="FK40" i="1" s="1"/>
  <c r="FJ41" i="1"/>
  <c r="FK41" i="1" s="1"/>
  <c r="FJ42" i="1"/>
  <c r="FK42" i="1" s="1"/>
  <c r="FJ43" i="1"/>
  <c r="FK43" i="1" s="1"/>
  <c r="FJ44" i="1"/>
  <c r="FK44" i="1" s="1"/>
  <c r="FJ45" i="1"/>
  <c r="FK45" i="1" s="1"/>
  <c r="FJ46" i="1"/>
  <c r="FK46" i="1" s="1"/>
  <c r="FJ47" i="1"/>
  <c r="FK47" i="1" s="1"/>
  <c r="FJ48" i="1"/>
  <c r="FK48" i="1" s="1"/>
  <c r="FJ49" i="1"/>
  <c r="FK49" i="1" s="1"/>
  <c r="FJ50" i="1"/>
  <c r="FK50" i="1" s="1"/>
  <c r="FJ51" i="1"/>
  <c r="FK51" i="1" s="1"/>
  <c r="FJ52" i="1"/>
  <c r="FK52" i="1" s="1"/>
  <c r="FJ53" i="1"/>
  <c r="FK53" i="1" s="1"/>
  <c r="FJ54" i="1"/>
  <c r="FK54" i="1" s="1"/>
  <c r="FJ55" i="1"/>
  <c r="FK55" i="1" s="1"/>
  <c r="FJ56" i="1"/>
  <c r="FK56" i="1" s="1"/>
  <c r="FJ57" i="1"/>
  <c r="FK57" i="1" s="1"/>
  <c r="FJ58" i="1"/>
  <c r="FK58" i="1" s="1"/>
  <c r="FJ59" i="1"/>
  <c r="FK59" i="1" s="1"/>
  <c r="FJ60" i="1"/>
  <c r="FK60" i="1" s="1"/>
  <c r="FJ61" i="1"/>
  <c r="FK61" i="1" s="1"/>
  <c r="FJ62" i="1"/>
  <c r="FK62" i="1" s="1"/>
  <c r="FJ63" i="1"/>
  <c r="FK63" i="1" s="1"/>
  <c r="FJ64" i="1"/>
  <c r="FK64" i="1" s="1"/>
  <c r="FJ65" i="1"/>
  <c r="FK65" i="1" s="1"/>
  <c r="FJ66" i="1"/>
  <c r="FK66" i="1" s="1"/>
  <c r="FJ67" i="1"/>
  <c r="FK67" i="1" s="1"/>
  <c r="FJ68" i="1"/>
  <c r="FK68" i="1" s="1"/>
  <c r="FJ69" i="1"/>
  <c r="FK69" i="1" s="1"/>
  <c r="FJ70" i="1"/>
  <c r="FK70" i="1" s="1"/>
  <c r="FJ71" i="1"/>
  <c r="FK71" i="1" s="1"/>
  <c r="FJ72" i="1"/>
  <c r="FK72" i="1" s="1"/>
  <c r="FJ73" i="1"/>
  <c r="FK73" i="1" s="1"/>
  <c r="FJ74" i="1"/>
  <c r="FK74" i="1" s="1"/>
  <c r="FJ75" i="1"/>
  <c r="FK75" i="1" s="1"/>
  <c r="FJ76" i="1"/>
  <c r="FK76" i="1" s="1"/>
  <c r="FJ77" i="1"/>
  <c r="FK77" i="1" s="1"/>
  <c r="FJ78" i="1"/>
  <c r="FK78" i="1" s="1"/>
  <c r="FJ79" i="1"/>
  <c r="FK79" i="1" s="1"/>
  <c r="FJ80" i="1"/>
  <c r="FK80" i="1" s="1"/>
  <c r="FJ81" i="1"/>
  <c r="FK81" i="1" s="1"/>
  <c r="FJ82" i="1"/>
  <c r="FK82" i="1" s="1"/>
  <c r="FJ83" i="1"/>
  <c r="FK83" i="1" s="1"/>
  <c r="FJ84" i="1"/>
  <c r="FK84" i="1" s="1"/>
  <c r="FJ85" i="1"/>
  <c r="FK85" i="1" s="1"/>
  <c r="FJ86" i="1"/>
  <c r="FK86" i="1" s="1"/>
  <c r="FJ87" i="1"/>
  <c r="FK87" i="1" s="1"/>
  <c r="FJ88" i="1"/>
  <c r="FK88" i="1" s="1"/>
  <c r="KR7" i="1" l="1"/>
  <c r="KR8" i="1"/>
  <c r="KR9" i="1"/>
  <c r="KR10" i="1"/>
  <c r="KR11" i="1"/>
  <c r="KR12" i="1"/>
  <c r="KR13" i="1"/>
  <c r="KR14" i="1"/>
  <c r="KR15" i="1"/>
  <c r="KR16" i="1"/>
  <c r="KR17" i="1"/>
  <c r="KR18" i="1"/>
  <c r="KR19" i="1"/>
  <c r="KR20" i="1"/>
  <c r="KR21" i="1"/>
  <c r="KR22" i="1"/>
  <c r="KR23" i="1"/>
  <c r="KR24" i="1"/>
  <c r="KR25" i="1"/>
  <c r="KR26" i="1"/>
  <c r="KR27" i="1"/>
  <c r="KR28" i="1"/>
  <c r="KR29" i="1"/>
  <c r="KR30" i="1"/>
  <c r="KR31" i="1"/>
  <c r="KR32" i="1"/>
  <c r="KR33" i="1"/>
  <c r="KR34" i="1"/>
  <c r="KR35" i="1"/>
  <c r="KR36" i="1"/>
  <c r="KR37" i="1"/>
  <c r="KR38" i="1"/>
  <c r="KR39" i="1"/>
  <c r="KR40" i="1"/>
  <c r="KR41" i="1"/>
  <c r="KR42" i="1"/>
  <c r="KR43" i="1"/>
  <c r="KR44" i="1"/>
  <c r="KR45" i="1"/>
  <c r="KR46" i="1"/>
  <c r="KR47" i="1"/>
  <c r="KR48" i="1"/>
  <c r="KR49" i="1"/>
  <c r="KR50" i="1"/>
  <c r="KR51" i="1"/>
  <c r="KR52" i="1"/>
  <c r="KR53" i="1"/>
  <c r="KR54" i="1"/>
  <c r="KR55" i="1"/>
  <c r="KR56" i="1"/>
  <c r="KR57" i="1"/>
  <c r="KR58" i="1"/>
  <c r="KR59" i="1"/>
  <c r="KR60" i="1"/>
  <c r="KR61" i="1"/>
  <c r="KR62" i="1"/>
  <c r="KR63" i="1"/>
  <c r="KR64" i="1"/>
  <c r="KR65" i="1"/>
  <c r="KR66" i="1"/>
  <c r="KR67" i="1"/>
  <c r="KR68" i="1"/>
  <c r="KR69" i="1"/>
  <c r="KR70" i="1"/>
  <c r="KR71" i="1"/>
  <c r="KR72" i="1"/>
  <c r="KR73" i="1"/>
  <c r="KR74" i="1"/>
  <c r="KR75" i="1"/>
  <c r="KR76" i="1"/>
  <c r="KR77" i="1"/>
  <c r="KR78" i="1"/>
  <c r="KR79" i="1"/>
  <c r="KR80" i="1"/>
  <c r="KR81" i="1"/>
  <c r="KR82" i="1"/>
  <c r="KR83" i="1"/>
  <c r="KR84" i="1"/>
  <c r="KR85" i="1"/>
  <c r="KR86" i="1"/>
  <c r="KR87" i="1"/>
  <c r="KR88" i="1"/>
  <c r="KQ7" i="1"/>
  <c r="KQ8" i="1"/>
  <c r="KQ9" i="1"/>
  <c r="KQ10" i="1"/>
  <c r="KQ11" i="1"/>
  <c r="KQ12" i="1"/>
  <c r="KQ13" i="1"/>
  <c r="KQ14" i="1"/>
  <c r="KQ15" i="1"/>
  <c r="KQ16" i="1"/>
  <c r="KQ17" i="1"/>
  <c r="KQ18" i="1"/>
  <c r="KQ19" i="1"/>
  <c r="KQ20" i="1"/>
  <c r="KQ21" i="1"/>
  <c r="KQ22" i="1"/>
  <c r="KQ23" i="1"/>
  <c r="KQ24" i="1"/>
  <c r="KQ25" i="1"/>
  <c r="KQ26" i="1"/>
  <c r="KQ27" i="1"/>
  <c r="KQ28" i="1"/>
  <c r="KQ29" i="1"/>
  <c r="KQ30" i="1"/>
  <c r="KQ31" i="1"/>
  <c r="KQ32" i="1"/>
  <c r="KQ33" i="1"/>
  <c r="KQ34" i="1"/>
  <c r="KQ35" i="1"/>
  <c r="KQ36" i="1"/>
  <c r="KQ37" i="1"/>
  <c r="KQ38" i="1"/>
  <c r="KQ39" i="1"/>
  <c r="KQ40" i="1"/>
  <c r="KQ41" i="1"/>
  <c r="KQ42" i="1"/>
  <c r="KQ43" i="1"/>
  <c r="KQ44" i="1"/>
  <c r="KQ45" i="1"/>
  <c r="KQ46" i="1"/>
  <c r="KQ47" i="1"/>
  <c r="KQ48" i="1"/>
  <c r="KQ49" i="1"/>
  <c r="KQ50" i="1"/>
  <c r="KQ51" i="1"/>
  <c r="KQ52" i="1"/>
  <c r="KQ53" i="1"/>
  <c r="KQ54" i="1"/>
  <c r="KQ55" i="1"/>
  <c r="KQ56" i="1"/>
  <c r="KQ57" i="1"/>
  <c r="KQ58" i="1"/>
  <c r="KQ59" i="1"/>
  <c r="KQ60" i="1"/>
  <c r="KQ61" i="1"/>
  <c r="KQ62" i="1"/>
  <c r="KQ63" i="1"/>
  <c r="KQ64" i="1"/>
  <c r="KQ65" i="1"/>
  <c r="KQ66" i="1"/>
  <c r="KQ67" i="1"/>
  <c r="KQ68" i="1"/>
  <c r="KQ69" i="1"/>
  <c r="KQ70" i="1"/>
  <c r="KQ71" i="1"/>
  <c r="KQ72" i="1"/>
  <c r="KQ73" i="1"/>
  <c r="KQ74" i="1"/>
  <c r="KQ75" i="1"/>
  <c r="KQ76" i="1"/>
  <c r="KQ77" i="1"/>
  <c r="KQ78" i="1"/>
  <c r="KQ79" i="1"/>
  <c r="KQ80" i="1"/>
  <c r="KQ81" i="1"/>
  <c r="KQ82" i="1"/>
  <c r="KQ83" i="1"/>
  <c r="KQ84" i="1"/>
  <c r="KQ85" i="1"/>
  <c r="KQ86" i="1"/>
  <c r="KQ87" i="1"/>
  <c r="KQ88" i="1"/>
  <c r="KP7" i="1"/>
  <c r="KP8" i="1"/>
  <c r="KP9" i="1"/>
  <c r="KP10" i="1"/>
  <c r="KP11" i="1"/>
  <c r="KP12" i="1"/>
  <c r="KP13" i="1"/>
  <c r="KP14" i="1"/>
  <c r="KP15" i="1"/>
  <c r="KP16" i="1"/>
  <c r="KP17" i="1"/>
  <c r="KP18" i="1"/>
  <c r="KP19" i="1"/>
  <c r="KP20" i="1"/>
  <c r="KP21" i="1"/>
  <c r="KP22" i="1"/>
  <c r="KP23" i="1"/>
  <c r="KP24" i="1"/>
  <c r="KP25" i="1"/>
  <c r="KP26" i="1"/>
  <c r="KP27" i="1"/>
  <c r="KP28" i="1"/>
  <c r="KP29" i="1"/>
  <c r="KP30" i="1"/>
  <c r="KP31" i="1"/>
  <c r="KP32" i="1"/>
  <c r="KP33" i="1"/>
  <c r="KP34" i="1"/>
  <c r="KP35" i="1"/>
  <c r="KP36" i="1"/>
  <c r="KP37" i="1"/>
  <c r="KP38" i="1"/>
  <c r="KP39" i="1"/>
  <c r="KP40" i="1"/>
  <c r="KP41" i="1"/>
  <c r="KP42" i="1"/>
  <c r="KP43" i="1"/>
  <c r="KP44" i="1"/>
  <c r="KP45" i="1"/>
  <c r="KP46" i="1"/>
  <c r="KP47" i="1"/>
  <c r="KP48" i="1"/>
  <c r="KP49" i="1"/>
  <c r="KP50" i="1"/>
  <c r="KP51" i="1"/>
  <c r="KP52" i="1"/>
  <c r="KP53" i="1"/>
  <c r="KP54" i="1"/>
  <c r="KP55" i="1"/>
  <c r="KP56" i="1"/>
  <c r="KP57" i="1"/>
  <c r="KP58" i="1"/>
  <c r="KP59" i="1"/>
  <c r="KP60" i="1"/>
  <c r="KP61" i="1"/>
  <c r="KP62" i="1"/>
  <c r="KP63" i="1"/>
  <c r="KP64" i="1"/>
  <c r="KP65" i="1"/>
  <c r="KP66" i="1"/>
  <c r="KP67" i="1"/>
  <c r="KP68" i="1"/>
  <c r="KP69" i="1"/>
  <c r="KP70" i="1"/>
  <c r="KP71" i="1"/>
  <c r="KP72" i="1"/>
  <c r="KP73" i="1"/>
  <c r="KP74" i="1"/>
  <c r="KP75" i="1"/>
  <c r="KP76" i="1"/>
  <c r="KP77" i="1"/>
  <c r="KP78" i="1"/>
  <c r="KP79" i="1"/>
  <c r="KP80" i="1"/>
  <c r="KP81" i="1"/>
  <c r="KP82" i="1"/>
  <c r="KP83" i="1"/>
  <c r="KP84" i="1"/>
  <c r="KP85" i="1"/>
  <c r="KP86" i="1"/>
  <c r="KP87" i="1"/>
  <c r="KP88" i="1"/>
  <c r="KO8" i="1"/>
  <c r="KO9" i="1"/>
  <c r="KO10" i="1"/>
  <c r="KO11" i="1"/>
  <c r="KO12" i="1"/>
  <c r="KO13" i="1"/>
  <c r="KO14" i="1"/>
  <c r="KO15" i="1"/>
  <c r="KO16" i="1"/>
  <c r="KO17" i="1"/>
  <c r="KO18" i="1"/>
  <c r="KO19" i="1"/>
  <c r="KO20" i="1"/>
  <c r="KO21" i="1"/>
  <c r="KO22" i="1"/>
  <c r="KO23" i="1"/>
  <c r="KO24" i="1"/>
  <c r="KO25" i="1"/>
  <c r="KO26" i="1"/>
  <c r="KO27" i="1"/>
  <c r="KO28" i="1"/>
  <c r="KO29" i="1"/>
  <c r="KO30" i="1"/>
  <c r="KO31" i="1"/>
  <c r="KO32" i="1"/>
  <c r="KO33" i="1"/>
  <c r="KO34" i="1"/>
  <c r="KO35" i="1"/>
  <c r="KO36" i="1"/>
  <c r="KO37" i="1"/>
  <c r="KO38" i="1"/>
  <c r="KO39" i="1"/>
  <c r="KO40" i="1"/>
  <c r="KO41" i="1"/>
  <c r="KO42" i="1"/>
  <c r="KO43" i="1"/>
  <c r="KO44" i="1"/>
  <c r="KO45" i="1"/>
  <c r="KO46" i="1"/>
  <c r="KO47" i="1"/>
  <c r="KO48" i="1"/>
  <c r="KO49" i="1"/>
  <c r="KO50" i="1"/>
  <c r="KO51" i="1"/>
  <c r="KO52" i="1"/>
  <c r="KO53" i="1"/>
  <c r="KO54" i="1"/>
  <c r="KO55" i="1"/>
  <c r="KO56" i="1"/>
  <c r="KO57" i="1"/>
  <c r="KO58" i="1"/>
  <c r="KO59" i="1"/>
  <c r="KO60" i="1"/>
  <c r="KO61" i="1"/>
  <c r="KO62" i="1"/>
  <c r="KO63" i="1"/>
  <c r="KO64" i="1"/>
  <c r="KO65" i="1"/>
  <c r="KO66" i="1"/>
  <c r="KO67" i="1"/>
  <c r="KO68" i="1"/>
  <c r="KO69" i="1"/>
  <c r="KO70" i="1"/>
  <c r="KO71" i="1"/>
  <c r="KO72" i="1"/>
  <c r="KO73" i="1"/>
  <c r="KO74" i="1"/>
  <c r="KO75" i="1"/>
  <c r="KO76" i="1"/>
  <c r="KO77" i="1"/>
  <c r="KO78" i="1"/>
  <c r="KO79" i="1"/>
  <c r="KO80" i="1"/>
  <c r="KO81" i="1"/>
  <c r="KO82" i="1"/>
  <c r="KO83" i="1"/>
  <c r="KO84" i="1"/>
  <c r="KO85" i="1"/>
  <c r="KO86" i="1"/>
  <c r="KO87" i="1"/>
  <c r="KO88" i="1"/>
  <c r="KB88" i="1" l="1"/>
  <c r="KC88" i="1"/>
  <c r="KD88" i="1"/>
  <c r="KE88" i="1"/>
  <c r="KH88" i="1"/>
  <c r="MC88" i="1" s="1"/>
  <c r="KI88" i="1"/>
  <c r="MD88" i="1" s="1"/>
  <c r="KJ88" i="1"/>
  <c r="KK88" i="1"/>
  <c r="KL88" i="1"/>
  <c r="KM88" i="1"/>
  <c r="KN88" i="1"/>
  <c r="KS88" i="1"/>
  <c r="KT88" i="1"/>
  <c r="KU88" i="1"/>
  <c r="KV88" i="1"/>
  <c r="KW88" i="1"/>
  <c r="MF88" i="1" s="1"/>
  <c r="KX88" i="1"/>
  <c r="KY88" i="1"/>
  <c r="KZ88" i="1"/>
  <c r="LA88" i="1"/>
  <c r="LB88" i="1"/>
  <c r="LC88" i="1"/>
  <c r="LD88" i="1"/>
  <c r="LE88" i="1"/>
  <c r="LF88" i="1"/>
  <c r="LG88" i="1"/>
  <c r="LH88" i="1"/>
  <c r="LI88" i="1"/>
  <c r="LJ88" i="1"/>
  <c r="LK88" i="1"/>
  <c r="LL88" i="1"/>
  <c r="LM88" i="1"/>
  <c r="LN88" i="1"/>
  <c r="LO88" i="1"/>
  <c r="LP88" i="1"/>
  <c r="LQ88" i="1"/>
  <c r="LR88" i="1"/>
  <c r="LS88" i="1"/>
  <c r="LT88" i="1"/>
  <c r="LU88" i="1"/>
  <c r="LX88" i="1"/>
  <c r="LV88" i="1" l="1"/>
  <c r="NN88" i="1"/>
  <c r="NM88" i="1"/>
  <c r="NO88" i="1"/>
  <c r="NP88" i="1"/>
  <c r="KF88" i="1"/>
  <c r="KB87" i="1" l="1"/>
  <c r="KC87" i="1"/>
  <c r="KD87" i="1"/>
  <c r="KE87" i="1"/>
  <c r="KH87" i="1"/>
  <c r="MC87" i="1" s="1"/>
  <c r="KI87" i="1"/>
  <c r="MD87" i="1" s="1"/>
  <c r="KJ87" i="1"/>
  <c r="KK87" i="1"/>
  <c r="KL87" i="1"/>
  <c r="KM87" i="1"/>
  <c r="KN87" i="1"/>
  <c r="KS87" i="1"/>
  <c r="KT87" i="1"/>
  <c r="KU87" i="1"/>
  <c r="KV87" i="1"/>
  <c r="KW87" i="1"/>
  <c r="MF87" i="1" s="1"/>
  <c r="KX87" i="1"/>
  <c r="KY87" i="1"/>
  <c r="KZ87" i="1"/>
  <c r="LA87" i="1"/>
  <c r="LB87" i="1"/>
  <c r="LC87" i="1"/>
  <c r="LD87" i="1"/>
  <c r="LE87" i="1"/>
  <c r="LF87" i="1"/>
  <c r="LG87" i="1"/>
  <c r="LH87" i="1"/>
  <c r="LI87" i="1"/>
  <c r="LJ87" i="1"/>
  <c r="LK87" i="1"/>
  <c r="LL87" i="1"/>
  <c r="LM87" i="1"/>
  <c r="LN87" i="1"/>
  <c r="LO87" i="1"/>
  <c r="LP87" i="1"/>
  <c r="LQ87" i="1"/>
  <c r="LR87" i="1"/>
  <c r="LS87" i="1"/>
  <c r="LT87" i="1"/>
  <c r="LU87" i="1"/>
  <c r="LX87" i="1"/>
  <c r="LV87" i="1" l="1"/>
  <c r="NN87" i="1"/>
  <c r="NM87" i="1"/>
  <c r="NO87" i="1"/>
  <c r="NP87" i="1"/>
  <c r="KF87" i="1"/>
  <c r="LX7" i="1" l="1"/>
  <c r="LX8" i="1"/>
  <c r="LX9" i="1"/>
  <c r="LX10" i="1"/>
  <c r="LX11" i="1"/>
  <c r="LX12" i="1"/>
  <c r="LX13" i="1"/>
  <c r="LX14" i="1"/>
  <c r="LX15" i="1"/>
  <c r="LX16" i="1"/>
  <c r="LX17" i="1"/>
  <c r="LX18" i="1"/>
  <c r="LX19" i="1"/>
  <c r="LX20" i="1"/>
  <c r="LX21" i="1"/>
  <c r="LX22" i="1"/>
  <c r="LX23" i="1"/>
  <c r="LX24" i="1"/>
  <c r="LX25" i="1"/>
  <c r="LX26" i="1"/>
  <c r="LX27" i="1"/>
  <c r="LX28" i="1"/>
  <c r="LX29" i="1"/>
  <c r="LX30" i="1"/>
  <c r="LX31" i="1"/>
  <c r="LX32" i="1"/>
  <c r="LX33" i="1"/>
  <c r="LX34" i="1"/>
  <c r="LX35" i="1"/>
  <c r="LX36" i="1"/>
  <c r="LX37" i="1"/>
  <c r="LX38" i="1"/>
  <c r="LX39" i="1"/>
  <c r="LX40" i="1"/>
  <c r="LX41" i="1"/>
  <c r="LX42" i="1"/>
  <c r="LX43" i="1"/>
  <c r="LX44" i="1"/>
  <c r="LX45" i="1"/>
  <c r="LX46" i="1"/>
  <c r="LX47" i="1"/>
  <c r="LX48" i="1"/>
  <c r="LX49" i="1"/>
  <c r="LX50" i="1"/>
  <c r="LX51" i="1"/>
  <c r="LX52" i="1"/>
  <c r="LX53" i="1"/>
  <c r="LX54" i="1"/>
  <c r="LX55" i="1"/>
  <c r="LX56" i="1"/>
  <c r="LX57" i="1"/>
  <c r="LX58" i="1"/>
  <c r="LX59" i="1"/>
  <c r="LX60" i="1"/>
  <c r="LX61" i="1"/>
  <c r="LX62" i="1"/>
  <c r="LX63" i="1"/>
  <c r="LX64" i="1"/>
  <c r="LX65" i="1"/>
  <c r="LX66" i="1"/>
  <c r="LX67" i="1"/>
  <c r="LX68" i="1"/>
  <c r="LX69" i="1"/>
  <c r="LX70" i="1"/>
  <c r="LX71" i="1"/>
  <c r="LX72" i="1"/>
  <c r="LX73" i="1"/>
  <c r="LX74" i="1"/>
  <c r="LX75" i="1"/>
  <c r="LX76" i="1"/>
  <c r="LX77" i="1"/>
  <c r="LX78" i="1"/>
  <c r="LX79" i="1"/>
  <c r="LX80" i="1"/>
  <c r="LX81" i="1"/>
  <c r="LX82" i="1"/>
  <c r="LX83" i="1"/>
  <c r="LX84" i="1"/>
  <c r="LX85" i="1"/>
  <c r="LX86" i="1"/>
  <c r="B35" i="18"/>
  <c r="B36" i="18"/>
  <c r="B2" i="18"/>
  <c r="B3"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KN7" i="1" l="1"/>
  <c r="KN8" i="1"/>
  <c r="KN9" i="1"/>
  <c r="KN10" i="1"/>
  <c r="KN11" i="1"/>
  <c r="KN12" i="1"/>
  <c r="KN13" i="1"/>
  <c r="KN14" i="1"/>
  <c r="KN15" i="1"/>
  <c r="KN16" i="1"/>
  <c r="KN17" i="1"/>
  <c r="KN18" i="1"/>
  <c r="KN19" i="1"/>
  <c r="KN20" i="1"/>
  <c r="KN21" i="1"/>
  <c r="KN22" i="1"/>
  <c r="KN23" i="1"/>
  <c r="KN24" i="1"/>
  <c r="KN25" i="1"/>
  <c r="KN26" i="1"/>
  <c r="KN27" i="1"/>
  <c r="KN28" i="1"/>
  <c r="KN29" i="1"/>
  <c r="KN30" i="1"/>
  <c r="KN31" i="1"/>
  <c r="KN32" i="1"/>
  <c r="KN33" i="1"/>
  <c r="KN34" i="1"/>
  <c r="KN35" i="1"/>
  <c r="KN36" i="1"/>
  <c r="KN37" i="1"/>
  <c r="KN38" i="1"/>
  <c r="KN39" i="1"/>
  <c r="KN40" i="1"/>
  <c r="KN41" i="1"/>
  <c r="KN42" i="1"/>
  <c r="KN43" i="1"/>
  <c r="KN44" i="1"/>
  <c r="KN45" i="1"/>
  <c r="KN46" i="1"/>
  <c r="KN47" i="1"/>
  <c r="KN48" i="1"/>
  <c r="KN49" i="1"/>
  <c r="KN50" i="1"/>
  <c r="KN51" i="1"/>
  <c r="KN52" i="1"/>
  <c r="KN53" i="1"/>
  <c r="KN54" i="1"/>
  <c r="KN55" i="1"/>
  <c r="KN56" i="1"/>
  <c r="KN57" i="1"/>
  <c r="KN58" i="1"/>
  <c r="KN59" i="1"/>
  <c r="KN60" i="1"/>
  <c r="KN61" i="1"/>
  <c r="KN62" i="1"/>
  <c r="KN63" i="1"/>
  <c r="KN64" i="1"/>
  <c r="KN65" i="1"/>
  <c r="KN66" i="1"/>
  <c r="KN67" i="1"/>
  <c r="KN68" i="1"/>
  <c r="KN69" i="1"/>
  <c r="KN70" i="1"/>
  <c r="KN71" i="1"/>
  <c r="KN72" i="1"/>
  <c r="KN73" i="1"/>
  <c r="KN74" i="1"/>
  <c r="KN75" i="1"/>
  <c r="KN76" i="1"/>
  <c r="KN77" i="1"/>
  <c r="KN78" i="1"/>
  <c r="KN79" i="1"/>
  <c r="KN80" i="1"/>
  <c r="KN81" i="1"/>
  <c r="KN82" i="1"/>
  <c r="KN83" i="1"/>
  <c r="KN84" i="1"/>
  <c r="KN85" i="1"/>
  <c r="KN86" i="1"/>
  <c r="LT7" i="1" l="1"/>
  <c r="LT8" i="1"/>
  <c r="LT9" i="1"/>
  <c r="LT10" i="1"/>
  <c r="LT11" i="1"/>
  <c r="LT12" i="1"/>
  <c r="LT13" i="1"/>
  <c r="LT14" i="1"/>
  <c r="LT15" i="1"/>
  <c r="LT16" i="1"/>
  <c r="LT17" i="1"/>
  <c r="LT18" i="1"/>
  <c r="LT19" i="1"/>
  <c r="LT20" i="1"/>
  <c r="LT21" i="1"/>
  <c r="LT22" i="1"/>
  <c r="LT23" i="1"/>
  <c r="LT24" i="1"/>
  <c r="LT25" i="1"/>
  <c r="LT26" i="1"/>
  <c r="LT27" i="1"/>
  <c r="LT28" i="1"/>
  <c r="LT29" i="1"/>
  <c r="LT30" i="1"/>
  <c r="LT31" i="1"/>
  <c r="LT32" i="1"/>
  <c r="LT33" i="1"/>
  <c r="LT34" i="1"/>
  <c r="LT35" i="1"/>
  <c r="LT36" i="1"/>
  <c r="LT37" i="1"/>
  <c r="LT38" i="1"/>
  <c r="LT39" i="1"/>
  <c r="LT40" i="1"/>
  <c r="LT41" i="1"/>
  <c r="LT42" i="1"/>
  <c r="LT43" i="1"/>
  <c r="LT44" i="1"/>
  <c r="LT45" i="1"/>
  <c r="LT46" i="1"/>
  <c r="LT47" i="1"/>
  <c r="LT48" i="1"/>
  <c r="LT49" i="1"/>
  <c r="LT50" i="1"/>
  <c r="LT51" i="1"/>
  <c r="LT52" i="1"/>
  <c r="LT53" i="1"/>
  <c r="LT54" i="1"/>
  <c r="LT55" i="1"/>
  <c r="LT56" i="1"/>
  <c r="LT57" i="1"/>
  <c r="LT58" i="1"/>
  <c r="LT59" i="1"/>
  <c r="LT60" i="1"/>
  <c r="LT61" i="1"/>
  <c r="LT62" i="1"/>
  <c r="LT63" i="1"/>
  <c r="LT64" i="1"/>
  <c r="LT65" i="1"/>
  <c r="LT66" i="1"/>
  <c r="LT67" i="1"/>
  <c r="LT68" i="1"/>
  <c r="LT69" i="1"/>
  <c r="LT70" i="1"/>
  <c r="LT71" i="1"/>
  <c r="LT72" i="1"/>
  <c r="LT73" i="1"/>
  <c r="LT74" i="1"/>
  <c r="LT75" i="1"/>
  <c r="LT76" i="1"/>
  <c r="LT77" i="1"/>
  <c r="LT78" i="1"/>
  <c r="LT79" i="1"/>
  <c r="LT80" i="1"/>
  <c r="LT81" i="1"/>
  <c r="LT82" i="1"/>
  <c r="LT83" i="1"/>
  <c r="LT84" i="1"/>
  <c r="LT85" i="1"/>
  <c r="LT86" i="1"/>
  <c r="LU7" i="1"/>
  <c r="LU8" i="1"/>
  <c r="LU9" i="1"/>
  <c r="LU10" i="1"/>
  <c r="LU11" i="1"/>
  <c r="LU12" i="1"/>
  <c r="LU13" i="1"/>
  <c r="LU14" i="1"/>
  <c r="LU15" i="1"/>
  <c r="LU16" i="1"/>
  <c r="LU17" i="1"/>
  <c r="LU18" i="1"/>
  <c r="LU19" i="1"/>
  <c r="LU20" i="1"/>
  <c r="LU21" i="1"/>
  <c r="LU22" i="1"/>
  <c r="LU23" i="1"/>
  <c r="LU24" i="1"/>
  <c r="LU25" i="1"/>
  <c r="LU26" i="1"/>
  <c r="LU27" i="1"/>
  <c r="LU28" i="1"/>
  <c r="LU29" i="1"/>
  <c r="LU30" i="1"/>
  <c r="LU31" i="1"/>
  <c r="LU32" i="1"/>
  <c r="LU33" i="1"/>
  <c r="LU34" i="1"/>
  <c r="LU35" i="1"/>
  <c r="LU36" i="1"/>
  <c r="LU37" i="1"/>
  <c r="LU38" i="1"/>
  <c r="LU39" i="1"/>
  <c r="LU40" i="1"/>
  <c r="LU41" i="1"/>
  <c r="LU42" i="1"/>
  <c r="LU43" i="1"/>
  <c r="LU44" i="1"/>
  <c r="LU45" i="1"/>
  <c r="LU46" i="1"/>
  <c r="LU47" i="1"/>
  <c r="LU48" i="1"/>
  <c r="LU49" i="1"/>
  <c r="LU50" i="1"/>
  <c r="LU51" i="1"/>
  <c r="LU52" i="1"/>
  <c r="LU53" i="1"/>
  <c r="LU54" i="1"/>
  <c r="LU55" i="1"/>
  <c r="LU56" i="1"/>
  <c r="LU57" i="1"/>
  <c r="LU58" i="1"/>
  <c r="LU59" i="1"/>
  <c r="LU60" i="1"/>
  <c r="LU61" i="1"/>
  <c r="LU62" i="1"/>
  <c r="LU63" i="1"/>
  <c r="LU64" i="1"/>
  <c r="LU65" i="1"/>
  <c r="LU66" i="1"/>
  <c r="LU67" i="1"/>
  <c r="LU68" i="1"/>
  <c r="LU69" i="1"/>
  <c r="LU70" i="1"/>
  <c r="LU71" i="1"/>
  <c r="LU72" i="1"/>
  <c r="LU73" i="1"/>
  <c r="LU74" i="1"/>
  <c r="LU75" i="1"/>
  <c r="LU76" i="1"/>
  <c r="LU77" i="1"/>
  <c r="LU78" i="1"/>
  <c r="LU79" i="1"/>
  <c r="LU80" i="1"/>
  <c r="LU81" i="1"/>
  <c r="LU82" i="1"/>
  <c r="LU83" i="1"/>
  <c r="LU84" i="1"/>
  <c r="LU85" i="1"/>
  <c r="LU86" i="1"/>
  <c r="LS7" i="1"/>
  <c r="LS8" i="1"/>
  <c r="LS9" i="1"/>
  <c r="LS10" i="1"/>
  <c r="LS11" i="1"/>
  <c r="LS12" i="1"/>
  <c r="LS13" i="1"/>
  <c r="LS14" i="1"/>
  <c r="LS15" i="1"/>
  <c r="LS16" i="1"/>
  <c r="LS17" i="1"/>
  <c r="LS18" i="1"/>
  <c r="LS19" i="1"/>
  <c r="LS20" i="1"/>
  <c r="LS21" i="1"/>
  <c r="LS22" i="1"/>
  <c r="LS23" i="1"/>
  <c r="LS24" i="1"/>
  <c r="LS25" i="1"/>
  <c r="LS26" i="1"/>
  <c r="LS27" i="1"/>
  <c r="LS28" i="1"/>
  <c r="LS29" i="1"/>
  <c r="LS30" i="1"/>
  <c r="LS31" i="1"/>
  <c r="LS32" i="1"/>
  <c r="LS33" i="1"/>
  <c r="LS34" i="1"/>
  <c r="LS35" i="1"/>
  <c r="LS36" i="1"/>
  <c r="LS37" i="1"/>
  <c r="LS38" i="1"/>
  <c r="LS39" i="1"/>
  <c r="LS40" i="1"/>
  <c r="LS41" i="1"/>
  <c r="LS42" i="1"/>
  <c r="LS43" i="1"/>
  <c r="LS44" i="1"/>
  <c r="LS45" i="1"/>
  <c r="LS46" i="1"/>
  <c r="LS47" i="1"/>
  <c r="LS48" i="1"/>
  <c r="LS49" i="1"/>
  <c r="LS50" i="1"/>
  <c r="LS51" i="1"/>
  <c r="LS52" i="1"/>
  <c r="LS53" i="1"/>
  <c r="LS54" i="1"/>
  <c r="LS55" i="1"/>
  <c r="LS56" i="1"/>
  <c r="LS57" i="1"/>
  <c r="LS58" i="1"/>
  <c r="LS59" i="1"/>
  <c r="LS60" i="1"/>
  <c r="LS61" i="1"/>
  <c r="LS62" i="1"/>
  <c r="LS63" i="1"/>
  <c r="LS64" i="1"/>
  <c r="LS65" i="1"/>
  <c r="LS66" i="1"/>
  <c r="LS67" i="1"/>
  <c r="LS68" i="1"/>
  <c r="LS69" i="1"/>
  <c r="LS70" i="1"/>
  <c r="LS71" i="1"/>
  <c r="LS72" i="1"/>
  <c r="LS73" i="1"/>
  <c r="LS74" i="1"/>
  <c r="LS75" i="1"/>
  <c r="LS76" i="1"/>
  <c r="LS77" i="1"/>
  <c r="LS78" i="1"/>
  <c r="LS79" i="1"/>
  <c r="LS80" i="1"/>
  <c r="LS81" i="1"/>
  <c r="LS82" i="1"/>
  <c r="LS83" i="1"/>
  <c r="LS84" i="1"/>
  <c r="LS85" i="1"/>
  <c r="LS86" i="1"/>
  <c r="LR7" i="1"/>
  <c r="LR8" i="1"/>
  <c r="LR9" i="1"/>
  <c r="LR10" i="1"/>
  <c r="LR11" i="1"/>
  <c r="LR12" i="1"/>
  <c r="LR13" i="1"/>
  <c r="LR14" i="1"/>
  <c r="LR15" i="1"/>
  <c r="LR16" i="1"/>
  <c r="LR17" i="1"/>
  <c r="LR18" i="1"/>
  <c r="LR19" i="1"/>
  <c r="LR20" i="1"/>
  <c r="LR21" i="1"/>
  <c r="LR22" i="1"/>
  <c r="LR23" i="1"/>
  <c r="LR24" i="1"/>
  <c r="LR25" i="1"/>
  <c r="LR26" i="1"/>
  <c r="LR27" i="1"/>
  <c r="LR28" i="1"/>
  <c r="LR29" i="1"/>
  <c r="LR30" i="1"/>
  <c r="LR31" i="1"/>
  <c r="LR32" i="1"/>
  <c r="LR33" i="1"/>
  <c r="LR34" i="1"/>
  <c r="LR35" i="1"/>
  <c r="LR36" i="1"/>
  <c r="LR37" i="1"/>
  <c r="LR38" i="1"/>
  <c r="LR39" i="1"/>
  <c r="LR40" i="1"/>
  <c r="LR41" i="1"/>
  <c r="LR42" i="1"/>
  <c r="LR43" i="1"/>
  <c r="LR44" i="1"/>
  <c r="LR45" i="1"/>
  <c r="LR46" i="1"/>
  <c r="LR47" i="1"/>
  <c r="LR48" i="1"/>
  <c r="LR49" i="1"/>
  <c r="LR50" i="1"/>
  <c r="LR51" i="1"/>
  <c r="LR52" i="1"/>
  <c r="LR53" i="1"/>
  <c r="LR54" i="1"/>
  <c r="LR55" i="1"/>
  <c r="LR56" i="1"/>
  <c r="LR57" i="1"/>
  <c r="LR58" i="1"/>
  <c r="LR59" i="1"/>
  <c r="LR60" i="1"/>
  <c r="LR61" i="1"/>
  <c r="LR62" i="1"/>
  <c r="LR63" i="1"/>
  <c r="LR64" i="1"/>
  <c r="LR65" i="1"/>
  <c r="LR66" i="1"/>
  <c r="LR67" i="1"/>
  <c r="LR68" i="1"/>
  <c r="LR69" i="1"/>
  <c r="LR70" i="1"/>
  <c r="LR71" i="1"/>
  <c r="LR72" i="1"/>
  <c r="LR73" i="1"/>
  <c r="LR74" i="1"/>
  <c r="LR75" i="1"/>
  <c r="LR76" i="1"/>
  <c r="LR77" i="1"/>
  <c r="LR78" i="1"/>
  <c r="LR79" i="1"/>
  <c r="LR80" i="1"/>
  <c r="LR81" i="1"/>
  <c r="LR82" i="1"/>
  <c r="LR83" i="1"/>
  <c r="LR84" i="1"/>
  <c r="LR85" i="1"/>
  <c r="LR86" i="1"/>
  <c r="LQ7" i="1"/>
  <c r="LQ8" i="1"/>
  <c r="LQ9" i="1"/>
  <c r="LQ10" i="1"/>
  <c r="LQ11" i="1"/>
  <c r="LQ12" i="1"/>
  <c r="LQ13" i="1"/>
  <c r="LQ14" i="1"/>
  <c r="LQ15" i="1"/>
  <c r="LQ16" i="1"/>
  <c r="LQ17" i="1"/>
  <c r="LQ18" i="1"/>
  <c r="LQ19" i="1"/>
  <c r="LQ20" i="1"/>
  <c r="LQ21" i="1"/>
  <c r="LQ22" i="1"/>
  <c r="LQ23" i="1"/>
  <c r="LQ24" i="1"/>
  <c r="LQ25" i="1"/>
  <c r="LQ26" i="1"/>
  <c r="LQ27" i="1"/>
  <c r="LQ28" i="1"/>
  <c r="LQ29" i="1"/>
  <c r="LQ30" i="1"/>
  <c r="LQ31" i="1"/>
  <c r="LQ32" i="1"/>
  <c r="LQ33" i="1"/>
  <c r="LQ34" i="1"/>
  <c r="LQ35" i="1"/>
  <c r="LQ36" i="1"/>
  <c r="LQ37" i="1"/>
  <c r="LQ38" i="1"/>
  <c r="LQ39" i="1"/>
  <c r="LQ40" i="1"/>
  <c r="LQ41" i="1"/>
  <c r="LQ42" i="1"/>
  <c r="LQ43" i="1"/>
  <c r="LQ44" i="1"/>
  <c r="LQ45" i="1"/>
  <c r="LQ46" i="1"/>
  <c r="LQ47" i="1"/>
  <c r="LQ48" i="1"/>
  <c r="LQ49" i="1"/>
  <c r="LQ50" i="1"/>
  <c r="LQ51" i="1"/>
  <c r="LQ52" i="1"/>
  <c r="LQ53" i="1"/>
  <c r="LQ54" i="1"/>
  <c r="LQ55" i="1"/>
  <c r="LQ56" i="1"/>
  <c r="LQ57" i="1"/>
  <c r="LQ58" i="1"/>
  <c r="LQ59" i="1"/>
  <c r="LQ60" i="1"/>
  <c r="LQ61" i="1"/>
  <c r="LQ62" i="1"/>
  <c r="LQ63" i="1"/>
  <c r="LQ64" i="1"/>
  <c r="LQ65" i="1"/>
  <c r="LQ66" i="1"/>
  <c r="LQ67" i="1"/>
  <c r="LQ68" i="1"/>
  <c r="LQ69" i="1"/>
  <c r="LQ70" i="1"/>
  <c r="LQ71" i="1"/>
  <c r="LQ72" i="1"/>
  <c r="LQ73" i="1"/>
  <c r="LQ74" i="1"/>
  <c r="LQ75" i="1"/>
  <c r="LQ76" i="1"/>
  <c r="LQ77" i="1"/>
  <c r="LQ78" i="1"/>
  <c r="LQ79" i="1"/>
  <c r="LQ80" i="1"/>
  <c r="LQ81" i="1"/>
  <c r="LQ82" i="1"/>
  <c r="LQ83" i="1"/>
  <c r="LQ84" i="1"/>
  <c r="LQ85" i="1"/>
  <c r="LQ86" i="1"/>
  <c r="LP7" i="1"/>
  <c r="LP8" i="1"/>
  <c r="LP9" i="1"/>
  <c r="LP10" i="1"/>
  <c r="LP11" i="1"/>
  <c r="LP12" i="1"/>
  <c r="LP13" i="1"/>
  <c r="LP14" i="1"/>
  <c r="LP15" i="1"/>
  <c r="LP16" i="1"/>
  <c r="LP17" i="1"/>
  <c r="LP18" i="1"/>
  <c r="LP19" i="1"/>
  <c r="LP20" i="1"/>
  <c r="LP21" i="1"/>
  <c r="LP22" i="1"/>
  <c r="LP23" i="1"/>
  <c r="LP24" i="1"/>
  <c r="LP25" i="1"/>
  <c r="LP26" i="1"/>
  <c r="LP27" i="1"/>
  <c r="LP28" i="1"/>
  <c r="LP29" i="1"/>
  <c r="LP30" i="1"/>
  <c r="LP31" i="1"/>
  <c r="LP32" i="1"/>
  <c r="LP33" i="1"/>
  <c r="LP34" i="1"/>
  <c r="LP35" i="1"/>
  <c r="LP36" i="1"/>
  <c r="LP37" i="1"/>
  <c r="LP38" i="1"/>
  <c r="LP39" i="1"/>
  <c r="LP40" i="1"/>
  <c r="LP41" i="1"/>
  <c r="LP42" i="1"/>
  <c r="LP43" i="1"/>
  <c r="LP44" i="1"/>
  <c r="LP45" i="1"/>
  <c r="LP46" i="1"/>
  <c r="LP47" i="1"/>
  <c r="LP48" i="1"/>
  <c r="LP49" i="1"/>
  <c r="LP50" i="1"/>
  <c r="LP51" i="1"/>
  <c r="LP52" i="1"/>
  <c r="LP53" i="1"/>
  <c r="LP54" i="1"/>
  <c r="LP55" i="1"/>
  <c r="LP56" i="1"/>
  <c r="LP57" i="1"/>
  <c r="LP58" i="1"/>
  <c r="LP59" i="1"/>
  <c r="LP60" i="1"/>
  <c r="LP61" i="1"/>
  <c r="LP62" i="1"/>
  <c r="LP63" i="1"/>
  <c r="LP64" i="1"/>
  <c r="LP65" i="1"/>
  <c r="LP66" i="1"/>
  <c r="LP67" i="1"/>
  <c r="LP68" i="1"/>
  <c r="LP69" i="1"/>
  <c r="LP70" i="1"/>
  <c r="LP71" i="1"/>
  <c r="LP72" i="1"/>
  <c r="LP73" i="1"/>
  <c r="LP74" i="1"/>
  <c r="LP75" i="1"/>
  <c r="LP76" i="1"/>
  <c r="LP77" i="1"/>
  <c r="LP78" i="1"/>
  <c r="LP79" i="1"/>
  <c r="LP80" i="1"/>
  <c r="LP81" i="1"/>
  <c r="LP82" i="1"/>
  <c r="LP83" i="1"/>
  <c r="LP84" i="1"/>
  <c r="LP85" i="1"/>
  <c r="LP86" i="1"/>
  <c r="LO7" i="1"/>
  <c r="LO8" i="1"/>
  <c r="LO9" i="1"/>
  <c r="LO10" i="1"/>
  <c r="LO11" i="1"/>
  <c r="LO12" i="1"/>
  <c r="LO13" i="1"/>
  <c r="LO14" i="1"/>
  <c r="LO15" i="1"/>
  <c r="LO16" i="1"/>
  <c r="LO17" i="1"/>
  <c r="LO18" i="1"/>
  <c r="LO19" i="1"/>
  <c r="LO20" i="1"/>
  <c r="LO21" i="1"/>
  <c r="LO22" i="1"/>
  <c r="LO23" i="1"/>
  <c r="LO24" i="1"/>
  <c r="LO25" i="1"/>
  <c r="LO26" i="1"/>
  <c r="LO27" i="1"/>
  <c r="LO28" i="1"/>
  <c r="LO29" i="1"/>
  <c r="LO30" i="1"/>
  <c r="LO31" i="1"/>
  <c r="LO32" i="1"/>
  <c r="LO33" i="1"/>
  <c r="LO34" i="1"/>
  <c r="LO35" i="1"/>
  <c r="LO36" i="1"/>
  <c r="LO37" i="1"/>
  <c r="LO38" i="1"/>
  <c r="LO39" i="1"/>
  <c r="LO40" i="1"/>
  <c r="LO41" i="1"/>
  <c r="LO42" i="1"/>
  <c r="LO43" i="1"/>
  <c r="LO44" i="1"/>
  <c r="LO45" i="1"/>
  <c r="LO46" i="1"/>
  <c r="LO47" i="1"/>
  <c r="LO48" i="1"/>
  <c r="LO49" i="1"/>
  <c r="LO50" i="1"/>
  <c r="LO51" i="1"/>
  <c r="LO52" i="1"/>
  <c r="LO53" i="1"/>
  <c r="LO54" i="1"/>
  <c r="LO55" i="1"/>
  <c r="LO56" i="1"/>
  <c r="LO57" i="1"/>
  <c r="LO58" i="1"/>
  <c r="LO59" i="1"/>
  <c r="LO60" i="1"/>
  <c r="LO61" i="1"/>
  <c r="LO62" i="1"/>
  <c r="LO63" i="1"/>
  <c r="LO64" i="1"/>
  <c r="LO65" i="1"/>
  <c r="LO66" i="1"/>
  <c r="LO67" i="1"/>
  <c r="LO68" i="1"/>
  <c r="LO69" i="1"/>
  <c r="LO70" i="1"/>
  <c r="LO71" i="1"/>
  <c r="LO72" i="1"/>
  <c r="LO73" i="1"/>
  <c r="LO74" i="1"/>
  <c r="LO75" i="1"/>
  <c r="LO76" i="1"/>
  <c r="LO77" i="1"/>
  <c r="LO78" i="1"/>
  <c r="LO79" i="1"/>
  <c r="LO80" i="1"/>
  <c r="LO81" i="1"/>
  <c r="LO82" i="1"/>
  <c r="LO83" i="1"/>
  <c r="LO84" i="1"/>
  <c r="LO85" i="1"/>
  <c r="LO86" i="1"/>
  <c r="LN7" i="1"/>
  <c r="LN8" i="1"/>
  <c r="LN9" i="1"/>
  <c r="LN10" i="1"/>
  <c r="LN11" i="1"/>
  <c r="LN12" i="1"/>
  <c r="LN13" i="1"/>
  <c r="LN14" i="1"/>
  <c r="LN15" i="1"/>
  <c r="LN16" i="1"/>
  <c r="LN17" i="1"/>
  <c r="LN18" i="1"/>
  <c r="LN19" i="1"/>
  <c r="LN20" i="1"/>
  <c r="LN21" i="1"/>
  <c r="LN22" i="1"/>
  <c r="LN23" i="1"/>
  <c r="LN24" i="1"/>
  <c r="LN25" i="1"/>
  <c r="LN26" i="1"/>
  <c r="LN27" i="1"/>
  <c r="LN28" i="1"/>
  <c r="LN29" i="1"/>
  <c r="LN30" i="1"/>
  <c r="LN31" i="1"/>
  <c r="LN32" i="1"/>
  <c r="LN33" i="1"/>
  <c r="LN34" i="1"/>
  <c r="LN35" i="1"/>
  <c r="LN36" i="1"/>
  <c r="LN37" i="1"/>
  <c r="LN38" i="1"/>
  <c r="LN39" i="1"/>
  <c r="LN40" i="1"/>
  <c r="LN41" i="1"/>
  <c r="LN42" i="1"/>
  <c r="LN43" i="1"/>
  <c r="LN44" i="1"/>
  <c r="LN45" i="1"/>
  <c r="LN46" i="1"/>
  <c r="LN47" i="1"/>
  <c r="LN48" i="1"/>
  <c r="LN49" i="1"/>
  <c r="LN50" i="1"/>
  <c r="LN51" i="1"/>
  <c r="LN52" i="1"/>
  <c r="LN53" i="1"/>
  <c r="LN54" i="1"/>
  <c r="LN55" i="1"/>
  <c r="LN56" i="1"/>
  <c r="LN57" i="1"/>
  <c r="LN58" i="1"/>
  <c r="LN59" i="1"/>
  <c r="LN60" i="1"/>
  <c r="LN61" i="1"/>
  <c r="LN62" i="1"/>
  <c r="LN63" i="1"/>
  <c r="LN64" i="1"/>
  <c r="LN65" i="1"/>
  <c r="LN66" i="1"/>
  <c r="LN67" i="1"/>
  <c r="LN68" i="1"/>
  <c r="LN69" i="1"/>
  <c r="LN70" i="1"/>
  <c r="LN71" i="1"/>
  <c r="LN72" i="1"/>
  <c r="LN73" i="1"/>
  <c r="LN74" i="1"/>
  <c r="LN75" i="1"/>
  <c r="LN76" i="1"/>
  <c r="LN77" i="1"/>
  <c r="LN78" i="1"/>
  <c r="LN79" i="1"/>
  <c r="LN80" i="1"/>
  <c r="LN81" i="1"/>
  <c r="LN82" i="1"/>
  <c r="LN83" i="1"/>
  <c r="LN84" i="1"/>
  <c r="LN85" i="1"/>
  <c r="LN86" i="1"/>
  <c r="LM7" i="1"/>
  <c r="LM8" i="1"/>
  <c r="LM9" i="1"/>
  <c r="LM10" i="1"/>
  <c r="LM11" i="1"/>
  <c r="LM12" i="1"/>
  <c r="LM13" i="1"/>
  <c r="LM14" i="1"/>
  <c r="LM15" i="1"/>
  <c r="LM16" i="1"/>
  <c r="LM17" i="1"/>
  <c r="LM18" i="1"/>
  <c r="LM19" i="1"/>
  <c r="LM20" i="1"/>
  <c r="LM21" i="1"/>
  <c r="LM22" i="1"/>
  <c r="LM23" i="1"/>
  <c r="LM24" i="1"/>
  <c r="LM25" i="1"/>
  <c r="LM26" i="1"/>
  <c r="LM27" i="1"/>
  <c r="LM28" i="1"/>
  <c r="LM29" i="1"/>
  <c r="LM30" i="1"/>
  <c r="LM31" i="1"/>
  <c r="LM32" i="1"/>
  <c r="LM33" i="1"/>
  <c r="LM34" i="1"/>
  <c r="LM35" i="1"/>
  <c r="LM36" i="1"/>
  <c r="LM37" i="1"/>
  <c r="LM38" i="1"/>
  <c r="LM39" i="1"/>
  <c r="LM40" i="1"/>
  <c r="LM41" i="1"/>
  <c r="LM42" i="1"/>
  <c r="LM43" i="1"/>
  <c r="LM44" i="1"/>
  <c r="LM45" i="1"/>
  <c r="LM46" i="1"/>
  <c r="LM47" i="1"/>
  <c r="LM48" i="1"/>
  <c r="LM49" i="1"/>
  <c r="LM50" i="1"/>
  <c r="LM51" i="1"/>
  <c r="LM52" i="1"/>
  <c r="LM53" i="1"/>
  <c r="LM54" i="1"/>
  <c r="LM55" i="1"/>
  <c r="LM56" i="1"/>
  <c r="LM57" i="1"/>
  <c r="LM58" i="1"/>
  <c r="LM59" i="1"/>
  <c r="LM60" i="1"/>
  <c r="LM61" i="1"/>
  <c r="LM62" i="1"/>
  <c r="LM63" i="1"/>
  <c r="LM64" i="1"/>
  <c r="LM65" i="1"/>
  <c r="LM66" i="1"/>
  <c r="LM67" i="1"/>
  <c r="LM68" i="1"/>
  <c r="LM69" i="1"/>
  <c r="LM70" i="1"/>
  <c r="LM71" i="1"/>
  <c r="LM72" i="1"/>
  <c r="LM73" i="1"/>
  <c r="LM74" i="1"/>
  <c r="LM75" i="1"/>
  <c r="LM76" i="1"/>
  <c r="LM77" i="1"/>
  <c r="LM78" i="1"/>
  <c r="LM79" i="1"/>
  <c r="LM80" i="1"/>
  <c r="LM81" i="1"/>
  <c r="LM82" i="1"/>
  <c r="LM83" i="1"/>
  <c r="LM84" i="1"/>
  <c r="LM85" i="1"/>
  <c r="LM86" i="1"/>
  <c r="LL7" i="1"/>
  <c r="LL8" i="1"/>
  <c r="LL9" i="1"/>
  <c r="LL10" i="1"/>
  <c r="LL11" i="1"/>
  <c r="LL12" i="1"/>
  <c r="LL13" i="1"/>
  <c r="LL14" i="1"/>
  <c r="LL15" i="1"/>
  <c r="LL16" i="1"/>
  <c r="LL17" i="1"/>
  <c r="LL18" i="1"/>
  <c r="LL19" i="1"/>
  <c r="LL20" i="1"/>
  <c r="LL21" i="1"/>
  <c r="LL22" i="1"/>
  <c r="LL23" i="1"/>
  <c r="LL24" i="1"/>
  <c r="LL25" i="1"/>
  <c r="LL26" i="1"/>
  <c r="LL27" i="1"/>
  <c r="LL28" i="1"/>
  <c r="LL29" i="1"/>
  <c r="LL30" i="1"/>
  <c r="LL31" i="1"/>
  <c r="LL32" i="1"/>
  <c r="LL33" i="1"/>
  <c r="LL34" i="1"/>
  <c r="LL35" i="1"/>
  <c r="LL36" i="1"/>
  <c r="LL37" i="1"/>
  <c r="LL38" i="1"/>
  <c r="LL39" i="1"/>
  <c r="LL40" i="1"/>
  <c r="LL41" i="1"/>
  <c r="LL42" i="1"/>
  <c r="LL43" i="1"/>
  <c r="LL44" i="1"/>
  <c r="LL45" i="1"/>
  <c r="LL46" i="1"/>
  <c r="LL47" i="1"/>
  <c r="LL48" i="1"/>
  <c r="LL49" i="1"/>
  <c r="LL50" i="1"/>
  <c r="LL51" i="1"/>
  <c r="LL52" i="1"/>
  <c r="LL53" i="1"/>
  <c r="LL54" i="1"/>
  <c r="LL55" i="1"/>
  <c r="LL56" i="1"/>
  <c r="LL57" i="1"/>
  <c r="LL58" i="1"/>
  <c r="LL59" i="1"/>
  <c r="LL60" i="1"/>
  <c r="LL61" i="1"/>
  <c r="LL62" i="1"/>
  <c r="LL63" i="1"/>
  <c r="LL64" i="1"/>
  <c r="LL65" i="1"/>
  <c r="LL66" i="1"/>
  <c r="LL67" i="1"/>
  <c r="LL68" i="1"/>
  <c r="LL69" i="1"/>
  <c r="LL70" i="1"/>
  <c r="LL71" i="1"/>
  <c r="LL72" i="1"/>
  <c r="LL73" i="1"/>
  <c r="LL74" i="1"/>
  <c r="LL75" i="1"/>
  <c r="LL76" i="1"/>
  <c r="LL77" i="1"/>
  <c r="LL78" i="1"/>
  <c r="LL79" i="1"/>
  <c r="LL80" i="1"/>
  <c r="LL81" i="1"/>
  <c r="LL82" i="1"/>
  <c r="LL83" i="1"/>
  <c r="LL84" i="1"/>
  <c r="LL85" i="1"/>
  <c r="LL86" i="1"/>
  <c r="LK7" i="1"/>
  <c r="LK8" i="1"/>
  <c r="LK9" i="1"/>
  <c r="LK10" i="1"/>
  <c r="LK11" i="1"/>
  <c r="LK12" i="1"/>
  <c r="LK13" i="1"/>
  <c r="LK14" i="1"/>
  <c r="LK15" i="1"/>
  <c r="LK16" i="1"/>
  <c r="LK17" i="1"/>
  <c r="LK18" i="1"/>
  <c r="LK19" i="1"/>
  <c r="LK20" i="1"/>
  <c r="LK21" i="1"/>
  <c r="LK22" i="1"/>
  <c r="LK23" i="1"/>
  <c r="LK24" i="1"/>
  <c r="LK25" i="1"/>
  <c r="LK26" i="1"/>
  <c r="LK27" i="1"/>
  <c r="LK28" i="1"/>
  <c r="LK29" i="1"/>
  <c r="LK30" i="1"/>
  <c r="LK31" i="1"/>
  <c r="LK32" i="1"/>
  <c r="LK33" i="1"/>
  <c r="LK34" i="1"/>
  <c r="LK35" i="1"/>
  <c r="LK36" i="1"/>
  <c r="LK37" i="1"/>
  <c r="LK38" i="1"/>
  <c r="LK39" i="1"/>
  <c r="LK40" i="1"/>
  <c r="LK41" i="1"/>
  <c r="LK42" i="1"/>
  <c r="LK43" i="1"/>
  <c r="LK44" i="1"/>
  <c r="LK45" i="1"/>
  <c r="LK46" i="1"/>
  <c r="LK47" i="1"/>
  <c r="LK48" i="1"/>
  <c r="LK49" i="1"/>
  <c r="LK50" i="1"/>
  <c r="LK51" i="1"/>
  <c r="LK52" i="1"/>
  <c r="LK53" i="1"/>
  <c r="LK54" i="1"/>
  <c r="LK55" i="1"/>
  <c r="LK56" i="1"/>
  <c r="LK57" i="1"/>
  <c r="LK58" i="1"/>
  <c r="LK59" i="1"/>
  <c r="LK60" i="1"/>
  <c r="LK61" i="1"/>
  <c r="LK62" i="1"/>
  <c r="LK63" i="1"/>
  <c r="LK64" i="1"/>
  <c r="LK65" i="1"/>
  <c r="LK66" i="1"/>
  <c r="LK67" i="1"/>
  <c r="LK68" i="1"/>
  <c r="LK69" i="1"/>
  <c r="LK70" i="1"/>
  <c r="LK71" i="1"/>
  <c r="LK72" i="1"/>
  <c r="LK73" i="1"/>
  <c r="LK74" i="1"/>
  <c r="LK75" i="1"/>
  <c r="LK76" i="1"/>
  <c r="LK77" i="1"/>
  <c r="LK78" i="1"/>
  <c r="LK79" i="1"/>
  <c r="LK80" i="1"/>
  <c r="LK81" i="1"/>
  <c r="LK82" i="1"/>
  <c r="LK83" i="1"/>
  <c r="LK84" i="1"/>
  <c r="LK85" i="1"/>
  <c r="LK86" i="1"/>
  <c r="LJ7" i="1"/>
  <c r="LJ8" i="1"/>
  <c r="LJ9" i="1"/>
  <c r="LJ10" i="1"/>
  <c r="LJ11" i="1"/>
  <c r="LJ12" i="1"/>
  <c r="LJ13" i="1"/>
  <c r="LJ14" i="1"/>
  <c r="LJ15" i="1"/>
  <c r="LJ16" i="1"/>
  <c r="LJ17" i="1"/>
  <c r="LJ18" i="1"/>
  <c r="LJ19" i="1"/>
  <c r="LJ20" i="1"/>
  <c r="LJ21" i="1"/>
  <c r="LJ22" i="1"/>
  <c r="LJ23" i="1"/>
  <c r="LJ24" i="1"/>
  <c r="LJ25" i="1"/>
  <c r="LJ26" i="1"/>
  <c r="LJ27" i="1"/>
  <c r="LJ28" i="1"/>
  <c r="LJ29" i="1"/>
  <c r="LJ30" i="1"/>
  <c r="LJ31" i="1"/>
  <c r="LJ32" i="1"/>
  <c r="LJ33" i="1"/>
  <c r="LJ34" i="1"/>
  <c r="LJ35" i="1"/>
  <c r="LJ36" i="1"/>
  <c r="LJ37" i="1"/>
  <c r="LJ38" i="1"/>
  <c r="LJ39" i="1"/>
  <c r="LJ40" i="1"/>
  <c r="LJ41" i="1"/>
  <c r="LJ42" i="1"/>
  <c r="LJ43" i="1"/>
  <c r="LJ44" i="1"/>
  <c r="LJ45" i="1"/>
  <c r="LJ46" i="1"/>
  <c r="LJ47" i="1"/>
  <c r="LJ48" i="1"/>
  <c r="LJ49" i="1"/>
  <c r="LJ50" i="1"/>
  <c r="LJ51" i="1"/>
  <c r="LJ52" i="1"/>
  <c r="LJ53" i="1"/>
  <c r="LJ54" i="1"/>
  <c r="LJ55" i="1"/>
  <c r="LJ56" i="1"/>
  <c r="LJ57" i="1"/>
  <c r="LJ58" i="1"/>
  <c r="LJ59" i="1"/>
  <c r="LJ60" i="1"/>
  <c r="LJ61" i="1"/>
  <c r="LJ62" i="1"/>
  <c r="LJ63" i="1"/>
  <c r="LJ64" i="1"/>
  <c r="LJ65" i="1"/>
  <c r="LJ66" i="1"/>
  <c r="LJ67" i="1"/>
  <c r="LJ68" i="1"/>
  <c r="LJ69" i="1"/>
  <c r="LJ70" i="1"/>
  <c r="LJ71" i="1"/>
  <c r="LJ72" i="1"/>
  <c r="LJ73" i="1"/>
  <c r="LJ74" i="1"/>
  <c r="LJ75" i="1"/>
  <c r="LJ76" i="1"/>
  <c r="LJ77" i="1"/>
  <c r="LJ78" i="1"/>
  <c r="LJ79" i="1"/>
  <c r="LJ80" i="1"/>
  <c r="LJ81" i="1"/>
  <c r="LJ82" i="1"/>
  <c r="LJ83" i="1"/>
  <c r="LJ84" i="1"/>
  <c r="LJ85" i="1"/>
  <c r="LJ86" i="1"/>
  <c r="LI7" i="1"/>
  <c r="LI8" i="1"/>
  <c r="LI9" i="1"/>
  <c r="LI10" i="1"/>
  <c r="LI11" i="1"/>
  <c r="LI12" i="1"/>
  <c r="LI13" i="1"/>
  <c r="LI14" i="1"/>
  <c r="LI15" i="1"/>
  <c r="LI16" i="1"/>
  <c r="LI17" i="1"/>
  <c r="LI18" i="1"/>
  <c r="LI19" i="1"/>
  <c r="LI20" i="1"/>
  <c r="LI21" i="1"/>
  <c r="LI22" i="1"/>
  <c r="LI23" i="1"/>
  <c r="LI24" i="1"/>
  <c r="LI25" i="1"/>
  <c r="LI26" i="1"/>
  <c r="LI27" i="1"/>
  <c r="LI28" i="1"/>
  <c r="LI29" i="1"/>
  <c r="LI30" i="1"/>
  <c r="LI31" i="1"/>
  <c r="LI32" i="1"/>
  <c r="LI33" i="1"/>
  <c r="LI34" i="1"/>
  <c r="LI35" i="1"/>
  <c r="LI36" i="1"/>
  <c r="LI37" i="1"/>
  <c r="LI38" i="1"/>
  <c r="LI39" i="1"/>
  <c r="LI40" i="1"/>
  <c r="LI41" i="1"/>
  <c r="LI42" i="1"/>
  <c r="LI43" i="1"/>
  <c r="LI44" i="1"/>
  <c r="LI45" i="1"/>
  <c r="LI46" i="1"/>
  <c r="LI47" i="1"/>
  <c r="LI48" i="1"/>
  <c r="LI49" i="1"/>
  <c r="LI50" i="1"/>
  <c r="LI51" i="1"/>
  <c r="LI52" i="1"/>
  <c r="LI53" i="1"/>
  <c r="LI54" i="1"/>
  <c r="LI55" i="1"/>
  <c r="LI56" i="1"/>
  <c r="LI57" i="1"/>
  <c r="LI58" i="1"/>
  <c r="LI59" i="1"/>
  <c r="LI60" i="1"/>
  <c r="LI61" i="1"/>
  <c r="LI62" i="1"/>
  <c r="LI63" i="1"/>
  <c r="LI64" i="1"/>
  <c r="LI65" i="1"/>
  <c r="LI66" i="1"/>
  <c r="LI67" i="1"/>
  <c r="LI68" i="1"/>
  <c r="LI69" i="1"/>
  <c r="LI70" i="1"/>
  <c r="LI71" i="1"/>
  <c r="LI72" i="1"/>
  <c r="LI73" i="1"/>
  <c r="LI74" i="1"/>
  <c r="LI75" i="1"/>
  <c r="LI76" i="1"/>
  <c r="LI77" i="1"/>
  <c r="LI78" i="1"/>
  <c r="LI79" i="1"/>
  <c r="LI80" i="1"/>
  <c r="LI81" i="1"/>
  <c r="LI82" i="1"/>
  <c r="LI83" i="1"/>
  <c r="LI84" i="1"/>
  <c r="LI85" i="1"/>
  <c r="LI86" i="1"/>
  <c r="LH7" i="1"/>
  <c r="NO7" i="1" s="1"/>
  <c r="LH8" i="1"/>
  <c r="NO8" i="1" s="1"/>
  <c r="LH9" i="1"/>
  <c r="NO9" i="1" s="1"/>
  <c r="LH10" i="1"/>
  <c r="NO10" i="1" s="1"/>
  <c r="LH11" i="1"/>
  <c r="NO11" i="1" s="1"/>
  <c r="LH12" i="1"/>
  <c r="NO12" i="1" s="1"/>
  <c r="LH13" i="1"/>
  <c r="LH14" i="1"/>
  <c r="NO14" i="1" s="1"/>
  <c r="LH15" i="1"/>
  <c r="NO15" i="1" s="1"/>
  <c r="LH16" i="1"/>
  <c r="NO16" i="1" s="1"/>
  <c r="LH17" i="1"/>
  <c r="NO17" i="1" s="1"/>
  <c r="LH18" i="1"/>
  <c r="NO18" i="1" s="1"/>
  <c r="LH19" i="1"/>
  <c r="NO19" i="1" s="1"/>
  <c r="LH20" i="1"/>
  <c r="NO20" i="1" s="1"/>
  <c r="LH21" i="1"/>
  <c r="NO21" i="1" s="1"/>
  <c r="LH22" i="1"/>
  <c r="NO22" i="1" s="1"/>
  <c r="LH23" i="1"/>
  <c r="NO23" i="1" s="1"/>
  <c r="LH24" i="1"/>
  <c r="NO24" i="1" s="1"/>
  <c r="LH25" i="1"/>
  <c r="NO25" i="1" s="1"/>
  <c r="LH26" i="1"/>
  <c r="NO26" i="1" s="1"/>
  <c r="LH27" i="1"/>
  <c r="NO27" i="1" s="1"/>
  <c r="LH28" i="1"/>
  <c r="NO28" i="1" s="1"/>
  <c r="LH29" i="1"/>
  <c r="LH30" i="1"/>
  <c r="LH31" i="1"/>
  <c r="NO31" i="1" s="1"/>
  <c r="LH32" i="1"/>
  <c r="NO32" i="1" s="1"/>
  <c r="LH33" i="1"/>
  <c r="NO33" i="1" s="1"/>
  <c r="LH34" i="1"/>
  <c r="NO34" i="1" s="1"/>
  <c r="LH35" i="1"/>
  <c r="NO35" i="1" s="1"/>
  <c r="LH36" i="1"/>
  <c r="NO36" i="1" s="1"/>
  <c r="LH37" i="1"/>
  <c r="NO37" i="1" s="1"/>
  <c r="LH38" i="1"/>
  <c r="NO38" i="1" s="1"/>
  <c r="LH39" i="1"/>
  <c r="NO39" i="1" s="1"/>
  <c r="LH40" i="1"/>
  <c r="NO40" i="1" s="1"/>
  <c r="LH41" i="1"/>
  <c r="NO41" i="1" s="1"/>
  <c r="LH42" i="1"/>
  <c r="NO42" i="1" s="1"/>
  <c r="LH43" i="1"/>
  <c r="NO43" i="1" s="1"/>
  <c r="LH44" i="1"/>
  <c r="NO44" i="1" s="1"/>
  <c r="LH45" i="1"/>
  <c r="NO45" i="1" s="1"/>
  <c r="LH46" i="1"/>
  <c r="NO46" i="1" s="1"/>
  <c r="LH47" i="1"/>
  <c r="NO47" i="1" s="1"/>
  <c r="LH48" i="1"/>
  <c r="NO48" i="1" s="1"/>
  <c r="LH49" i="1"/>
  <c r="NO49" i="1" s="1"/>
  <c r="LH50" i="1"/>
  <c r="NO50" i="1" s="1"/>
  <c r="LH51" i="1"/>
  <c r="NO51" i="1" s="1"/>
  <c r="LH52" i="1"/>
  <c r="NO52" i="1" s="1"/>
  <c r="LH53" i="1"/>
  <c r="NO53" i="1" s="1"/>
  <c r="LH54" i="1"/>
  <c r="NO54" i="1" s="1"/>
  <c r="LH55" i="1"/>
  <c r="NO55" i="1" s="1"/>
  <c r="LH56" i="1"/>
  <c r="NO56" i="1" s="1"/>
  <c r="LH57" i="1"/>
  <c r="NO57" i="1" s="1"/>
  <c r="LH58" i="1"/>
  <c r="NO58" i="1" s="1"/>
  <c r="LH59" i="1"/>
  <c r="NO59" i="1" s="1"/>
  <c r="LH60" i="1"/>
  <c r="NO60" i="1" s="1"/>
  <c r="LH61" i="1"/>
  <c r="NO61" i="1" s="1"/>
  <c r="LH62" i="1"/>
  <c r="LH63" i="1"/>
  <c r="NO63" i="1" s="1"/>
  <c r="LH64" i="1"/>
  <c r="NO64" i="1" s="1"/>
  <c r="LH65" i="1"/>
  <c r="NO65" i="1" s="1"/>
  <c r="LH66" i="1"/>
  <c r="NO66" i="1" s="1"/>
  <c r="LH67" i="1"/>
  <c r="NO67" i="1" s="1"/>
  <c r="LH68" i="1"/>
  <c r="NO68" i="1" s="1"/>
  <c r="LH69" i="1"/>
  <c r="LH70" i="1"/>
  <c r="NO70" i="1" s="1"/>
  <c r="LH71" i="1"/>
  <c r="NO71" i="1" s="1"/>
  <c r="LH72" i="1"/>
  <c r="NO72" i="1" s="1"/>
  <c r="LH73" i="1"/>
  <c r="NO73" i="1" s="1"/>
  <c r="LH74" i="1"/>
  <c r="NO74" i="1" s="1"/>
  <c r="LH75" i="1"/>
  <c r="NO75" i="1" s="1"/>
  <c r="LH76" i="1"/>
  <c r="NO76" i="1" s="1"/>
  <c r="LH77" i="1"/>
  <c r="LH78" i="1"/>
  <c r="NO78" i="1" s="1"/>
  <c r="LH79" i="1"/>
  <c r="NO79" i="1" s="1"/>
  <c r="LH80" i="1"/>
  <c r="NO80" i="1" s="1"/>
  <c r="LH81" i="1"/>
  <c r="NO81" i="1" s="1"/>
  <c r="LH82" i="1"/>
  <c r="NO82" i="1" s="1"/>
  <c r="LH83" i="1"/>
  <c r="NO83" i="1" s="1"/>
  <c r="LH84" i="1"/>
  <c r="LH85" i="1"/>
  <c r="NO85" i="1" s="1"/>
  <c r="LH86" i="1"/>
  <c r="NO86" i="1" s="1"/>
  <c r="LG7" i="1"/>
  <c r="LG8" i="1"/>
  <c r="LG9" i="1"/>
  <c r="LG10" i="1"/>
  <c r="LG11" i="1"/>
  <c r="LG12" i="1"/>
  <c r="LG13" i="1"/>
  <c r="LG14" i="1"/>
  <c r="LG15" i="1"/>
  <c r="LG16" i="1"/>
  <c r="LG17" i="1"/>
  <c r="LG18" i="1"/>
  <c r="LG19" i="1"/>
  <c r="LG20" i="1"/>
  <c r="LG21" i="1"/>
  <c r="LG22" i="1"/>
  <c r="LG23" i="1"/>
  <c r="LG24" i="1"/>
  <c r="LG25" i="1"/>
  <c r="LG26" i="1"/>
  <c r="LG27" i="1"/>
  <c r="LG28" i="1"/>
  <c r="LG29" i="1"/>
  <c r="LG30" i="1"/>
  <c r="LG31" i="1"/>
  <c r="LG32" i="1"/>
  <c r="LG33" i="1"/>
  <c r="LG34" i="1"/>
  <c r="LG35" i="1"/>
  <c r="LG36" i="1"/>
  <c r="LG37" i="1"/>
  <c r="LG38" i="1"/>
  <c r="LG39" i="1"/>
  <c r="LG40" i="1"/>
  <c r="LG41" i="1"/>
  <c r="LG42" i="1"/>
  <c r="LG43" i="1"/>
  <c r="LG44" i="1"/>
  <c r="LG45" i="1"/>
  <c r="LG46" i="1"/>
  <c r="LG47" i="1"/>
  <c r="LG48" i="1"/>
  <c r="LG49" i="1"/>
  <c r="LG50" i="1"/>
  <c r="LG51" i="1"/>
  <c r="LG52" i="1"/>
  <c r="LG53" i="1"/>
  <c r="LG54" i="1"/>
  <c r="LG55" i="1"/>
  <c r="LG56" i="1"/>
  <c r="LG57" i="1"/>
  <c r="LG58" i="1"/>
  <c r="LG59" i="1"/>
  <c r="LG60" i="1"/>
  <c r="LG61" i="1"/>
  <c r="LG62" i="1"/>
  <c r="LG63" i="1"/>
  <c r="LG64" i="1"/>
  <c r="LG65" i="1"/>
  <c r="LG66" i="1"/>
  <c r="LG67" i="1"/>
  <c r="LG68" i="1"/>
  <c r="LG69" i="1"/>
  <c r="LG70" i="1"/>
  <c r="LG71" i="1"/>
  <c r="LG72" i="1"/>
  <c r="LG73" i="1"/>
  <c r="LG74" i="1"/>
  <c r="LG75" i="1"/>
  <c r="LG76" i="1"/>
  <c r="LG77" i="1"/>
  <c r="LG78" i="1"/>
  <c r="LG79" i="1"/>
  <c r="LG80" i="1"/>
  <c r="LG81" i="1"/>
  <c r="LG82" i="1"/>
  <c r="LG83" i="1"/>
  <c r="LG84" i="1"/>
  <c r="LG85" i="1"/>
  <c r="LG86" i="1"/>
  <c r="LF7" i="1"/>
  <c r="LF8" i="1"/>
  <c r="LF9" i="1"/>
  <c r="LF10" i="1"/>
  <c r="LF11" i="1"/>
  <c r="LF12" i="1"/>
  <c r="LF13" i="1"/>
  <c r="LF14" i="1"/>
  <c r="LF15" i="1"/>
  <c r="LF16" i="1"/>
  <c r="LF17" i="1"/>
  <c r="LF18" i="1"/>
  <c r="LF19" i="1"/>
  <c r="LF20" i="1"/>
  <c r="LF21" i="1"/>
  <c r="LF22" i="1"/>
  <c r="LF23" i="1"/>
  <c r="LF24" i="1"/>
  <c r="LF25" i="1"/>
  <c r="LF26" i="1"/>
  <c r="LF27" i="1"/>
  <c r="LF28" i="1"/>
  <c r="LF29" i="1"/>
  <c r="LF30" i="1"/>
  <c r="LF31" i="1"/>
  <c r="LF32" i="1"/>
  <c r="LF33" i="1"/>
  <c r="LF34" i="1"/>
  <c r="LF35" i="1"/>
  <c r="LF36" i="1"/>
  <c r="LF37" i="1"/>
  <c r="LF38" i="1"/>
  <c r="LF39" i="1"/>
  <c r="LF40" i="1"/>
  <c r="LF41" i="1"/>
  <c r="LF42" i="1"/>
  <c r="LF43" i="1"/>
  <c r="LF44" i="1"/>
  <c r="LF45" i="1"/>
  <c r="LF46" i="1"/>
  <c r="LF47" i="1"/>
  <c r="LF48" i="1"/>
  <c r="LF49" i="1"/>
  <c r="LF50" i="1"/>
  <c r="LF51" i="1"/>
  <c r="LF52" i="1"/>
  <c r="LF53" i="1"/>
  <c r="LF54" i="1"/>
  <c r="LF55" i="1"/>
  <c r="LF56" i="1"/>
  <c r="LF57" i="1"/>
  <c r="LF58" i="1"/>
  <c r="LF59" i="1"/>
  <c r="LF60" i="1"/>
  <c r="LF61" i="1"/>
  <c r="LF62" i="1"/>
  <c r="LF63" i="1"/>
  <c r="LF64" i="1"/>
  <c r="LF65" i="1"/>
  <c r="LF66" i="1"/>
  <c r="LF67" i="1"/>
  <c r="LF68" i="1"/>
  <c r="LF69" i="1"/>
  <c r="LF70" i="1"/>
  <c r="LF71" i="1"/>
  <c r="LF72" i="1"/>
  <c r="LF73" i="1"/>
  <c r="LF74" i="1"/>
  <c r="LF75" i="1"/>
  <c r="LF76" i="1"/>
  <c r="LF77" i="1"/>
  <c r="LF78" i="1"/>
  <c r="LF79" i="1"/>
  <c r="LF80" i="1"/>
  <c r="LF81" i="1"/>
  <c r="LF82" i="1"/>
  <c r="LF83" i="1"/>
  <c r="LF84" i="1"/>
  <c r="LF85" i="1"/>
  <c r="LF86" i="1"/>
  <c r="LE7" i="1"/>
  <c r="LE8" i="1"/>
  <c r="LE9" i="1"/>
  <c r="LE10" i="1"/>
  <c r="LE11" i="1"/>
  <c r="LE12" i="1"/>
  <c r="LE13" i="1"/>
  <c r="LE14" i="1"/>
  <c r="LE15" i="1"/>
  <c r="LE16" i="1"/>
  <c r="LE17" i="1"/>
  <c r="LE18" i="1"/>
  <c r="LE19" i="1"/>
  <c r="LE20" i="1"/>
  <c r="LE21" i="1"/>
  <c r="LE22" i="1"/>
  <c r="LE23" i="1"/>
  <c r="LE24" i="1"/>
  <c r="LE25" i="1"/>
  <c r="LE26" i="1"/>
  <c r="LE27" i="1"/>
  <c r="LE28" i="1"/>
  <c r="LE29" i="1"/>
  <c r="LE30" i="1"/>
  <c r="LE31" i="1"/>
  <c r="LE32" i="1"/>
  <c r="LE33" i="1"/>
  <c r="LE34" i="1"/>
  <c r="LE35" i="1"/>
  <c r="LE36" i="1"/>
  <c r="LE37" i="1"/>
  <c r="LE38" i="1"/>
  <c r="LE39" i="1"/>
  <c r="LE40" i="1"/>
  <c r="LE41" i="1"/>
  <c r="LE42" i="1"/>
  <c r="LE43" i="1"/>
  <c r="LE44" i="1"/>
  <c r="LE45" i="1"/>
  <c r="LE46" i="1"/>
  <c r="LE47" i="1"/>
  <c r="LE48" i="1"/>
  <c r="LE49" i="1"/>
  <c r="LE50" i="1"/>
  <c r="LE51" i="1"/>
  <c r="LE52" i="1"/>
  <c r="LE53" i="1"/>
  <c r="LE54" i="1"/>
  <c r="LE55" i="1"/>
  <c r="LE56" i="1"/>
  <c r="LE57" i="1"/>
  <c r="LE58" i="1"/>
  <c r="LE59" i="1"/>
  <c r="LE60" i="1"/>
  <c r="LE61" i="1"/>
  <c r="LE62" i="1"/>
  <c r="LE63" i="1"/>
  <c r="LE64" i="1"/>
  <c r="LE65" i="1"/>
  <c r="LE66" i="1"/>
  <c r="LE67" i="1"/>
  <c r="LE68" i="1"/>
  <c r="LE69" i="1"/>
  <c r="LE70" i="1"/>
  <c r="LE71" i="1"/>
  <c r="LE72" i="1"/>
  <c r="LE73" i="1"/>
  <c r="LE74" i="1"/>
  <c r="LE75" i="1"/>
  <c r="LE76" i="1"/>
  <c r="LE77" i="1"/>
  <c r="LE78" i="1"/>
  <c r="LE79" i="1"/>
  <c r="LE80" i="1"/>
  <c r="LE81" i="1"/>
  <c r="LE82" i="1"/>
  <c r="LE83" i="1"/>
  <c r="LE84" i="1"/>
  <c r="LE85" i="1"/>
  <c r="LE86" i="1"/>
  <c r="LD7" i="1"/>
  <c r="LD8" i="1"/>
  <c r="LD9" i="1"/>
  <c r="LD10" i="1"/>
  <c r="LD11" i="1"/>
  <c r="LD12" i="1"/>
  <c r="LD13" i="1"/>
  <c r="LD14" i="1"/>
  <c r="LD15" i="1"/>
  <c r="LD16" i="1"/>
  <c r="LD17" i="1"/>
  <c r="LD18" i="1"/>
  <c r="LD19" i="1"/>
  <c r="LD20" i="1"/>
  <c r="LD21" i="1"/>
  <c r="LD22" i="1"/>
  <c r="LD23" i="1"/>
  <c r="LD24" i="1"/>
  <c r="LD25" i="1"/>
  <c r="LD26" i="1"/>
  <c r="LD27" i="1"/>
  <c r="LD28" i="1"/>
  <c r="LD29" i="1"/>
  <c r="LD30" i="1"/>
  <c r="LD31" i="1"/>
  <c r="LD32" i="1"/>
  <c r="LD33" i="1"/>
  <c r="LD34" i="1"/>
  <c r="LD35" i="1"/>
  <c r="LD36" i="1"/>
  <c r="LD37" i="1"/>
  <c r="LD38" i="1"/>
  <c r="LD39" i="1"/>
  <c r="LD40" i="1"/>
  <c r="LD41" i="1"/>
  <c r="LD42" i="1"/>
  <c r="LD43" i="1"/>
  <c r="LD44" i="1"/>
  <c r="LD45" i="1"/>
  <c r="LD46" i="1"/>
  <c r="LD47" i="1"/>
  <c r="LD48" i="1"/>
  <c r="LD49" i="1"/>
  <c r="LD50" i="1"/>
  <c r="LD51" i="1"/>
  <c r="LD52" i="1"/>
  <c r="LD53" i="1"/>
  <c r="LD54" i="1"/>
  <c r="LD55" i="1"/>
  <c r="LD56" i="1"/>
  <c r="LD57" i="1"/>
  <c r="LD58" i="1"/>
  <c r="LD59" i="1"/>
  <c r="LD60" i="1"/>
  <c r="LD61" i="1"/>
  <c r="LD62" i="1"/>
  <c r="LD63" i="1"/>
  <c r="LD64" i="1"/>
  <c r="LD65" i="1"/>
  <c r="LD66" i="1"/>
  <c r="LD67" i="1"/>
  <c r="LD68" i="1"/>
  <c r="LD69" i="1"/>
  <c r="LD70" i="1"/>
  <c r="LD71" i="1"/>
  <c r="LD72" i="1"/>
  <c r="LD73" i="1"/>
  <c r="LD74" i="1"/>
  <c r="LD75" i="1"/>
  <c r="LD76" i="1"/>
  <c r="LD77" i="1"/>
  <c r="LD78" i="1"/>
  <c r="LD79" i="1"/>
  <c r="LD80" i="1"/>
  <c r="LD81" i="1"/>
  <c r="LD82" i="1"/>
  <c r="LD83" i="1"/>
  <c r="LD84" i="1"/>
  <c r="LD85" i="1"/>
  <c r="LD86" i="1"/>
  <c r="LC7" i="1"/>
  <c r="LC8" i="1"/>
  <c r="LC9" i="1"/>
  <c r="LC10" i="1"/>
  <c r="LC11" i="1"/>
  <c r="LC12" i="1"/>
  <c r="LC13" i="1"/>
  <c r="LC14" i="1"/>
  <c r="LC15" i="1"/>
  <c r="LC16" i="1"/>
  <c r="LC17" i="1"/>
  <c r="LC18" i="1"/>
  <c r="LC19" i="1"/>
  <c r="LC20" i="1"/>
  <c r="LC21" i="1"/>
  <c r="LC22" i="1"/>
  <c r="LC23" i="1"/>
  <c r="LC24" i="1"/>
  <c r="LC25" i="1"/>
  <c r="LC26" i="1"/>
  <c r="LC27" i="1"/>
  <c r="LC28" i="1"/>
  <c r="LC29" i="1"/>
  <c r="LC30" i="1"/>
  <c r="LC31" i="1"/>
  <c r="LC32" i="1"/>
  <c r="LC33" i="1"/>
  <c r="LC34" i="1"/>
  <c r="LC35" i="1"/>
  <c r="LC36" i="1"/>
  <c r="LC37" i="1"/>
  <c r="LC38" i="1"/>
  <c r="LC39" i="1"/>
  <c r="LC40" i="1"/>
  <c r="LC41" i="1"/>
  <c r="LC42" i="1"/>
  <c r="LC43" i="1"/>
  <c r="LC44" i="1"/>
  <c r="LC45" i="1"/>
  <c r="LC46" i="1"/>
  <c r="LC47" i="1"/>
  <c r="LC48" i="1"/>
  <c r="LC49" i="1"/>
  <c r="LC50" i="1"/>
  <c r="LC51" i="1"/>
  <c r="LC52" i="1"/>
  <c r="LC53" i="1"/>
  <c r="LC54" i="1"/>
  <c r="LC55" i="1"/>
  <c r="LC56" i="1"/>
  <c r="LC57" i="1"/>
  <c r="LC58" i="1"/>
  <c r="LC59" i="1"/>
  <c r="LC60" i="1"/>
  <c r="LC61" i="1"/>
  <c r="LC62" i="1"/>
  <c r="LC63" i="1"/>
  <c r="LC64" i="1"/>
  <c r="LC65" i="1"/>
  <c r="LC66" i="1"/>
  <c r="LC67" i="1"/>
  <c r="LC68" i="1"/>
  <c r="LC69" i="1"/>
  <c r="LC70" i="1"/>
  <c r="LC71" i="1"/>
  <c r="LC72" i="1"/>
  <c r="LC73" i="1"/>
  <c r="LC74" i="1"/>
  <c r="LC75" i="1"/>
  <c r="LC76" i="1"/>
  <c r="LC77" i="1"/>
  <c r="LC78" i="1"/>
  <c r="LC79" i="1"/>
  <c r="LC80" i="1"/>
  <c r="LC81" i="1"/>
  <c r="LC82" i="1"/>
  <c r="LC83" i="1"/>
  <c r="LC84" i="1"/>
  <c r="LC85" i="1"/>
  <c r="LC86" i="1"/>
  <c r="LB7" i="1"/>
  <c r="LB8" i="1"/>
  <c r="LB9" i="1"/>
  <c r="LB10" i="1"/>
  <c r="LB11" i="1"/>
  <c r="LB12" i="1"/>
  <c r="LB13" i="1"/>
  <c r="LB14" i="1"/>
  <c r="LB15" i="1"/>
  <c r="LB16" i="1"/>
  <c r="LB17" i="1"/>
  <c r="LB18" i="1"/>
  <c r="LB19" i="1"/>
  <c r="LB20" i="1"/>
  <c r="LB21" i="1"/>
  <c r="LB22" i="1"/>
  <c r="LB23" i="1"/>
  <c r="LB24" i="1"/>
  <c r="LB25" i="1"/>
  <c r="LB26" i="1"/>
  <c r="LB27" i="1"/>
  <c r="LB28" i="1"/>
  <c r="LB29" i="1"/>
  <c r="LB30" i="1"/>
  <c r="LB31" i="1"/>
  <c r="LB32" i="1"/>
  <c r="LB33" i="1"/>
  <c r="LB34" i="1"/>
  <c r="LB35" i="1"/>
  <c r="LB36" i="1"/>
  <c r="LB37" i="1"/>
  <c r="LB38" i="1"/>
  <c r="LB39" i="1"/>
  <c r="LB40" i="1"/>
  <c r="LB41" i="1"/>
  <c r="LB42" i="1"/>
  <c r="LB43" i="1"/>
  <c r="LB44" i="1"/>
  <c r="LB45" i="1"/>
  <c r="LB46" i="1"/>
  <c r="LB47" i="1"/>
  <c r="LB48" i="1"/>
  <c r="LB49" i="1"/>
  <c r="LB50" i="1"/>
  <c r="LB51" i="1"/>
  <c r="LB52" i="1"/>
  <c r="LB53" i="1"/>
  <c r="LB54" i="1"/>
  <c r="LB55" i="1"/>
  <c r="LB56" i="1"/>
  <c r="LB57" i="1"/>
  <c r="LB58" i="1"/>
  <c r="LB59" i="1"/>
  <c r="LB60" i="1"/>
  <c r="LB61" i="1"/>
  <c r="LB62" i="1"/>
  <c r="LB63" i="1"/>
  <c r="LB64" i="1"/>
  <c r="LB65" i="1"/>
  <c r="LB66" i="1"/>
  <c r="LB67" i="1"/>
  <c r="LB68" i="1"/>
  <c r="LB69" i="1"/>
  <c r="LB70" i="1"/>
  <c r="LB71" i="1"/>
  <c r="LB72" i="1"/>
  <c r="LB73" i="1"/>
  <c r="LB74" i="1"/>
  <c r="LB75" i="1"/>
  <c r="LB76" i="1"/>
  <c r="LB77" i="1"/>
  <c r="LB78" i="1"/>
  <c r="LB79" i="1"/>
  <c r="LB80" i="1"/>
  <c r="LB81" i="1"/>
  <c r="LB82" i="1"/>
  <c r="LB83" i="1"/>
  <c r="LB84" i="1"/>
  <c r="LB85" i="1"/>
  <c r="LB86" i="1"/>
  <c r="LA7" i="1"/>
  <c r="NN7" i="1" s="1"/>
  <c r="LA8" i="1"/>
  <c r="NN8" i="1" s="1"/>
  <c r="LA9" i="1"/>
  <c r="NN9" i="1" s="1"/>
  <c r="LA10" i="1"/>
  <c r="NN10" i="1" s="1"/>
  <c r="LA11" i="1"/>
  <c r="NN11" i="1" s="1"/>
  <c r="LA12" i="1"/>
  <c r="NN12" i="1" s="1"/>
  <c r="LA13" i="1"/>
  <c r="NN13" i="1" s="1"/>
  <c r="LA14" i="1"/>
  <c r="NN14" i="1" s="1"/>
  <c r="LA15" i="1"/>
  <c r="NN15" i="1" s="1"/>
  <c r="LA16" i="1"/>
  <c r="NN16" i="1" s="1"/>
  <c r="LA17" i="1"/>
  <c r="NN17" i="1" s="1"/>
  <c r="LA18" i="1"/>
  <c r="NN18" i="1" s="1"/>
  <c r="LA19" i="1"/>
  <c r="NN19" i="1" s="1"/>
  <c r="LA20" i="1"/>
  <c r="NN20" i="1" s="1"/>
  <c r="LA21" i="1"/>
  <c r="NN21" i="1" s="1"/>
  <c r="LA22" i="1"/>
  <c r="NN22" i="1" s="1"/>
  <c r="LA23" i="1"/>
  <c r="NN23" i="1" s="1"/>
  <c r="LA24" i="1"/>
  <c r="NN24" i="1" s="1"/>
  <c r="LA25" i="1"/>
  <c r="NN25" i="1" s="1"/>
  <c r="LA26" i="1"/>
  <c r="NN26" i="1" s="1"/>
  <c r="LA27" i="1"/>
  <c r="NN27" i="1" s="1"/>
  <c r="LA28" i="1"/>
  <c r="NN28" i="1" s="1"/>
  <c r="LA29" i="1"/>
  <c r="NN29" i="1" s="1"/>
  <c r="LA30" i="1"/>
  <c r="NN30" i="1" s="1"/>
  <c r="LA31" i="1"/>
  <c r="NN31" i="1" s="1"/>
  <c r="LA32" i="1"/>
  <c r="NN32" i="1" s="1"/>
  <c r="LA33" i="1"/>
  <c r="NN33" i="1" s="1"/>
  <c r="LA34" i="1"/>
  <c r="NN34" i="1" s="1"/>
  <c r="LA35" i="1"/>
  <c r="NN35" i="1" s="1"/>
  <c r="LA36" i="1"/>
  <c r="NN36" i="1" s="1"/>
  <c r="LA37" i="1"/>
  <c r="NN37" i="1" s="1"/>
  <c r="LA38" i="1"/>
  <c r="NN38" i="1" s="1"/>
  <c r="LA39" i="1"/>
  <c r="NN39" i="1" s="1"/>
  <c r="LA40" i="1"/>
  <c r="NN40" i="1" s="1"/>
  <c r="LA41" i="1"/>
  <c r="NN41" i="1" s="1"/>
  <c r="LA42" i="1"/>
  <c r="NN42" i="1" s="1"/>
  <c r="LA43" i="1"/>
  <c r="NN43" i="1" s="1"/>
  <c r="LA44" i="1"/>
  <c r="NN44" i="1" s="1"/>
  <c r="LA45" i="1"/>
  <c r="NN45" i="1" s="1"/>
  <c r="LA46" i="1"/>
  <c r="NN46" i="1" s="1"/>
  <c r="LA47" i="1"/>
  <c r="NN47" i="1" s="1"/>
  <c r="LA48" i="1"/>
  <c r="NN48" i="1" s="1"/>
  <c r="LA49" i="1"/>
  <c r="NN49" i="1" s="1"/>
  <c r="LA50" i="1"/>
  <c r="NN50" i="1" s="1"/>
  <c r="LA51" i="1"/>
  <c r="NN51" i="1" s="1"/>
  <c r="LA52" i="1"/>
  <c r="NN52" i="1" s="1"/>
  <c r="LA53" i="1"/>
  <c r="NN53" i="1" s="1"/>
  <c r="LA54" i="1"/>
  <c r="NN54" i="1" s="1"/>
  <c r="LA55" i="1"/>
  <c r="NN55" i="1" s="1"/>
  <c r="LA56" i="1"/>
  <c r="NN56" i="1" s="1"/>
  <c r="LA57" i="1"/>
  <c r="NN57" i="1" s="1"/>
  <c r="LA58" i="1"/>
  <c r="NN58" i="1" s="1"/>
  <c r="LA59" i="1"/>
  <c r="NN59" i="1" s="1"/>
  <c r="LA60" i="1"/>
  <c r="LA61" i="1"/>
  <c r="NN61" i="1" s="1"/>
  <c r="LA62" i="1"/>
  <c r="NN62" i="1" s="1"/>
  <c r="LA63" i="1"/>
  <c r="NN63" i="1" s="1"/>
  <c r="LA64" i="1"/>
  <c r="NN64" i="1" s="1"/>
  <c r="LA65" i="1"/>
  <c r="NN65" i="1" s="1"/>
  <c r="LA66" i="1"/>
  <c r="NN66" i="1" s="1"/>
  <c r="LA67" i="1"/>
  <c r="NN67" i="1" s="1"/>
  <c r="LA68" i="1"/>
  <c r="NN68" i="1" s="1"/>
  <c r="LA69" i="1"/>
  <c r="NN69" i="1" s="1"/>
  <c r="LA70" i="1"/>
  <c r="NN70" i="1" s="1"/>
  <c r="LA71" i="1"/>
  <c r="NN71" i="1" s="1"/>
  <c r="LA72" i="1"/>
  <c r="NN72" i="1" s="1"/>
  <c r="LA73" i="1"/>
  <c r="NN73" i="1" s="1"/>
  <c r="LA74" i="1"/>
  <c r="NN74" i="1" s="1"/>
  <c r="LA75" i="1"/>
  <c r="NN75" i="1" s="1"/>
  <c r="LA76" i="1"/>
  <c r="NN76" i="1" s="1"/>
  <c r="LA77" i="1"/>
  <c r="NN77" i="1" s="1"/>
  <c r="LA78" i="1"/>
  <c r="LA79" i="1"/>
  <c r="LA80" i="1"/>
  <c r="NN80" i="1" s="1"/>
  <c r="LA81" i="1"/>
  <c r="NN81" i="1" s="1"/>
  <c r="LA82" i="1"/>
  <c r="NN82" i="1" s="1"/>
  <c r="LA83" i="1"/>
  <c r="NN83" i="1" s="1"/>
  <c r="LA84" i="1"/>
  <c r="NN84" i="1" s="1"/>
  <c r="LA85" i="1"/>
  <c r="NN85" i="1" s="1"/>
  <c r="LA86" i="1"/>
  <c r="KZ7" i="1"/>
  <c r="KZ8" i="1"/>
  <c r="KZ9" i="1"/>
  <c r="KZ10" i="1"/>
  <c r="KZ11" i="1"/>
  <c r="KZ12" i="1"/>
  <c r="KZ13" i="1"/>
  <c r="KZ14" i="1"/>
  <c r="KZ15" i="1"/>
  <c r="KZ16" i="1"/>
  <c r="KZ17" i="1"/>
  <c r="KZ18" i="1"/>
  <c r="KZ19" i="1"/>
  <c r="KZ20" i="1"/>
  <c r="KZ21" i="1"/>
  <c r="KZ22" i="1"/>
  <c r="KZ23" i="1"/>
  <c r="KZ24" i="1"/>
  <c r="KZ25" i="1"/>
  <c r="KZ26" i="1"/>
  <c r="KZ27" i="1"/>
  <c r="KZ28" i="1"/>
  <c r="KZ29" i="1"/>
  <c r="KZ30" i="1"/>
  <c r="KZ31" i="1"/>
  <c r="KZ32" i="1"/>
  <c r="KZ33" i="1"/>
  <c r="KZ34" i="1"/>
  <c r="KZ35" i="1"/>
  <c r="KZ36" i="1"/>
  <c r="KZ37" i="1"/>
  <c r="KZ38" i="1"/>
  <c r="KZ39" i="1"/>
  <c r="KZ40" i="1"/>
  <c r="KZ41" i="1"/>
  <c r="KZ42" i="1"/>
  <c r="KZ43" i="1"/>
  <c r="KZ44" i="1"/>
  <c r="KZ45" i="1"/>
  <c r="KZ46" i="1"/>
  <c r="KZ47" i="1"/>
  <c r="KZ48" i="1"/>
  <c r="KZ49" i="1"/>
  <c r="KZ50" i="1"/>
  <c r="KZ51" i="1"/>
  <c r="KZ52" i="1"/>
  <c r="KZ53" i="1"/>
  <c r="KZ54" i="1"/>
  <c r="KZ55" i="1"/>
  <c r="KZ56" i="1"/>
  <c r="KZ57" i="1"/>
  <c r="KZ58" i="1"/>
  <c r="KZ59" i="1"/>
  <c r="KZ60" i="1"/>
  <c r="KZ61" i="1"/>
  <c r="KZ62" i="1"/>
  <c r="KZ63" i="1"/>
  <c r="KZ64" i="1"/>
  <c r="KZ65" i="1"/>
  <c r="KZ66" i="1"/>
  <c r="KZ67" i="1"/>
  <c r="KZ68" i="1"/>
  <c r="KZ69" i="1"/>
  <c r="KZ70" i="1"/>
  <c r="KZ71" i="1"/>
  <c r="KZ72" i="1"/>
  <c r="KZ73" i="1"/>
  <c r="KZ74" i="1"/>
  <c r="KZ75" i="1"/>
  <c r="KZ76" i="1"/>
  <c r="KZ77" i="1"/>
  <c r="KZ78" i="1"/>
  <c r="KZ79" i="1"/>
  <c r="KZ80" i="1"/>
  <c r="KZ81" i="1"/>
  <c r="KZ82" i="1"/>
  <c r="KZ83" i="1"/>
  <c r="KZ84" i="1"/>
  <c r="KZ85" i="1"/>
  <c r="KZ86" i="1"/>
  <c r="KY7" i="1"/>
  <c r="KY8" i="1"/>
  <c r="KY9" i="1"/>
  <c r="KY10" i="1"/>
  <c r="KY11" i="1"/>
  <c r="KY12" i="1"/>
  <c r="KY13" i="1"/>
  <c r="KY14" i="1"/>
  <c r="KY15" i="1"/>
  <c r="KY16" i="1"/>
  <c r="KY17" i="1"/>
  <c r="KY18" i="1"/>
  <c r="KY19" i="1"/>
  <c r="KY20" i="1"/>
  <c r="KY21" i="1"/>
  <c r="KY22" i="1"/>
  <c r="KY23" i="1"/>
  <c r="KY24" i="1"/>
  <c r="KY25" i="1"/>
  <c r="KY26" i="1"/>
  <c r="KY27" i="1"/>
  <c r="KY28" i="1"/>
  <c r="KY29" i="1"/>
  <c r="KY30" i="1"/>
  <c r="KY31" i="1"/>
  <c r="KY32" i="1"/>
  <c r="KY33" i="1"/>
  <c r="KY34" i="1"/>
  <c r="KY35" i="1"/>
  <c r="KY36" i="1"/>
  <c r="KY37" i="1"/>
  <c r="KY38" i="1"/>
  <c r="KY39" i="1"/>
  <c r="KY40" i="1"/>
  <c r="KY41" i="1"/>
  <c r="KY42" i="1"/>
  <c r="KY43" i="1"/>
  <c r="KY44" i="1"/>
  <c r="KY45" i="1"/>
  <c r="KY46" i="1"/>
  <c r="KY47" i="1"/>
  <c r="KY48" i="1"/>
  <c r="KY49" i="1"/>
  <c r="KY50" i="1"/>
  <c r="KY51" i="1"/>
  <c r="KY52" i="1"/>
  <c r="KY53" i="1"/>
  <c r="KY54" i="1"/>
  <c r="KY55" i="1"/>
  <c r="KY56" i="1"/>
  <c r="KY57" i="1"/>
  <c r="KY58" i="1"/>
  <c r="KY59" i="1"/>
  <c r="KY60" i="1"/>
  <c r="KY61" i="1"/>
  <c r="KY62" i="1"/>
  <c r="KY63" i="1"/>
  <c r="KY64" i="1"/>
  <c r="KY65" i="1"/>
  <c r="KY66" i="1"/>
  <c r="KY67" i="1"/>
  <c r="KY68" i="1"/>
  <c r="KY69" i="1"/>
  <c r="KY70" i="1"/>
  <c r="KY71" i="1"/>
  <c r="KY72" i="1"/>
  <c r="KY73" i="1"/>
  <c r="KY74" i="1"/>
  <c r="KY75" i="1"/>
  <c r="KY76" i="1"/>
  <c r="KY77" i="1"/>
  <c r="KY78" i="1"/>
  <c r="KY79" i="1"/>
  <c r="KY80" i="1"/>
  <c r="KY81" i="1"/>
  <c r="KY82" i="1"/>
  <c r="KY83" i="1"/>
  <c r="KY84" i="1"/>
  <c r="KY85" i="1"/>
  <c r="KY86" i="1"/>
  <c r="KX7" i="1"/>
  <c r="KX8" i="1"/>
  <c r="KX9" i="1"/>
  <c r="KX10" i="1"/>
  <c r="KX11" i="1"/>
  <c r="KX12" i="1"/>
  <c r="KX13" i="1"/>
  <c r="KX14" i="1"/>
  <c r="KX15" i="1"/>
  <c r="KX16" i="1"/>
  <c r="KX17" i="1"/>
  <c r="KX18" i="1"/>
  <c r="KX19" i="1"/>
  <c r="KX20" i="1"/>
  <c r="KX21" i="1"/>
  <c r="KX22" i="1"/>
  <c r="KX23" i="1"/>
  <c r="KX24" i="1"/>
  <c r="KX25" i="1"/>
  <c r="KX26" i="1"/>
  <c r="KX27" i="1"/>
  <c r="KX28" i="1"/>
  <c r="KX29" i="1"/>
  <c r="KX30" i="1"/>
  <c r="KX31" i="1"/>
  <c r="KX32" i="1"/>
  <c r="KX33" i="1"/>
  <c r="KX34" i="1"/>
  <c r="KX35" i="1"/>
  <c r="KX36" i="1"/>
  <c r="KX37" i="1"/>
  <c r="KX38" i="1"/>
  <c r="KX39" i="1"/>
  <c r="KX40" i="1"/>
  <c r="KX41" i="1"/>
  <c r="KX42" i="1"/>
  <c r="KX43" i="1"/>
  <c r="KX44" i="1"/>
  <c r="KX45" i="1"/>
  <c r="KX46" i="1"/>
  <c r="KX47" i="1"/>
  <c r="KX48" i="1"/>
  <c r="KX49" i="1"/>
  <c r="KX50" i="1"/>
  <c r="KX51" i="1"/>
  <c r="KX52" i="1"/>
  <c r="KX53" i="1"/>
  <c r="KX54" i="1"/>
  <c r="KX55" i="1"/>
  <c r="KX56" i="1"/>
  <c r="KX57" i="1"/>
  <c r="KX58" i="1"/>
  <c r="KX59" i="1"/>
  <c r="KX60" i="1"/>
  <c r="KX61" i="1"/>
  <c r="KX62" i="1"/>
  <c r="KX63" i="1"/>
  <c r="KX64" i="1"/>
  <c r="KX65" i="1"/>
  <c r="KX66" i="1"/>
  <c r="KX67" i="1"/>
  <c r="KX68" i="1"/>
  <c r="KX69" i="1"/>
  <c r="KX70" i="1"/>
  <c r="KX71" i="1"/>
  <c r="KX72" i="1"/>
  <c r="KX73" i="1"/>
  <c r="KX74" i="1"/>
  <c r="KX75" i="1"/>
  <c r="KX76" i="1"/>
  <c r="KX77" i="1"/>
  <c r="KX78" i="1"/>
  <c r="KX79" i="1"/>
  <c r="KX80" i="1"/>
  <c r="KX81" i="1"/>
  <c r="KX82" i="1"/>
  <c r="KX83" i="1"/>
  <c r="KX84" i="1"/>
  <c r="KX85" i="1"/>
  <c r="KX86" i="1"/>
  <c r="KW7" i="1"/>
  <c r="MF7" i="1" s="1"/>
  <c r="KW8" i="1"/>
  <c r="MF8" i="1" s="1"/>
  <c r="KW9" i="1"/>
  <c r="MF9" i="1" s="1"/>
  <c r="KW10" i="1"/>
  <c r="MF10" i="1" s="1"/>
  <c r="KW11" i="1"/>
  <c r="MF11" i="1" s="1"/>
  <c r="KW12" i="1"/>
  <c r="MF12" i="1" s="1"/>
  <c r="KW13" i="1"/>
  <c r="MF13" i="1" s="1"/>
  <c r="KW14" i="1"/>
  <c r="MF14" i="1" s="1"/>
  <c r="KW15" i="1"/>
  <c r="MF15" i="1" s="1"/>
  <c r="KW16" i="1"/>
  <c r="MF16" i="1" s="1"/>
  <c r="KW17" i="1"/>
  <c r="MF17" i="1" s="1"/>
  <c r="KW18" i="1"/>
  <c r="MF18" i="1" s="1"/>
  <c r="KW19" i="1"/>
  <c r="MF19" i="1" s="1"/>
  <c r="KW20" i="1"/>
  <c r="MF20" i="1" s="1"/>
  <c r="KW21" i="1"/>
  <c r="MF21" i="1" s="1"/>
  <c r="KW22" i="1"/>
  <c r="MF22" i="1" s="1"/>
  <c r="KW23" i="1"/>
  <c r="MF23" i="1" s="1"/>
  <c r="KW24" i="1"/>
  <c r="MF24" i="1" s="1"/>
  <c r="KW25" i="1"/>
  <c r="MF25" i="1" s="1"/>
  <c r="KW26" i="1"/>
  <c r="MF26" i="1" s="1"/>
  <c r="KW27" i="1"/>
  <c r="MF27" i="1" s="1"/>
  <c r="KW28" i="1"/>
  <c r="MF28" i="1" s="1"/>
  <c r="KW29" i="1"/>
  <c r="MF29" i="1" s="1"/>
  <c r="KW30" i="1"/>
  <c r="MF30" i="1" s="1"/>
  <c r="KW31" i="1"/>
  <c r="MF31" i="1" s="1"/>
  <c r="KW32" i="1"/>
  <c r="MF32" i="1" s="1"/>
  <c r="KW33" i="1"/>
  <c r="MF33" i="1" s="1"/>
  <c r="KW34" i="1"/>
  <c r="MF34" i="1" s="1"/>
  <c r="KW35" i="1"/>
  <c r="MF35" i="1" s="1"/>
  <c r="KW36" i="1"/>
  <c r="MF36" i="1" s="1"/>
  <c r="KW37" i="1"/>
  <c r="MF37" i="1" s="1"/>
  <c r="KW38" i="1"/>
  <c r="MF38" i="1" s="1"/>
  <c r="KW39" i="1"/>
  <c r="MF39" i="1" s="1"/>
  <c r="KW40" i="1"/>
  <c r="MF40" i="1" s="1"/>
  <c r="KW41" i="1"/>
  <c r="MF41" i="1" s="1"/>
  <c r="KW42" i="1"/>
  <c r="MF42" i="1" s="1"/>
  <c r="KW43" i="1"/>
  <c r="MF43" i="1" s="1"/>
  <c r="KW44" i="1"/>
  <c r="MF44" i="1" s="1"/>
  <c r="KW45" i="1"/>
  <c r="MF45" i="1" s="1"/>
  <c r="KW46" i="1"/>
  <c r="MF46" i="1" s="1"/>
  <c r="KW47" i="1"/>
  <c r="MF47" i="1" s="1"/>
  <c r="KW48" i="1"/>
  <c r="MF48" i="1" s="1"/>
  <c r="KW49" i="1"/>
  <c r="MF49" i="1" s="1"/>
  <c r="KW50" i="1"/>
  <c r="MF50" i="1" s="1"/>
  <c r="KW51" i="1"/>
  <c r="MF51" i="1" s="1"/>
  <c r="KW52" i="1"/>
  <c r="MF52" i="1" s="1"/>
  <c r="KW53" i="1"/>
  <c r="MF53" i="1" s="1"/>
  <c r="KW54" i="1"/>
  <c r="MF54" i="1" s="1"/>
  <c r="KW55" i="1"/>
  <c r="MF55" i="1" s="1"/>
  <c r="KW56" i="1"/>
  <c r="MF56" i="1" s="1"/>
  <c r="KW57" i="1"/>
  <c r="MF57" i="1" s="1"/>
  <c r="KW58" i="1"/>
  <c r="MF58" i="1" s="1"/>
  <c r="KW59" i="1"/>
  <c r="MF59" i="1" s="1"/>
  <c r="KW60" i="1"/>
  <c r="MF60" i="1" s="1"/>
  <c r="KW61" i="1"/>
  <c r="MF61" i="1" s="1"/>
  <c r="KW62" i="1"/>
  <c r="MF62" i="1" s="1"/>
  <c r="KW63" i="1"/>
  <c r="MF63" i="1" s="1"/>
  <c r="KW64" i="1"/>
  <c r="MF64" i="1" s="1"/>
  <c r="KW65" i="1"/>
  <c r="MF65" i="1" s="1"/>
  <c r="KW66" i="1"/>
  <c r="MF66" i="1" s="1"/>
  <c r="KW67" i="1"/>
  <c r="MF67" i="1" s="1"/>
  <c r="KW68" i="1"/>
  <c r="MF68" i="1" s="1"/>
  <c r="KW69" i="1"/>
  <c r="MF69" i="1" s="1"/>
  <c r="KW70" i="1"/>
  <c r="MF70" i="1" s="1"/>
  <c r="KW71" i="1"/>
  <c r="MF71" i="1" s="1"/>
  <c r="KW72" i="1"/>
  <c r="MF72" i="1" s="1"/>
  <c r="KW73" i="1"/>
  <c r="MF73" i="1" s="1"/>
  <c r="KW74" i="1"/>
  <c r="MF74" i="1" s="1"/>
  <c r="KW75" i="1"/>
  <c r="MF75" i="1" s="1"/>
  <c r="KW76" i="1"/>
  <c r="MF76" i="1" s="1"/>
  <c r="KW77" i="1"/>
  <c r="MF77" i="1" s="1"/>
  <c r="KW78" i="1"/>
  <c r="MF78" i="1" s="1"/>
  <c r="KW79" i="1"/>
  <c r="MF79" i="1" s="1"/>
  <c r="KW80" i="1"/>
  <c r="MF80" i="1" s="1"/>
  <c r="KW81" i="1"/>
  <c r="MF81" i="1" s="1"/>
  <c r="KW82" i="1"/>
  <c r="MF82" i="1" s="1"/>
  <c r="KW83" i="1"/>
  <c r="MF83" i="1" s="1"/>
  <c r="KW84" i="1"/>
  <c r="MF84" i="1" s="1"/>
  <c r="KW85" i="1"/>
  <c r="MF85" i="1" s="1"/>
  <c r="KW86" i="1"/>
  <c r="MF86" i="1" s="1"/>
  <c r="KU7" i="1"/>
  <c r="KU8" i="1"/>
  <c r="KU9" i="1"/>
  <c r="KU10" i="1"/>
  <c r="KU11" i="1"/>
  <c r="KU12" i="1"/>
  <c r="KU13" i="1"/>
  <c r="KU14" i="1"/>
  <c r="KU15" i="1"/>
  <c r="KU16" i="1"/>
  <c r="KU17" i="1"/>
  <c r="KU18" i="1"/>
  <c r="KU19" i="1"/>
  <c r="KU20" i="1"/>
  <c r="KU21" i="1"/>
  <c r="KU22" i="1"/>
  <c r="KU23" i="1"/>
  <c r="KU24" i="1"/>
  <c r="KU25" i="1"/>
  <c r="KU26" i="1"/>
  <c r="KU27" i="1"/>
  <c r="KU28" i="1"/>
  <c r="KU29" i="1"/>
  <c r="KU30" i="1"/>
  <c r="KU31" i="1"/>
  <c r="KU32" i="1"/>
  <c r="KU33" i="1"/>
  <c r="KU34" i="1"/>
  <c r="KU35" i="1"/>
  <c r="KU36" i="1"/>
  <c r="KU37" i="1"/>
  <c r="KU38" i="1"/>
  <c r="KU39" i="1"/>
  <c r="KU40" i="1"/>
  <c r="KU41" i="1"/>
  <c r="KU42" i="1"/>
  <c r="KU43" i="1"/>
  <c r="KU44" i="1"/>
  <c r="KU45" i="1"/>
  <c r="KU46" i="1"/>
  <c r="KU47" i="1"/>
  <c r="KU48" i="1"/>
  <c r="KU49" i="1"/>
  <c r="KU50" i="1"/>
  <c r="KU51" i="1"/>
  <c r="KU52" i="1"/>
  <c r="KU53" i="1"/>
  <c r="KU54" i="1"/>
  <c r="KU55" i="1"/>
  <c r="KU56" i="1"/>
  <c r="KU57" i="1"/>
  <c r="KU58" i="1"/>
  <c r="KU59" i="1"/>
  <c r="KU60" i="1"/>
  <c r="KU61" i="1"/>
  <c r="KU62" i="1"/>
  <c r="KU63" i="1"/>
  <c r="KU64" i="1"/>
  <c r="KU65" i="1"/>
  <c r="KU66" i="1"/>
  <c r="KU67" i="1"/>
  <c r="KU68" i="1"/>
  <c r="KU69" i="1"/>
  <c r="KU70" i="1"/>
  <c r="KU71" i="1"/>
  <c r="KU72" i="1"/>
  <c r="KU73" i="1"/>
  <c r="KU74" i="1"/>
  <c r="KU75" i="1"/>
  <c r="KU76" i="1"/>
  <c r="KU77" i="1"/>
  <c r="KU78" i="1"/>
  <c r="KU79" i="1"/>
  <c r="KU80" i="1"/>
  <c r="KU81" i="1"/>
  <c r="KU82" i="1"/>
  <c r="KU83" i="1"/>
  <c r="KU84" i="1"/>
  <c r="KU85" i="1"/>
  <c r="KU86" i="1"/>
  <c r="KV7" i="1"/>
  <c r="KV8" i="1"/>
  <c r="KV9" i="1"/>
  <c r="KV10" i="1"/>
  <c r="KV11" i="1"/>
  <c r="KV12" i="1"/>
  <c r="KV13" i="1"/>
  <c r="KV14" i="1"/>
  <c r="KV15" i="1"/>
  <c r="KV16" i="1"/>
  <c r="KV17" i="1"/>
  <c r="KV18" i="1"/>
  <c r="KV19" i="1"/>
  <c r="KV20" i="1"/>
  <c r="KV21" i="1"/>
  <c r="KV22" i="1"/>
  <c r="KV23" i="1"/>
  <c r="KV24" i="1"/>
  <c r="KV25" i="1"/>
  <c r="KV26" i="1"/>
  <c r="KV27" i="1"/>
  <c r="KV28" i="1"/>
  <c r="KV29" i="1"/>
  <c r="KV30" i="1"/>
  <c r="KV31" i="1"/>
  <c r="KV32" i="1"/>
  <c r="KV33" i="1"/>
  <c r="KV34" i="1"/>
  <c r="KV35" i="1"/>
  <c r="KV36" i="1"/>
  <c r="KV37" i="1"/>
  <c r="KV38" i="1"/>
  <c r="KV39" i="1"/>
  <c r="KV40" i="1"/>
  <c r="KV41" i="1"/>
  <c r="KV42" i="1"/>
  <c r="KV43" i="1"/>
  <c r="KV44" i="1"/>
  <c r="KV45" i="1"/>
  <c r="KV46" i="1"/>
  <c r="KV47" i="1"/>
  <c r="KV48" i="1"/>
  <c r="KV49" i="1"/>
  <c r="KV50" i="1"/>
  <c r="KV51" i="1"/>
  <c r="KV52" i="1"/>
  <c r="KV53" i="1"/>
  <c r="KV54" i="1"/>
  <c r="KV55" i="1"/>
  <c r="KV56" i="1"/>
  <c r="KV57" i="1"/>
  <c r="KV58" i="1"/>
  <c r="KV59" i="1"/>
  <c r="KV60" i="1"/>
  <c r="KV61" i="1"/>
  <c r="KV62" i="1"/>
  <c r="KV63" i="1"/>
  <c r="KV64" i="1"/>
  <c r="KV65" i="1"/>
  <c r="KV66" i="1"/>
  <c r="KV67" i="1"/>
  <c r="KV68" i="1"/>
  <c r="KV69" i="1"/>
  <c r="KV70" i="1"/>
  <c r="KV71" i="1"/>
  <c r="KV72" i="1"/>
  <c r="KV73" i="1"/>
  <c r="KV74" i="1"/>
  <c r="KV75" i="1"/>
  <c r="KV76" i="1"/>
  <c r="KV77" i="1"/>
  <c r="KV78" i="1"/>
  <c r="KV79" i="1"/>
  <c r="KV80" i="1"/>
  <c r="KV81" i="1"/>
  <c r="KV82" i="1"/>
  <c r="KV83" i="1"/>
  <c r="KV84" i="1"/>
  <c r="KV85" i="1"/>
  <c r="KV86" i="1"/>
  <c r="KT7" i="1"/>
  <c r="KT8" i="1"/>
  <c r="KT9" i="1"/>
  <c r="KT10" i="1"/>
  <c r="KT11" i="1"/>
  <c r="KT12" i="1"/>
  <c r="KT13" i="1"/>
  <c r="KT14" i="1"/>
  <c r="KT15" i="1"/>
  <c r="KT16" i="1"/>
  <c r="KT17" i="1"/>
  <c r="KT18" i="1"/>
  <c r="KT19" i="1"/>
  <c r="KT20" i="1"/>
  <c r="KT21" i="1"/>
  <c r="KT22" i="1"/>
  <c r="KT23" i="1"/>
  <c r="KT24" i="1"/>
  <c r="KT25" i="1"/>
  <c r="KT26" i="1"/>
  <c r="KT27" i="1"/>
  <c r="KT28" i="1"/>
  <c r="KT29" i="1"/>
  <c r="KT30" i="1"/>
  <c r="KT31" i="1"/>
  <c r="KT32" i="1"/>
  <c r="KT33" i="1"/>
  <c r="KT34" i="1"/>
  <c r="KT35" i="1"/>
  <c r="KT36" i="1"/>
  <c r="KT37" i="1"/>
  <c r="KT38" i="1"/>
  <c r="KT39" i="1"/>
  <c r="KT40" i="1"/>
  <c r="KT41" i="1"/>
  <c r="KT42" i="1"/>
  <c r="KT43" i="1"/>
  <c r="KT44" i="1"/>
  <c r="KT45" i="1"/>
  <c r="KT46" i="1"/>
  <c r="KT47" i="1"/>
  <c r="KT48" i="1"/>
  <c r="KT49" i="1"/>
  <c r="KT50" i="1"/>
  <c r="KT51" i="1"/>
  <c r="KT52" i="1"/>
  <c r="KT53" i="1"/>
  <c r="KT54" i="1"/>
  <c r="KT55" i="1"/>
  <c r="KT56" i="1"/>
  <c r="KT57" i="1"/>
  <c r="KT58" i="1"/>
  <c r="KT59" i="1"/>
  <c r="KT60" i="1"/>
  <c r="KT61" i="1"/>
  <c r="KT62" i="1"/>
  <c r="KT63" i="1"/>
  <c r="KT64" i="1"/>
  <c r="KT65" i="1"/>
  <c r="KT66" i="1"/>
  <c r="KT67" i="1"/>
  <c r="KT68" i="1"/>
  <c r="KT69" i="1"/>
  <c r="KT70" i="1"/>
  <c r="KT71" i="1"/>
  <c r="KT72" i="1"/>
  <c r="KT73" i="1"/>
  <c r="KT74" i="1"/>
  <c r="KT75" i="1"/>
  <c r="KT76" i="1"/>
  <c r="KT77" i="1"/>
  <c r="KT78" i="1"/>
  <c r="KT79" i="1"/>
  <c r="KT80" i="1"/>
  <c r="KT81" i="1"/>
  <c r="KT82" i="1"/>
  <c r="KT83" i="1"/>
  <c r="KT84" i="1"/>
  <c r="KT85" i="1"/>
  <c r="KT86" i="1"/>
  <c r="KS7" i="1"/>
  <c r="KS8" i="1"/>
  <c r="KS9" i="1"/>
  <c r="KS10" i="1"/>
  <c r="KS11" i="1"/>
  <c r="KS12" i="1"/>
  <c r="KS13" i="1"/>
  <c r="KS14" i="1"/>
  <c r="KS15" i="1"/>
  <c r="KS16" i="1"/>
  <c r="KS17" i="1"/>
  <c r="KS18" i="1"/>
  <c r="KS19" i="1"/>
  <c r="KS20" i="1"/>
  <c r="KS21" i="1"/>
  <c r="KS22" i="1"/>
  <c r="KS23" i="1"/>
  <c r="KS24" i="1"/>
  <c r="KS25" i="1"/>
  <c r="KS26" i="1"/>
  <c r="KS27" i="1"/>
  <c r="KS28" i="1"/>
  <c r="KS29" i="1"/>
  <c r="KS30" i="1"/>
  <c r="KS31" i="1"/>
  <c r="KS32" i="1"/>
  <c r="KS33" i="1"/>
  <c r="KS34" i="1"/>
  <c r="KS35" i="1"/>
  <c r="KS36" i="1"/>
  <c r="KS37" i="1"/>
  <c r="KS38" i="1"/>
  <c r="KS39" i="1"/>
  <c r="KS40" i="1"/>
  <c r="KS41" i="1"/>
  <c r="KS42" i="1"/>
  <c r="KS43" i="1"/>
  <c r="KS44" i="1"/>
  <c r="KS45" i="1"/>
  <c r="KS46" i="1"/>
  <c r="KS47" i="1"/>
  <c r="KS48" i="1"/>
  <c r="KS49" i="1"/>
  <c r="KS50" i="1"/>
  <c r="KS51" i="1"/>
  <c r="KS52" i="1"/>
  <c r="KS53" i="1"/>
  <c r="KS54" i="1"/>
  <c r="KS55" i="1"/>
  <c r="KS56" i="1"/>
  <c r="KS57" i="1"/>
  <c r="KS58" i="1"/>
  <c r="KS59" i="1"/>
  <c r="KS60" i="1"/>
  <c r="KS61" i="1"/>
  <c r="KS62" i="1"/>
  <c r="KS63" i="1"/>
  <c r="KS64" i="1"/>
  <c r="KS65" i="1"/>
  <c r="KS66" i="1"/>
  <c r="KS67" i="1"/>
  <c r="KS68" i="1"/>
  <c r="KS69" i="1"/>
  <c r="KS70" i="1"/>
  <c r="KS71" i="1"/>
  <c r="KS72" i="1"/>
  <c r="KS73" i="1"/>
  <c r="KS74" i="1"/>
  <c r="KS75" i="1"/>
  <c r="KS76" i="1"/>
  <c r="KS77" i="1"/>
  <c r="KS78" i="1"/>
  <c r="KS79" i="1"/>
  <c r="KS80" i="1"/>
  <c r="KS81" i="1"/>
  <c r="KS82" i="1"/>
  <c r="KS83" i="1"/>
  <c r="KS84" i="1"/>
  <c r="KS85" i="1"/>
  <c r="KS86" i="1"/>
  <c r="NN86" i="1" l="1"/>
  <c r="LV7" i="1"/>
  <c r="NN60" i="1"/>
  <c r="NN79" i="1"/>
  <c r="NO69" i="1"/>
  <c r="NO62" i="1"/>
  <c r="NO13" i="1"/>
  <c r="NO84" i="1"/>
  <c r="NN78" i="1"/>
  <c r="NO77" i="1"/>
  <c r="NO30" i="1"/>
  <c r="NO29" i="1"/>
  <c r="NM86" i="1"/>
  <c r="LV86" i="1"/>
  <c r="NM78" i="1"/>
  <c r="LV78" i="1"/>
  <c r="NM70" i="1"/>
  <c r="LV70" i="1"/>
  <c r="NM62" i="1"/>
  <c r="LV62" i="1"/>
  <c r="NM54" i="1"/>
  <c r="LV54" i="1"/>
  <c r="NM46" i="1"/>
  <c r="LV46" i="1"/>
  <c r="NM38" i="1"/>
  <c r="LV38" i="1"/>
  <c r="NM30" i="1"/>
  <c r="LV30" i="1"/>
  <c r="NM22" i="1"/>
  <c r="LV22" i="1"/>
  <c r="NM14" i="1"/>
  <c r="LV14" i="1"/>
  <c r="NM85" i="1"/>
  <c r="LV85" i="1"/>
  <c r="NM77" i="1"/>
  <c r="LV77" i="1"/>
  <c r="NM69" i="1"/>
  <c r="LV69" i="1"/>
  <c r="NM61" i="1"/>
  <c r="LV61" i="1"/>
  <c r="NM53" i="1"/>
  <c r="LV53" i="1"/>
  <c r="NM45" i="1"/>
  <c r="LV45" i="1"/>
  <c r="NM37" i="1"/>
  <c r="LV37" i="1"/>
  <c r="NM29" i="1"/>
  <c r="LV29" i="1"/>
  <c r="NM21" i="1"/>
  <c r="LV21" i="1"/>
  <c r="NM13" i="1"/>
  <c r="LV13" i="1"/>
  <c r="NM84" i="1"/>
  <c r="LV84" i="1"/>
  <c r="NM76" i="1"/>
  <c r="LV76" i="1"/>
  <c r="NM68" i="1"/>
  <c r="LV68" i="1"/>
  <c r="NM60" i="1"/>
  <c r="LV60" i="1"/>
  <c r="NM52" i="1"/>
  <c r="LV52" i="1"/>
  <c r="NM44" i="1"/>
  <c r="LV44" i="1"/>
  <c r="NM36" i="1"/>
  <c r="LV36" i="1"/>
  <c r="NM28" i="1"/>
  <c r="LV28" i="1"/>
  <c r="NM20" i="1"/>
  <c r="LV20" i="1"/>
  <c r="NM12" i="1"/>
  <c r="LV12" i="1"/>
  <c r="NM83" i="1"/>
  <c r="LV83" i="1"/>
  <c r="NM75" i="1"/>
  <c r="LV75" i="1"/>
  <c r="NM67" i="1"/>
  <c r="LV67" i="1"/>
  <c r="NM59" i="1"/>
  <c r="LV59" i="1"/>
  <c r="NM51" i="1"/>
  <c r="LV51" i="1"/>
  <c r="NM43" i="1"/>
  <c r="LV43" i="1"/>
  <c r="NM35" i="1"/>
  <c r="LV35" i="1"/>
  <c r="NM27" i="1"/>
  <c r="LV27" i="1"/>
  <c r="NM19" i="1"/>
  <c r="LV19" i="1"/>
  <c r="NM11" i="1"/>
  <c r="LV11" i="1"/>
  <c r="NM82" i="1"/>
  <c r="LV82" i="1"/>
  <c r="NM74" i="1"/>
  <c r="LV74" i="1"/>
  <c r="NM66" i="1"/>
  <c r="LV66" i="1"/>
  <c r="NM58" i="1"/>
  <c r="LV58" i="1"/>
  <c r="NM50" i="1"/>
  <c r="LV50" i="1"/>
  <c r="NM42" i="1"/>
  <c r="LV42" i="1"/>
  <c r="NM34" i="1"/>
  <c r="LV34" i="1"/>
  <c r="NM26" i="1"/>
  <c r="LV26" i="1"/>
  <c r="NM18" i="1"/>
  <c r="LV18" i="1"/>
  <c r="NM10" i="1"/>
  <c r="LV10" i="1"/>
  <c r="NM81" i="1"/>
  <c r="LV81" i="1"/>
  <c r="NM73" i="1"/>
  <c r="LV73" i="1"/>
  <c r="NM65" i="1"/>
  <c r="LV65" i="1"/>
  <c r="NM57" i="1"/>
  <c r="LV57" i="1"/>
  <c r="NM49" i="1"/>
  <c r="LV49" i="1"/>
  <c r="NM41" i="1"/>
  <c r="LV41" i="1"/>
  <c r="NM33" i="1"/>
  <c r="LV33" i="1"/>
  <c r="NM25" i="1"/>
  <c r="LV25" i="1"/>
  <c r="NM17" i="1"/>
  <c r="LV17" i="1"/>
  <c r="NM9" i="1"/>
  <c r="LV9" i="1"/>
  <c r="NM80" i="1"/>
  <c r="LV80" i="1"/>
  <c r="NM72" i="1"/>
  <c r="LV72" i="1"/>
  <c r="NM64" i="1"/>
  <c r="LV64" i="1"/>
  <c r="NM56" i="1"/>
  <c r="LV56" i="1"/>
  <c r="NM48" i="1"/>
  <c r="LV48" i="1"/>
  <c r="NM40" i="1"/>
  <c r="LV40" i="1"/>
  <c r="NM32" i="1"/>
  <c r="LV32" i="1"/>
  <c r="NM24" i="1"/>
  <c r="LV24" i="1"/>
  <c r="NM16" i="1"/>
  <c r="LV16" i="1"/>
  <c r="NM8" i="1"/>
  <c r="LV8" i="1"/>
  <c r="NM79" i="1"/>
  <c r="LV79" i="1"/>
  <c r="NM71" i="1"/>
  <c r="LV71" i="1"/>
  <c r="NM63" i="1"/>
  <c r="LV63" i="1"/>
  <c r="NM55" i="1"/>
  <c r="LV55" i="1"/>
  <c r="NM47" i="1"/>
  <c r="LV47" i="1"/>
  <c r="NM39" i="1"/>
  <c r="LV39" i="1"/>
  <c r="NM31" i="1"/>
  <c r="LV31" i="1"/>
  <c r="NM23" i="1"/>
  <c r="LV23" i="1"/>
  <c r="NM15" i="1"/>
  <c r="LV15" i="1"/>
  <c r="NM7" i="1"/>
  <c r="NP62" i="1"/>
  <c r="NP14" i="1"/>
  <c r="NP53" i="1"/>
  <c r="NP13" i="1"/>
  <c r="NP84" i="1"/>
  <c r="NP76" i="1"/>
  <c r="NP68" i="1"/>
  <c r="NP60" i="1"/>
  <c r="NP52" i="1"/>
  <c r="NP44" i="1"/>
  <c r="NP36" i="1"/>
  <c r="NP28" i="1"/>
  <c r="NP20" i="1"/>
  <c r="NP12" i="1"/>
  <c r="NP70" i="1"/>
  <c r="NP85" i="1"/>
  <c r="NP37" i="1"/>
  <c r="NP83" i="1"/>
  <c r="NP75" i="1"/>
  <c r="NP67" i="1"/>
  <c r="NP59" i="1"/>
  <c r="NP51" i="1"/>
  <c r="NP43" i="1"/>
  <c r="NP35" i="1"/>
  <c r="NP27" i="1"/>
  <c r="NP19" i="1"/>
  <c r="NP11" i="1"/>
  <c r="NP38" i="1"/>
  <c r="NP61" i="1"/>
  <c r="NP82" i="1"/>
  <c r="NP74" i="1"/>
  <c r="NP66" i="1"/>
  <c r="NP58" i="1"/>
  <c r="NP50" i="1"/>
  <c r="NP42" i="1"/>
  <c r="NP34" i="1"/>
  <c r="NP26" i="1"/>
  <c r="NP18" i="1"/>
  <c r="NP10" i="1"/>
  <c r="NP54" i="1"/>
  <c r="NP30" i="1"/>
  <c r="NP77" i="1"/>
  <c r="NP29" i="1"/>
  <c r="NP81" i="1"/>
  <c r="NP73" i="1"/>
  <c r="NP65" i="1"/>
  <c r="NP57" i="1"/>
  <c r="NP49" i="1"/>
  <c r="NP41" i="1"/>
  <c r="NP33" i="1"/>
  <c r="NP25" i="1"/>
  <c r="NP17" i="1"/>
  <c r="NP9" i="1"/>
  <c r="NP86" i="1"/>
  <c r="NP46" i="1"/>
  <c r="NP22" i="1"/>
  <c r="NP45" i="1"/>
  <c r="NP80" i="1"/>
  <c r="NP72" i="1"/>
  <c r="NP64" i="1"/>
  <c r="NP56" i="1"/>
  <c r="NP48" i="1"/>
  <c r="NP40" i="1"/>
  <c r="NP32" i="1"/>
  <c r="NP24" i="1"/>
  <c r="NP16" i="1"/>
  <c r="NP8" i="1"/>
  <c r="NP78" i="1"/>
  <c r="NP69" i="1"/>
  <c r="NP21" i="1"/>
  <c r="NP79" i="1"/>
  <c r="NP71" i="1"/>
  <c r="NP63" i="1"/>
  <c r="NP55" i="1"/>
  <c r="NP47" i="1"/>
  <c r="NP39" i="1"/>
  <c r="NP31" i="1"/>
  <c r="NP23" i="1"/>
  <c r="NP15" i="1"/>
  <c r="NP7" i="1"/>
  <c r="KI7" i="1" l="1"/>
  <c r="MD7" i="1" s="1"/>
  <c r="KI8" i="1"/>
  <c r="MD8" i="1" s="1"/>
  <c r="KI9" i="1"/>
  <c r="MD9" i="1" s="1"/>
  <c r="KI10" i="1"/>
  <c r="MD10" i="1" s="1"/>
  <c r="KI11" i="1"/>
  <c r="MD11" i="1" s="1"/>
  <c r="KI12" i="1"/>
  <c r="MD12" i="1" s="1"/>
  <c r="KI13" i="1"/>
  <c r="MD13" i="1" s="1"/>
  <c r="KI14" i="1"/>
  <c r="MD14" i="1" s="1"/>
  <c r="KI15" i="1"/>
  <c r="MD15" i="1" s="1"/>
  <c r="KI16" i="1"/>
  <c r="MD16" i="1" s="1"/>
  <c r="KI17" i="1"/>
  <c r="MD17" i="1" s="1"/>
  <c r="KI18" i="1"/>
  <c r="MD18" i="1" s="1"/>
  <c r="KI19" i="1"/>
  <c r="MD19" i="1" s="1"/>
  <c r="KI20" i="1"/>
  <c r="MD20" i="1" s="1"/>
  <c r="KI21" i="1"/>
  <c r="MD21" i="1" s="1"/>
  <c r="KI22" i="1"/>
  <c r="MD22" i="1" s="1"/>
  <c r="KI23" i="1"/>
  <c r="MD23" i="1" s="1"/>
  <c r="KI24" i="1"/>
  <c r="MD24" i="1" s="1"/>
  <c r="KI25" i="1"/>
  <c r="MD25" i="1" s="1"/>
  <c r="KI26" i="1"/>
  <c r="MD26" i="1" s="1"/>
  <c r="KI27" i="1"/>
  <c r="MD27" i="1" s="1"/>
  <c r="KI28" i="1"/>
  <c r="MD28" i="1" s="1"/>
  <c r="KI29" i="1"/>
  <c r="MD29" i="1" s="1"/>
  <c r="KI30" i="1"/>
  <c r="MD30" i="1" s="1"/>
  <c r="KI31" i="1"/>
  <c r="MD31" i="1" s="1"/>
  <c r="KI32" i="1"/>
  <c r="MD32" i="1" s="1"/>
  <c r="KI33" i="1"/>
  <c r="MD33" i="1" s="1"/>
  <c r="KI34" i="1"/>
  <c r="MD34" i="1" s="1"/>
  <c r="KI35" i="1"/>
  <c r="MD35" i="1" s="1"/>
  <c r="KI36" i="1"/>
  <c r="MD36" i="1" s="1"/>
  <c r="KI37" i="1"/>
  <c r="MD37" i="1" s="1"/>
  <c r="KI38" i="1"/>
  <c r="MD38" i="1" s="1"/>
  <c r="KI39" i="1"/>
  <c r="MD39" i="1" s="1"/>
  <c r="KI40" i="1"/>
  <c r="MD40" i="1" s="1"/>
  <c r="KI41" i="1"/>
  <c r="MD41" i="1" s="1"/>
  <c r="KI42" i="1"/>
  <c r="MD42" i="1" s="1"/>
  <c r="KI43" i="1"/>
  <c r="MD43" i="1" s="1"/>
  <c r="KI44" i="1"/>
  <c r="MD44" i="1" s="1"/>
  <c r="KI45" i="1"/>
  <c r="MD45" i="1" s="1"/>
  <c r="KI46" i="1"/>
  <c r="MD46" i="1" s="1"/>
  <c r="KI47" i="1"/>
  <c r="MD47" i="1" s="1"/>
  <c r="KI48" i="1"/>
  <c r="MD48" i="1" s="1"/>
  <c r="KI49" i="1"/>
  <c r="MD49" i="1" s="1"/>
  <c r="KI50" i="1"/>
  <c r="MD50" i="1" s="1"/>
  <c r="KI51" i="1"/>
  <c r="MD51" i="1" s="1"/>
  <c r="KI52" i="1"/>
  <c r="MD52" i="1" s="1"/>
  <c r="KI53" i="1"/>
  <c r="MD53" i="1" s="1"/>
  <c r="KI54" i="1"/>
  <c r="MD54" i="1" s="1"/>
  <c r="KI55" i="1"/>
  <c r="MD55" i="1" s="1"/>
  <c r="KI56" i="1"/>
  <c r="MD56" i="1" s="1"/>
  <c r="KI57" i="1"/>
  <c r="MD57" i="1" s="1"/>
  <c r="KI58" i="1"/>
  <c r="MD58" i="1" s="1"/>
  <c r="KI59" i="1"/>
  <c r="MD59" i="1" s="1"/>
  <c r="KI60" i="1"/>
  <c r="MD60" i="1" s="1"/>
  <c r="KI61" i="1"/>
  <c r="MD61" i="1" s="1"/>
  <c r="KI62" i="1"/>
  <c r="MD62" i="1" s="1"/>
  <c r="KI63" i="1"/>
  <c r="MD63" i="1" s="1"/>
  <c r="KI64" i="1"/>
  <c r="MD64" i="1" s="1"/>
  <c r="KI65" i="1"/>
  <c r="MD65" i="1" s="1"/>
  <c r="KI66" i="1"/>
  <c r="MD66" i="1" s="1"/>
  <c r="KI67" i="1"/>
  <c r="MD67" i="1" s="1"/>
  <c r="KI68" i="1"/>
  <c r="MD68" i="1" s="1"/>
  <c r="KI69" i="1"/>
  <c r="MD69" i="1" s="1"/>
  <c r="KI70" i="1"/>
  <c r="MD70" i="1" s="1"/>
  <c r="KI71" i="1"/>
  <c r="MD71" i="1" s="1"/>
  <c r="KI72" i="1"/>
  <c r="MD72" i="1" s="1"/>
  <c r="KI73" i="1"/>
  <c r="MD73" i="1" s="1"/>
  <c r="KI74" i="1"/>
  <c r="MD74" i="1" s="1"/>
  <c r="KI75" i="1"/>
  <c r="MD75" i="1" s="1"/>
  <c r="KI76" i="1"/>
  <c r="MD76" i="1" s="1"/>
  <c r="KI77" i="1"/>
  <c r="MD77" i="1" s="1"/>
  <c r="KI78" i="1"/>
  <c r="MD78" i="1" s="1"/>
  <c r="KI79" i="1"/>
  <c r="MD79" i="1" s="1"/>
  <c r="KI80" i="1"/>
  <c r="MD80" i="1" s="1"/>
  <c r="KI81" i="1"/>
  <c r="MD81" i="1" s="1"/>
  <c r="KI82" i="1"/>
  <c r="MD82" i="1" s="1"/>
  <c r="KI83" i="1"/>
  <c r="MD83" i="1" s="1"/>
  <c r="KI84" i="1"/>
  <c r="MD84" i="1" s="1"/>
  <c r="KI85" i="1"/>
  <c r="MD85" i="1" s="1"/>
  <c r="KI86" i="1"/>
  <c r="MD86" i="1" s="1"/>
  <c r="KH7" i="1"/>
  <c r="MC7" i="1" s="1"/>
  <c r="KH8" i="1"/>
  <c r="MC8" i="1" s="1"/>
  <c r="KH9" i="1"/>
  <c r="MC9" i="1" s="1"/>
  <c r="KH10" i="1"/>
  <c r="MC10" i="1" s="1"/>
  <c r="KH11" i="1"/>
  <c r="MC11" i="1" s="1"/>
  <c r="KH12" i="1"/>
  <c r="MC12" i="1" s="1"/>
  <c r="KH13" i="1"/>
  <c r="MC13" i="1" s="1"/>
  <c r="KH14" i="1"/>
  <c r="MC14" i="1" s="1"/>
  <c r="KH15" i="1"/>
  <c r="MC15" i="1" s="1"/>
  <c r="KH16" i="1"/>
  <c r="MC16" i="1" s="1"/>
  <c r="KH17" i="1"/>
  <c r="MC17" i="1" s="1"/>
  <c r="KH18" i="1"/>
  <c r="MC18" i="1" s="1"/>
  <c r="KH19" i="1"/>
  <c r="MC19" i="1" s="1"/>
  <c r="KH20" i="1"/>
  <c r="MC20" i="1" s="1"/>
  <c r="KH21" i="1"/>
  <c r="MC21" i="1" s="1"/>
  <c r="KH22" i="1"/>
  <c r="MC22" i="1" s="1"/>
  <c r="KH23" i="1"/>
  <c r="MC23" i="1" s="1"/>
  <c r="KH24" i="1"/>
  <c r="MC24" i="1" s="1"/>
  <c r="KH25" i="1"/>
  <c r="MC25" i="1" s="1"/>
  <c r="KH26" i="1"/>
  <c r="MC26" i="1" s="1"/>
  <c r="KH27" i="1"/>
  <c r="MC27" i="1" s="1"/>
  <c r="KH28" i="1"/>
  <c r="MC28" i="1" s="1"/>
  <c r="KH29" i="1"/>
  <c r="MC29" i="1" s="1"/>
  <c r="KH30" i="1"/>
  <c r="MC30" i="1" s="1"/>
  <c r="KH31" i="1"/>
  <c r="MC31" i="1" s="1"/>
  <c r="KH32" i="1"/>
  <c r="MC32" i="1" s="1"/>
  <c r="KH33" i="1"/>
  <c r="MC33" i="1" s="1"/>
  <c r="KH34" i="1"/>
  <c r="MC34" i="1" s="1"/>
  <c r="KH35" i="1"/>
  <c r="MC35" i="1" s="1"/>
  <c r="KH36" i="1"/>
  <c r="MC36" i="1" s="1"/>
  <c r="KH37" i="1"/>
  <c r="MC37" i="1" s="1"/>
  <c r="KH38" i="1"/>
  <c r="MC38" i="1" s="1"/>
  <c r="KH39" i="1"/>
  <c r="MC39" i="1" s="1"/>
  <c r="KH40" i="1"/>
  <c r="MC40" i="1" s="1"/>
  <c r="KH41" i="1"/>
  <c r="MC41" i="1" s="1"/>
  <c r="KH42" i="1"/>
  <c r="MC42" i="1" s="1"/>
  <c r="KH43" i="1"/>
  <c r="MC43" i="1" s="1"/>
  <c r="KH44" i="1"/>
  <c r="MC44" i="1" s="1"/>
  <c r="KH45" i="1"/>
  <c r="MC45" i="1" s="1"/>
  <c r="KH46" i="1"/>
  <c r="MC46" i="1" s="1"/>
  <c r="KH47" i="1"/>
  <c r="MC47" i="1" s="1"/>
  <c r="KH48" i="1"/>
  <c r="MC48" i="1" s="1"/>
  <c r="KH49" i="1"/>
  <c r="MC49" i="1" s="1"/>
  <c r="KH50" i="1"/>
  <c r="MC50" i="1" s="1"/>
  <c r="KH51" i="1"/>
  <c r="MC51" i="1" s="1"/>
  <c r="KH52" i="1"/>
  <c r="MC52" i="1" s="1"/>
  <c r="KH53" i="1"/>
  <c r="MC53" i="1" s="1"/>
  <c r="KH54" i="1"/>
  <c r="MC54" i="1" s="1"/>
  <c r="KH55" i="1"/>
  <c r="MC55" i="1" s="1"/>
  <c r="KH56" i="1"/>
  <c r="MC56" i="1" s="1"/>
  <c r="KH57" i="1"/>
  <c r="MC57" i="1" s="1"/>
  <c r="KH58" i="1"/>
  <c r="MC58" i="1" s="1"/>
  <c r="KH59" i="1"/>
  <c r="MC59" i="1" s="1"/>
  <c r="KH60" i="1"/>
  <c r="MC60" i="1" s="1"/>
  <c r="KH61" i="1"/>
  <c r="MC61" i="1" s="1"/>
  <c r="KH62" i="1"/>
  <c r="MC62" i="1" s="1"/>
  <c r="KH63" i="1"/>
  <c r="MC63" i="1" s="1"/>
  <c r="KH64" i="1"/>
  <c r="MC64" i="1" s="1"/>
  <c r="KH65" i="1"/>
  <c r="MC65" i="1" s="1"/>
  <c r="KH66" i="1"/>
  <c r="MC66" i="1" s="1"/>
  <c r="KH67" i="1"/>
  <c r="MC67" i="1" s="1"/>
  <c r="KH68" i="1"/>
  <c r="MC68" i="1" s="1"/>
  <c r="KH69" i="1"/>
  <c r="MC69" i="1" s="1"/>
  <c r="KH70" i="1"/>
  <c r="MC70" i="1" s="1"/>
  <c r="KH71" i="1"/>
  <c r="MC71" i="1" s="1"/>
  <c r="KH72" i="1"/>
  <c r="MC72" i="1" s="1"/>
  <c r="KH73" i="1"/>
  <c r="MC73" i="1" s="1"/>
  <c r="KH74" i="1"/>
  <c r="MC74" i="1" s="1"/>
  <c r="KH75" i="1"/>
  <c r="MC75" i="1" s="1"/>
  <c r="KH76" i="1"/>
  <c r="MC76" i="1" s="1"/>
  <c r="KH77" i="1"/>
  <c r="MC77" i="1" s="1"/>
  <c r="KH78" i="1"/>
  <c r="MC78" i="1" s="1"/>
  <c r="KH79" i="1"/>
  <c r="MC79" i="1" s="1"/>
  <c r="KH80" i="1"/>
  <c r="MC80" i="1" s="1"/>
  <c r="KH81" i="1"/>
  <c r="MC81" i="1" s="1"/>
  <c r="KH82" i="1"/>
  <c r="MC82" i="1" s="1"/>
  <c r="KH83" i="1"/>
  <c r="MC83" i="1" s="1"/>
  <c r="KH84" i="1"/>
  <c r="MC84" i="1" s="1"/>
  <c r="KH85" i="1"/>
  <c r="MC85" i="1" s="1"/>
  <c r="KH86" i="1"/>
  <c r="MC86" i="1" s="1"/>
  <c r="KE7" i="1" l="1"/>
  <c r="KE8" i="1"/>
  <c r="KE9" i="1"/>
  <c r="KE10" i="1"/>
  <c r="KE11" i="1"/>
  <c r="KE12" i="1"/>
  <c r="KE13" i="1"/>
  <c r="KE14" i="1"/>
  <c r="KE15" i="1"/>
  <c r="KE16" i="1"/>
  <c r="KE17" i="1"/>
  <c r="KE18" i="1"/>
  <c r="KE19" i="1"/>
  <c r="KE20" i="1"/>
  <c r="KE21" i="1"/>
  <c r="KE22" i="1"/>
  <c r="KE23" i="1"/>
  <c r="KE24" i="1"/>
  <c r="KE25" i="1"/>
  <c r="KE26" i="1"/>
  <c r="KE27" i="1"/>
  <c r="KE28" i="1"/>
  <c r="KE29" i="1"/>
  <c r="KE30" i="1"/>
  <c r="KE31" i="1"/>
  <c r="KE32" i="1"/>
  <c r="KE33" i="1"/>
  <c r="KE34" i="1"/>
  <c r="KE35" i="1"/>
  <c r="KE36" i="1"/>
  <c r="KE37" i="1"/>
  <c r="KE38" i="1"/>
  <c r="KE39" i="1"/>
  <c r="KE40" i="1"/>
  <c r="KE41" i="1"/>
  <c r="KE42" i="1"/>
  <c r="KE43" i="1"/>
  <c r="KE44" i="1"/>
  <c r="KE45" i="1"/>
  <c r="KE46" i="1"/>
  <c r="KE47" i="1"/>
  <c r="KE48" i="1"/>
  <c r="KE49" i="1"/>
  <c r="KE50" i="1"/>
  <c r="KE51" i="1"/>
  <c r="KE52" i="1"/>
  <c r="KE53" i="1"/>
  <c r="KE54" i="1"/>
  <c r="KE55" i="1"/>
  <c r="KE56" i="1"/>
  <c r="KE57" i="1"/>
  <c r="KE58" i="1"/>
  <c r="KE59" i="1"/>
  <c r="KE60" i="1"/>
  <c r="KE61" i="1"/>
  <c r="KE62" i="1"/>
  <c r="KE63" i="1"/>
  <c r="KE64" i="1"/>
  <c r="KE65" i="1"/>
  <c r="KE66" i="1"/>
  <c r="KE67" i="1"/>
  <c r="KE68" i="1"/>
  <c r="KE69" i="1"/>
  <c r="KE70" i="1"/>
  <c r="KE71" i="1"/>
  <c r="KE72" i="1"/>
  <c r="KE73" i="1"/>
  <c r="KE74" i="1"/>
  <c r="KE75" i="1"/>
  <c r="KE76" i="1"/>
  <c r="KE77" i="1"/>
  <c r="KE78" i="1"/>
  <c r="KE79" i="1"/>
  <c r="KE80" i="1"/>
  <c r="KE81" i="1"/>
  <c r="KE82" i="1"/>
  <c r="KE83" i="1"/>
  <c r="KE84" i="1"/>
  <c r="KE85" i="1"/>
  <c r="KE86" i="1"/>
  <c r="KD7" i="1"/>
  <c r="KD8" i="1"/>
  <c r="KD9" i="1"/>
  <c r="KD10" i="1"/>
  <c r="KD11" i="1"/>
  <c r="KD12" i="1"/>
  <c r="KD13" i="1"/>
  <c r="KD14" i="1"/>
  <c r="KD15" i="1"/>
  <c r="KD16" i="1"/>
  <c r="KD17" i="1"/>
  <c r="KD18" i="1"/>
  <c r="KD19" i="1"/>
  <c r="KD20" i="1"/>
  <c r="KD21" i="1"/>
  <c r="KD22" i="1"/>
  <c r="KD23" i="1"/>
  <c r="KD24" i="1"/>
  <c r="KD25" i="1"/>
  <c r="KD26" i="1"/>
  <c r="KD27" i="1"/>
  <c r="KD28" i="1"/>
  <c r="KD29" i="1"/>
  <c r="KD30" i="1"/>
  <c r="KD31" i="1"/>
  <c r="KD32" i="1"/>
  <c r="KD33" i="1"/>
  <c r="KD34" i="1"/>
  <c r="KD35" i="1"/>
  <c r="KD36" i="1"/>
  <c r="KD37" i="1"/>
  <c r="KD38" i="1"/>
  <c r="KD39" i="1"/>
  <c r="KD40" i="1"/>
  <c r="KD41" i="1"/>
  <c r="KD42" i="1"/>
  <c r="KD43" i="1"/>
  <c r="KD44" i="1"/>
  <c r="KD45" i="1"/>
  <c r="KD46" i="1"/>
  <c r="KD47" i="1"/>
  <c r="KD48" i="1"/>
  <c r="KD49" i="1"/>
  <c r="KD50" i="1"/>
  <c r="KD51" i="1"/>
  <c r="KD52" i="1"/>
  <c r="KD53" i="1"/>
  <c r="KD54" i="1"/>
  <c r="KD55" i="1"/>
  <c r="KD56" i="1"/>
  <c r="KD57" i="1"/>
  <c r="KD58" i="1"/>
  <c r="KD59" i="1"/>
  <c r="KD60" i="1"/>
  <c r="KD61" i="1"/>
  <c r="KD62" i="1"/>
  <c r="KD63" i="1"/>
  <c r="KD64" i="1"/>
  <c r="KD65" i="1"/>
  <c r="KD66" i="1"/>
  <c r="KD67" i="1"/>
  <c r="KD68" i="1"/>
  <c r="KD69" i="1"/>
  <c r="KD70" i="1"/>
  <c r="KD71" i="1"/>
  <c r="KD72" i="1"/>
  <c r="KD73" i="1"/>
  <c r="KD74" i="1"/>
  <c r="KD75" i="1"/>
  <c r="KD76" i="1"/>
  <c r="KD77" i="1"/>
  <c r="KD78" i="1"/>
  <c r="KD79" i="1"/>
  <c r="KD80" i="1"/>
  <c r="KD81" i="1"/>
  <c r="KD82" i="1"/>
  <c r="KD83" i="1"/>
  <c r="KD84" i="1"/>
  <c r="KD85" i="1"/>
  <c r="KD86" i="1"/>
  <c r="KC7" i="1"/>
  <c r="KC8" i="1"/>
  <c r="KC9" i="1"/>
  <c r="KC10" i="1"/>
  <c r="KC11" i="1"/>
  <c r="KC12" i="1"/>
  <c r="KC13" i="1"/>
  <c r="KC14" i="1"/>
  <c r="KC15" i="1"/>
  <c r="KC16" i="1"/>
  <c r="KC17" i="1"/>
  <c r="KC18" i="1"/>
  <c r="KC19" i="1"/>
  <c r="KC20" i="1"/>
  <c r="KC21" i="1"/>
  <c r="KC22" i="1"/>
  <c r="KC23" i="1"/>
  <c r="KC24" i="1"/>
  <c r="KC25" i="1"/>
  <c r="KC26" i="1"/>
  <c r="KC27" i="1"/>
  <c r="KC28" i="1"/>
  <c r="KC29" i="1"/>
  <c r="KC30" i="1"/>
  <c r="KC31" i="1"/>
  <c r="KC32" i="1"/>
  <c r="KC33" i="1"/>
  <c r="KC34" i="1"/>
  <c r="KC35" i="1"/>
  <c r="KC36" i="1"/>
  <c r="KC37" i="1"/>
  <c r="KC38" i="1"/>
  <c r="KC39" i="1"/>
  <c r="KC40" i="1"/>
  <c r="KC41" i="1"/>
  <c r="KC42" i="1"/>
  <c r="KC43" i="1"/>
  <c r="KC44" i="1"/>
  <c r="KC45" i="1"/>
  <c r="KC46" i="1"/>
  <c r="KC47" i="1"/>
  <c r="KC48" i="1"/>
  <c r="KC49" i="1"/>
  <c r="KC50" i="1"/>
  <c r="KC51" i="1"/>
  <c r="KC52" i="1"/>
  <c r="KC53" i="1"/>
  <c r="KC54" i="1"/>
  <c r="KC55" i="1"/>
  <c r="KC56" i="1"/>
  <c r="KC57" i="1"/>
  <c r="KC58" i="1"/>
  <c r="KC59" i="1"/>
  <c r="KC60" i="1"/>
  <c r="KC61" i="1"/>
  <c r="KC62" i="1"/>
  <c r="KC63" i="1"/>
  <c r="KC64" i="1"/>
  <c r="KC65" i="1"/>
  <c r="KC66" i="1"/>
  <c r="KC67" i="1"/>
  <c r="KC68" i="1"/>
  <c r="KC69" i="1"/>
  <c r="KC70" i="1"/>
  <c r="KC71" i="1"/>
  <c r="KC72" i="1"/>
  <c r="KC73" i="1"/>
  <c r="KC74" i="1"/>
  <c r="KC75" i="1"/>
  <c r="KC76" i="1"/>
  <c r="KC77" i="1"/>
  <c r="KC78" i="1"/>
  <c r="KC79" i="1"/>
  <c r="KC80" i="1"/>
  <c r="KC81" i="1"/>
  <c r="KC82" i="1"/>
  <c r="KC83" i="1"/>
  <c r="KC84" i="1"/>
  <c r="KC85" i="1"/>
  <c r="KC86" i="1"/>
  <c r="KB7" i="1"/>
  <c r="KB8" i="1"/>
  <c r="KB9" i="1"/>
  <c r="KB10" i="1"/>
  <c r="KB11" i="1"/>
  <c r="KB12" i="1"/>
  <c r="KB13" i="1"/>
  <c r="KB14" i="1"/>
  <c r="KB15" i="1"/>
  <c r="KB16" i="1"/>
  <c r="KB17" i="1"/>
  <c r="KB18" i="1"/>
  <c r="KB19" i="1"/>
  <c r="KB20" i="1"/>
  <c r="KB21" i="1"/>
  <c r="KB22" i="1"/>
  <c r="KB23" i="1"/>
  <c r="KB24" i="1"/>
  <c r="KB25" i="1"/>
  <c r="KB26" i="1"/>
  <c r="KB27" i="1"/>
  <c r="KB28" i="1"/>
  <c r="KB29" i="1"/>
  <c r="KB30" i="1"/>
  <c r="KB31" i="1"/>
  <c r="KB32" i="1"/>
  <c r="KB33" i="1"/>
  <c r="KB34" i="1"/>
  <c r="KB35" i="1"/>
  <c r="KB36" i="1"/>
  <c r="KB37" i="1"/>
  <c r="KB38" i="1"/>
  <c r="KB39" i="1"/>
  <c r="KB40" i="1"/>
  <c r="KB41" i="1"/>
  <c r="KB42" i="1"/>
  <c r="KB43" i="1"/>
  <c r="KB44" i="1"/>
  <c r="KB45" i="1"/>
  <c r="KB46" i="1"/>
  <c r="KB47" i="1"/>
  <c r="KB48" i="1"/>
  <c r="KB49" i="1"/>
  <c r="KB50" i="1"/>
  <c r="KB51" i="1"/>
  <c r="KB52" i="1"/>
  <c r="KB53" i="1"/>
  <c r="KB54" i="1"/>
  <c r="KB55" i="1"/>
  <c r="KB56" i="1"/>
  <c r="KB57" i="1"/>
  <c r="KB58" i="1"/>
  <c r="KB59" i="1"/>
  <c r="KB60" i="1"/>
  <c r="KB61" i="1"/>
  <c r="KB62" i="1"/>
  <c r="KB63" i="1"/>
  <c r="KB64" i="1"/>
  <c r="KB65" i="1"/>
  <c r="KB66" i="1"/>
  <c r="KB67" i="1"/>
  <c r="KB68" i="1"/>
  <c r="KB69" i="1"/>
  <c r="KB70" i="1"/>
  <c r="KB71" i="1"/>
  <c r="KB72" i="1"/>
  <c r="KB73" i="1"/>
  <c r="KB74" i="1"/>
  <c r="KB75" i="1"/>
  <c r="KB76" i="1"/>
  <c r="KB77" i="1"/>
  <c r="KB78" i="1"/>
  <c r="KB79" i="1"/>
  <c r="KB80" i="1"/>
  <c r="KB81" i="1"/>
  <c r="KB82" i="1"/>
  <c r="KB83" i="1"/>
  <c r="KB84" i="1"/>
  <c r="KB85" i="1"/>
  <c r="KB86" i="1"/>
  <c r="KM12" i="1"/>
  <c r="KM20" i="1"/>
  <c r="KM28" i="1"/>
  <c r="KM32" i="1"/>
  <c r="KM36" i="1"/>
  <c r="KM40" i="1"/>
  <c r="KM44" i="1"/>
  <c r="KM48" i="1"/>
  <c r="KM52" i="1"/>
  <c r="KM56" i="1"/>
  <c r="KM60" i="1"/>
  <c r="KM64" i="1"/>
  <c r="KM71" i="1"/>
  <c r="KM75" i="1"/>
  <c r="KM79" i="1"/>
  <c r="KM83" i="1"/>
  <c r="KL12" i="1"/>
  <c r="KL20" i="1"/>
  <c r="KL28" i="1"/>
  <c r="KL36" i="1"/>
  <c r="KL44" i="1"/>
  <c r="KL52" i="1"/>
  <c r="KL60" i="1"/>
  <c r="KL75" i="1"/>
  <c r="KL83" i="1"/>
  <c r="KL84" i="1" l="1"/>
  <c r="KL76" i="1"/>
  <c r="KL68" i="1"/>
  <c r="KL61" i="1"/>
  <c r="KL53" i="1"/>
  <c r="KL45" i="1"/>
  <c r="KL37" i="1"/>
  <c r="KL29" i="1"/>
  <c r="KL21" i="1"/>
  <c r="KL13" i="1"/>
  <c r="KM77" i="1"/>
  <c r="KM69" i="1"/>
  <c r="KM54" i="1"/>
  <c r="KM46" i="1"/>
  <c r="KM38" i="1"/>
  <c r="KM30" i="1"/>
  <c r="KM22" i="1"/>
  <c r="KM14" i="1"/>
  <c r="KK81" i="1"/>
  <c r="KK73" i="1"/>
  <c r="KK66" i="1"/>
  <c r="KK58" i="1"/>
  <c r="KK42" i="1"/>
  <c r="KK34" i="1"/>
  <c r="KK26" i="1"/>
  <c r="KK18" i="1"/>
  <c r="KK10" i="1"/>
  <c r="KM85" i="1"/>
  <c r="KM62" i="1"/>
  <c r="KK80" i="1"/>
  <c r="KK72" i="1"/>
  <c r="KK65" i="1"/>
  <c r="KK57" i="1"/>
  <c r="KK49" i="1"/>
  <c r="KK41" i="1"/>
  <c r="KK33" i="1"/>
  <c r="KK25" i="1"/>
  <c r="KK17" i="1"/>
  <c r="KK9" i="1"/>
  <c r="KL85" i="1"/>
  <c r="KL77" i="1"/>
  <c r="KL69" i="1"/>
  <c r="KL62" i="1"/>
  <c r="KL54" i="1"/>
  <c r="KL46" i="1"/>
  <c r="KL38" i="1"/>
  <c r="KL30" i="1"/>
  <c r="KL22" i="1"/>
  <c r="KL14" i="1"/>
  <c r="KJ81" i="1"/>
  <c r="KJ73" i="1"/>
  <c r="KJ66" i="1"/>
  <c r="KJ58" i="1"/>
  <c r="KJ50" i="1"/>
  <c r="KJ42" i="1"/>
  <c r="KJ34" i="1"/>
  <c r="KJ26" i="1"/>
  <c r="KJ18" i="1"/>
  <c r="KJ10" i="1"/>
  <c r="KK50" i="1"/>
  <c r="KM24" i="1"/>
  <c r="KM16" i="1"/>
  <c r="KM8" i="1"/>
  <c r="KK83" i="1"/>
  <c r="KK75" i="1"/>
  <c r="KK60" i="1"/>
  <c r="KK52" i="1"/>
  <c r="KK44" i="1"/>
  <c r="KK36" i="1"/>
  <c r="KK28" i="1"/>
  <c r="KK20" i="1"/>
  <c r="KK12" i="1"/>
  <c r="KM81" i="1"/>
  <c r="KM73" i="1"/>
  <c r="KM66" i="1"/>
  <c r="KM58" i="1"/>
  <c r="KM50" i="1"/>
  <c r="KM42" i="1"/>
  <c r="KM34" i="1"/>
  <c r="KM26" i="1"/>
  <c r="KM18" i="1"/>
  <c r="KM10" i="1"/>
  <c r="KJ82" i="1"/>
  <c r="KJ74" i="1"/>
  <c r="KJ67" i="1"/>
  <c r="KJ59" i="1"/>
  <c r="KJ51" i="1"/>
  <c r="KJ43" i="1"/>
  <c r="KJ35" i="1"/>
  <c r="KJ27" i="1"/>
  <c r="KJ19" i="1"/>
  <c r="KJ11" i="1"/>
  <c r="KK71" i="1"/>
  <c r="KK79" i="1"/>
  <c r="KK64" i="1"/>
  <c r="KK56" i="1"/>
  <c r="KK48" i="1"/>
  <c r="KK40" i="1"/>
  <c r="KK32" i="1"/>
  <c r="KK24" i="1"/>
  <c r="KK16" i="1"/>
  <c r="KK8" i="1"/>
  <c r="KM86" i="1"/>
  <c r="KM78" i="1"/>
  <c r="KM70" i="1"/>
  <c r="KM63" i="1"/>
  <c r="KM55" i="1"/>
  <c r="KM47" i="1"/>
  <c r="KM39" i="1"/>
  <c r="KM31" i="1"/>
  <c r="KM23" i="1"/>
  <c r="KM15" i="1"/>
  <c r="KM84" i="1"/>
  <c r="KM76" i="1"/>
  <c r="KM68" i="1"/>
  <c r="KM61" i="1"/>
  <c r="KM53" i="1"/>
  <c r="KM45" i="1"/>
  <c r="KM37" i="1"/>
  <c r="KM29" i="1"/>
  <c r="KM21" i="1"/>
  <c r="KM13" i="1"/>
  <c r="KM82" i="1"/>
  <c r="KM74" i="1"/>
  <c r="KM67" i="1"/>
  <c r="KM59" i="1"/>
  <c r="KM51" i="1"/>
  <c r="KM43" i="1"/>
  <c r="KM35" i="1"/>
  <c r="KM27" i="1"/>
  <c r="KM19" i="1"/>
  <c r="KM11" i="1"/>
  <c r="KK85" i="1"/>
  <c r="KK77" i="1"/>
  <c r="KK69" i="1"/>
  <c r="KK62" i="1"/>
  <c r="KK54" i="1"/>
  <c r="KK46" i="1"/>
  <c r="KK38" i="1"/>
  <c r="KK30" i="1"/>
  <c r="KK22" i="1"/>
  <c r="KK14" i="1"/>
  <c r="KM80" i="1"/>
  <c r="KM72" i="1"/>
  <c r="KM65" i="1"/>
  <c r="KM57" i="1"/>
  <c r="KM49" i="1"/>
  <c r="KM41" i="1"/>
  <c r="KM33" i="1"/>
  <c r="KM25" i="1"/>
  <c r="KM17" i="1"/>
  <c r="KM9" i="1"/>
  <c r="KL78" i="1"/>
  <c r="KL70" i="1"/>
  <c r="KL55" i="1"/>
  <c r="KL39" i="1"/>
  <c r="KL23" i="1"/>
  <c r="KL82" i="1"/>
  <c r="KL74" i="1"/>
  <c r="KL67" i="1"/>
  <c r="KL59" i="1"/>
  <c r="KL51" i="1"/>
  <c r="KL43" i="1"/>
  <c r="KL35" i="1"/>
  <c r="KL27" i="1"/>
  <c r="KL19" i="1"/>
  <c r="KL11" i="1"/>
  <c r="KL80" i="1"/>
  <c r="KL72" i="1"/>
  <c r="KL65" i="1"/>
  <c r="KL57" i="1"/>
  <c r="KL49" i="1"/>
  <c r="KL41" i="1"/>
  <c r="KL33" i="1"/>
  <c r="KL25" i="1"/>
  <c r="KL17" i="1"/>
  <c r="KL9" i="1"/>
  <c r="KL79" i="1"/>
  <c r="KL71" i="1"/>
  <c r="KL64" i="1"/>
  <c r="KL56" i="1"/>
  <c r="KL48" i="1"/>
  <c r="KL40" i="1"/>
  <c r="KL32" i="1"/>
  <c r="KL24" i="1"/>
  <c r="KL16" i="1"/>
  <c r="KL8" i="1"/>
  <c r="KL86" i="1"/>
  <c r="KL63" i="1"/>
  <c r="KL47" i="1"/>
  <c r="KL31" i="1"/>
  <c r="KL15" i="1"/>
  <c r="KK84" i="1"/>
  <c r="KK76" i="1"/>
  <c r="KK68" i="1"/>
  <c r="KK61" i="1"/>
  <c r="KK53" i="1"/>
  <c r="KK45" i="1"/>
  <c r="KK37" i="1"/>
  <c r="KK29" i="1"/>
  <c r="KK21" i="1"/>
  <c r="KK13" i="1"/>
  <c r="KM7" i="1"/>
  <c r="KJ80" i="1"/>
  <c r="KJ72" i="1"/>
  <c r="KJ65" i="1"/>
  <c r="KJ57" i="1"/>
  <c r="KJ49" i="1"/>
  <c r="KJ41" i="1"/>
  <c r="KJ33" i="1"/>
  <c r="KJ25" i="1"/>
  <c r="KJ17" i="1"/>
  <c r="KJ9" i="1"/>
  <c r="KK82" i="1"/>
  <c r="KK74" i="1"/>
  <c r="KK67" i="1"/>
  <c r="KK59" i="1"/>
  <c r="KK51" i="1"/>
  <c r="KK43" i="1"/>
  <c r="KK35" i="1"/>
  <c r="KK27" i="1"/>
  <c r="KK19" i="1"/>
  <c r="KK11" i="1"/>
  <c r="KJ79" i="1"/>
  <c r="KJ71" i="1"/>
  <c r="KJ64" i="1"/>
  <c r="KJ56" i="1"/>
  <c r="KJ48" i="1"/>
  <c r="KJ40" i="1"/>
  <c r="KJ32" i="1"/>
  <c r="KJ24" i="1"/>
  <c r="KJ16" i="1"/>
  <c r="KJ8" i="1"/>
  <c r="KJ86" i="1"/>
  <c r="KJ78" i="1"/>
  <c r="KJ70" i="1"/>
  <c r="KJ63" i="1"/>
  <c r="KJ55" i="1"/>
  <c r="KJ47" i="1"/>
  <c r="KJ39" i="1"/>
  <c r="KJ31" i="1"/>
  <c r="KJ23" i="1"/>
  <c r="KJ15" i="1"/>
  <c r="KJ7" i="1"/>
  <c r="KL81" i="1"/>
  <c r="KL73" i="1"/>
  <c r="KL66" i="1"/>
  <c r="KL58" i="1"/>
  <c r="KL50" i="1"/>
  <c r="KL42" i="1"/>
  <c r="KL34" i="1"/>
  <c r="KL26" i="1"/>
  <c r="KL18" i="1"/>
  <c r="KL10" i="1"/>
  <c r="KJ85" i="1"/>
  <c r="KJ77" i="1"/>
  <c r="KJ69" i="1"/>
  <c r="KJ62" i="1"/>
  <c r="KJ54" i="1"/>
  <c r="KJ46" i="1"/>
  <c r="KJ38" i="1"/>
  <c r="KJ30" i="1"/>
  <c r="KJ22" i="1"/>
  <c r="KJ14" i="1"/>
  <c r="KJ84" i="1"/>
  <c r="KJ76" i="1"/>
  <c r="KJ68" i="1"/>
  <c r="KJ61" i="1"/>
  <c r="KJ53" i="1"/>
  <c r="KJ45" i="1"/>
  <c r="KJ37" i="1"/>
  <c r="KJ29" i="1"/>
  <c r="KJ21" i="1"/>
  <c r="KJ13" i="1"/>
  <c r="KK86" i="1"/>
  <c r="KK78" i="1"/>
  <c r="KK70" i="1"/>
  <c r="KK63" i="1"/>
  <c r="KK55" i="1"/>
  <c r="KK47" i="1"/>
  <c r="KK39" i="1"/>
  <c r="KK31" i="1"/>
  <c r="KK23" i="1"/>
  <c r="KK15" i="1"/>
  <c r="KK7" i="1"/>
  <c r="KL7" i="1"/>
  <c r="KJ83" i="1"/>
  <c r="KJ75" i="1"/>
  <c r="KJ60" i="1"/>
  <c r="KJ52" i="1"/>
  <c r="KJ44" i="1"/>
  <c r="KJ36" i="1"/>
  <c r="KJ28" i="1"/>
  <c r="KJ20" i="1"/>
  <c r="KJ12" i="1"/>
  <c r="KF85" i="1"/>
  <c r="KF77" i="1"/>
  <c r="KF69" i="1"/>
  <c r="KF62" i="1"/>
  <c r="KF54" i="1"/>
  <c r="KF46" i="1"/>
  <c r="KF38" i="1"/>
  <c r="KF30" i="1"/>
  <c r="KF22" i="1"/>
  <c r="KF14" i="1"/>
  <c r="KF83" i="1"/>
  <c r="KF75" i="1"/>
  <c r="KF60" i="1"/>
  <c r="KF52" i="1"/>
  <c r="KF44" i="1"/>
  <c r="KF36" i="1"/>
  <c r="KF28" i="1"/>
  <c r="KF20" i="1"/>
  <c r="KF12" i="1"/>
  <c r="KF81" i="1"/>
  <c r="KF73" i="1"/>
  <c r="KF66" i="1"/>
  <c r="KF58" i="1"/>
  <c r="KF50" i="1"/>
  <c r="KF42" i="1"/>
  <c r="KF34" i="1"/>
  <c r="KF26" i="1"/>
  <c r="KF18" i="1"/>
  <c r="KF10" i="1"/>
  <c r="KF86" i="1"/>
  <c r="KF78" i="1"/>
  <c r="KF70" i="1"/>
  <c r="KF63" i="1"/>
  <c r="KF55" i="1"/>
  <c r="KF47" i="1"/>
  <c r="KF39" i="1"/>
  <c r="KF31" i="1"/>
  <c r="KF23" i="1"/>
  <c r="KF15" i="1"/>
  <c r="KF7" i="1"/>
  <c r="KF79" i="1"/>
  <c r="KF71" i="1"/>
  <c r="KF64" i="1"/>
  <c r="KF56" i="1"/>
  <c r="KF48" i="1"/>
  <c r="KF40" i="1"/>
  <c r="KF32" i="1"/>
  <c r="KF24" i="1"/>
  <c r="KF16" i="1"/>
  <c r="KF8" i="1"/>
  <c r="KF84" i="1"/>
  <c r="KF76" i="1"/>
  <c r="KF68" i="1"/>
  <c r="KF61" i="1"/>
  <c r="KF53" i="1"/>
  <c r="KF45" i="1"/>
  <c r="KF37" i="1"/>
  <c r="KF29" i="1"/>
  <c r="KF21" i="1"/>
  <c r="KF13" i="1"/>
  <c r="KF82" i="1"/>
  <c r="KF74" i="1"/>
  <c r="KF67" i="1"/>
  <c r="KF59" i="1"/>
  <c r="KF51" i="1"/>
  <c r="KF43" i="1"/>
  <c r="KF35" i="1"/>
  <c r="KF27" i="1"/>
  <c r="KF19" i="1"/>
  <c r="KF11" i="1"/>
  <c r="KF80" i="1"/>
  <c r="KF72" i="1"/>
  <c r="KF65" i="1"/>
  <c r="KF57" i="1"/>
  <c r="KF49" i="1"/>
  <c r="KF41" i="1"/>
  <c r="KF33" i="1"/>
  <c r="KF25" i="1"/>
  <c r="KF17" i="1"/>
  <c r="KF9" i="1"/>
</calcChain>
</file>

<file path=xl/sharedStrings.xml><?xml version="1.0" encoding="utf-8"?>
<sst xmlns="http://schemas.openxmlformats.org/spreadsheetml/2006/main" count="3204" uniqueCount="1300">
  <si>
    <t>CQC Registered Provider name:</t>
  </si>
  <si>
    <t>CQC Registered Location name:</t>
  </si>
  <si>
    <t>CQC Registered Location Address:</t>
  </si>
  <si>
    <t>Postcode:</t>
  </si>
  <si>
    <t>CQC Location ID:</t>
  </si>
  <si>
    <t>Name of person completing this form:</t>
  </si>
  <si>
    <t>Role of person completing this form:</t>
  </si>
  <si>
    <t>Email address:</t>
  </si>
  <si>
    <t>Telephone number:</t>
  </si>
  <si>
    <t>Service Detail</t>
  </si>
  <si>
    <t>Pay Rates</t>
  </si>
  <si>
    <t>Registered manager</t>
  </si>
  <si>
    <t>Deputy manager</t>
  </si>
  <si>
    <t>Other manager (please specify)</t>
  </si>
  <si>
    <t>Registered manager: Current 2021/22 Minimum hourly pay rate</t>
  </si>
  <si>
    <t>Registered manager: Current 2021/22 Maximum hourly pay rate</t>
  </si>
  <si>
    <t>Registered manager: Previous 2020/21 Minimum hourly pay rate</t>
  </si>
  <si>
    <t>Registered manager: Previous 2020/21 Maximum hourly pay rate</t>
  </si>
  <si>
    <t>Registered manager: Numbers employed (Full Time Equivalent)</t>
  </si>
  <si>
    <t>Deputy manager: Current 2021/22 Minimum hourly pay rate</t>
  </si>
  <si>
    <t>Deputy manager: Current 2021/22 Maximum hourly pay rate</t>
  </si>
  <si>
    <t>Deputy manager: Previous 2020/21 Minimum hourly pay rate</t>
  </si>
  <si>
    <t>Deputy manager: Previous 2020/21 Maximum hourly pay rate</t>
  </si>
  <si>
    <t>Deputy manager: Numbers employed (Full Time Equivalent)</t>
  </si>
  <si>
    <t>Management Roles</t>
  </si>
  <si>
    <t>Other manager 1: Current 2021/22 Minimum hourly pay rate</t>
  </si>
  <si>
    <t>Other manager 1: Current 2021/22 Maximum hourly pay rate</t>
  </si>
  <si>
    <t>Other manager 1: Previous 2020/21 Minimum hourly pay rate</t>
  </si>
  <si>
    <t>Other manager 1: Previous 2020/21 Maximum hourly pay rate</t>
  </si>
  <si>
    <t>Other manager 1: Numbers employed (Full Time Equivalent)</t>
  </si>
  <si>
    <t>Other manager 2: Current 2021/22 Minimum hourly pay rate</t>
  </si>
  <si>
    <t>Other manager 2: Current 2021/22 Maximum hourly pay rate</t>
  </si>
  <si>
    <t>Other manager 2: Previous 2020/21 Minimum hourly pay rate</t>
  </si>
  <si>
    <t>Other manager 2: Previous 2020/21 Maximum hourly pay rate</t>
  </si>
  <si>
    <t>Other manager 2: Numbers employed (Full Time Equivalent)</t>
  </si>
  <si>
    <t>Other manager 3: Current 2021/22 Minimum hourly pay rate</t>
  </si>
  <si>
    <t>Other manager 3: Current 2021/22 Maximum hourly pay rate</t>
  </si>
  <si>
    <t>Other manager 3: Previous 2020/21 Minimum hourly pay rate</t>
  </si>
  <si>
    <t>Other manager 3: Previous 2020/21 Maximum hourly pay rate</t>
  </si>
  <si>
    <t>Other manager 3: Numbers employed (Full Time Equivalent)</t>
  </si>
  <si>
    <t>Care Assistant (specify grade/role)</t>
  </si>
  <si>
    <t>Care Assistant 1: Current 2021/22 Minimum hourly pay rate</t>
  </si>
  <si>
    <t>Care Assistant 1: Current 2021/22 Maximum hourly pay rate</t>
  </si>
  <si>
    <t>Care Assistant 1: Previous 2020/21 Minimum hourly pay rate</t>
  </si>
  <si>
    <t>Care Assistant 1: Previous 2020/21 Maximum hourly pay rate</t>
  </si>
  <si>
    <t>Care Assistant 1: Numbers employed (Full Time Equivalent)</t>
  </si>
  <si>
    <t>Care Assistant 2: Current 2021/22 Minimum hourly pay rate</t>
  </si>
  <si>
    <t>Care Assistant 2: Current 2021/22 Maximum hourly pay rate</t>
  </si>
  <si>
    <t>Care Assistant 2: Previous 2020/21 Minimum hourly pay rate</t>
  </si>
  <si>
    <t>Care Assistant 2: Previous 2020/21 Maximum hourly pay rate</t>
  </si>
  <si>
    <t>Care Assistant 2: Numbers employed (Full Time Equivalent)</t>
  </si>
  <si>
    <t>Care Assistant 3: Current 2021/22 Minimum hourly pay rate</t>
  </si>
  <si>
    <t>Care Assistant 3: Current 2021/22 Maximum hourly pay rate</t>
  </si>
  <si>
    <t>Care Assistant 3: Previous 2020/21 Minimum hourly pay rate</t>
  </si>
  <si>
    <t>Care Assistant 3: Previous 2020/21 Maximum hourly pay rate</t>
  </si>
  <si>
    <t>Care Assistant 3: Numbers employed (Full Time Equivalent)</t>
  </si>
  <si>
    <t>Care and Support</t>
  </si>
  <si>
    <t>Administration</t>
  </si>
  <si>
    <t>Administrative Officer (please specify)</t>
  </si>
  <si>
    <t>Administrative Officer 1: Current 2021/22 Minimum hourly pay rate</t>
  </si>
  <si>
    <t>Administrative Officer 1: Current 2021/22 Maximum hourly pay rate</t>
  </si>
  <si>
    <t>Administrative Officer 1: Previous 2020/21 Minimum hourly pay rate</t>
  </si>
  <si>
    <t>Administrative Officer 1: Previous 2020/21 Maximum hourly pay rate</t>
  </si>
  <si>
    <t>Administrative Officer 1: Numbers employed (Full Time Equivalent)</t>
  </si>
  <si>
    <t>Administrative Officer 2: Current 2021/22 Minimum hourly pay rate</t>
  </si>
  <si>
    <t>Administrative Officer 2: Current 2021/22 Maximum hourly pay rate</t>
  </si>
  <si>
    <t>Administrative Officer 2: Previous 2020/21 Minimum hourly pay rate</t>
  </si>
  <si>
    <t>Administrative Officer 2: Previous 2020/21 Maximum hourly pay rate</t>
  </si>
  <si>
    <t>Administrative Officer 2: Numbers employed (Full Time Equivalent)</t>
  </si>
  <si>
    <t>Other</t>
  </si>
  <si>
    <t>Other staff (please specify)</t>
  </si>
  <si>
    <t>Other staff 1: Current 2021/22 Minimum hourly pay rate</t>
  </si>
  <si>
    <t>Other staff 1: Current 2021/22 Maximum hourly pay rate</t>
  </si>
  <si>
    <t>Other staff 1: Previous 2020/21 Minimum hourly pay rate</t>
  </si>
  <si>
    <t>Other staff 1: Previous 2020/21 Maximum hourly pay rate</t>
  </si>
  <si>
    <t>Other staff 1: Numbers employed (Full Time Equivalent)</t>
  </si>
  <si>
    <t>Other staff 2: Current 2021/22 Minimum hourly pay rate</t>
  </si>
  <si>
    <t>Other staff 2: Current 2021/22 Maximum hourly pay rate</t>
  </si>
  <si>
    <t>Other staff 2: Previous 2020/21 Minimum hourly pay rate</t>
  </si>
  <si>
    <t>Other staff 2: Previous 2020/21 Maximum hourly pay rate</t>
  </si>
  <si>
    <t>Other staff 2: Numbers employed (Full Time Equivalent)</t>
  </si>
  <si>
    <t>Other staff 3: Current 2021/22 Minimum hourly pay rate</t>
  </si>
  <si>
    <t>Other staff 3: Current 2021/22 Maximum hourly pay rate</t>
  </si>
  <si>
    <t>Other staff 3: Previous 2020/21 Minimum hourly pay rate</t>
  </si>
  <si>
    <t>Other staff 3: Previous 2020/21 Maximum hourly pay rate</t>
  </si>
  <si>
    <t>Other staff 3: Numbers employed (Full Time Equivalent)</t>
  </si>
  <si>
    <t>Rates</t>
  </si>
  <si>
    <t>2021/22 Employer pension contribution rate</t>
  </si>
  <si>
    <t>Service Type</t>
  </si>
  <si>
    <t>Costs</t>
  </si>
  <si>
    <t>Start of last full accounting year</t>
  </si>
  <si>
    <t>End of last full accounting year</t>
  </si>
  <si>
    <t>Total annual expenditure</t>
  </si>
  <si>
    <t>Total annual expenditure: Care and Support staff</t>
  </si>
  <si>
    <t>Total annual expenditure: Administration</t>
  </si>
  <si>
    <t>Total annual expenditure: Other staff</t>
  </si>
  <si>
    <t>Total annual expenditure: Agency staff</t>
  </si>
  <si>
    <t>Total annual expenditure: Training and development</t>
  </si>
  <si>
    <t>Repairs and maintenance</t>
  </si>
  <si>
    <t>Training expenses (fees, facilities, travel and materials)</t>
  </si>
  <si>
    <t>Subscriptions</t>
  </si>
  <si>
    <t>Care consumables &amp; uniforms</t>
  </si>
  <si>
    <t>Property cost relating to  rent/mortgage/lease/loan etc</t>
  </si>
  <si>
    <t>Central / Regional Management</t>
  </si>
  <si>
    <t>Support Services (finance / HR / Payroll / legal etc.)</t>
  </si>
  <si>
    <t>D) RETURN ON CAPITAL EMPLOYED AND NET OPERATING PROFIT</t>
  </si>
  <si>
    <t>Net Operating Profit</t>
  </si>
  <si>
    <t>Return on Capital employed</t>
  </si>
  <si>
    <t>Original amount of Capital employed</t>
  </si>
  <si>
    <t>Other manager 3: Job Role</t>
  </si>
  <si>
    <t>Care Assistant 1: Job Role</t>
  </si>
  <si>
    <t>Care Assistant 2: Job Role</t>
  </si>
  <si>
    <t>Care Assistant 3: Job Role</t>
  </si>
  <si>
    <t>Administrative Officer 1: Job Role</t>
  </si>
  <si>
    <t>Administrative Officer 2: Job Role</t>
  </si>
  <si>
    <t>Other staff 1: Job Role</t>
  </si>
  <si>
    <t>Other staff 2: Job Role</t>
  </si>
  <si>
    <t>Other staff 3: Job Role</t>
  </si>
  <si>
    <t>Other manager 2: Job Role</t>
  </si>
  <si>
    <t>Other manager 1: Job Role</t>
  </si>
  <si>
    <t>Dates</t>
  </si>
  <si>
    <t>D5</t>
  </si>
  <si>
    <t>D6</t>
  </si>
  <si>
    <t>D7</t>
  </si>
  <si>
    <t>D10</t>
  </si>
  <si>
    <t>D11</t>
  </si>
  <si>
    <t>D12</t>
  </si>
  <si>
    <t>D13</t>
  </si>
  <si>
    <t>D14</t>
  </si>
  <si>
    <t>D16</t>
  </si>
  <si>
    <t>D17</t>
  </si>
  <si>
    <t>D18</t>
  </si>
  <si>
    <t>D19</t>
  </si>
  <si>
    <t>C9</t>
  </si>
  <si>
    <t>E9</t>
  </si>
  <si>
    <t>D9</t>
  </si>
  <si>
    <t>F9</t>
  </si>
  <si>
    <t>G9</t>
  </si>
  <si>
    <t>C10</t>
  </si>
  <si>
    <t>E10</t>
  </si>
  <si>
    <t>F10</t>
  </si>
  <si>
    <t>G10</t>
  </si>
  <si>
    <t>C11</t>
  </si>
  <si>
    <t>E11</t>
  </si>
  <si>
    <t>F11</t>
  </si>
  <si>
    <t>G11</t>
  </si>
  <si>
    <t>C12</t>
  </si>
  <si>
    <t>B11</t>
  </si>
  <si>
    <t>B12</t>
  </si>
  <si>
    <t>E12</t>
  </si>
  <si>
    <t>F12</t>
  </si>
  <si>
    <t>G12</t>
  </si>
  <si>
    <t>B13</t>
  </si>
  <si>
    <t>C13</t>
  </si>
  <si>
    <t>E13</t>
  </si>
  <si>
    <t>F13</t>
  </si>
  <si>
    <t>G13</t>
  </si>
  <si>
    <t>B16</t>
  </si>
  <si>
    <t>C16</t>
  </si>
  <si>
    <t>E16</t>
  </si>
  <si>
    <t>F16</t>
  </si>
  <si>
    <t>G16</t>
  </si>
  <si>
    <t>B17</t>
  </si>
  <si>
    <t>C17</t>
  </si>
  <si>
    <t>E17</t>
  </si>
  <si>
    <t>F17</t>
  </si>
  <si>
    <t>G17</t>
  </si>
  <si>
    <t>B18</t>
  </si>
  <si>
    <t>C18</t>
  </si>
  <si>
    <t>E18</t>
  </si>
  <si>
    <t>F18</t>
  </si>
  <si>
    <t>G18</t>
  </si>
  <si>
    <t>Care Assistant 4: Job Role</t>
  </si>
  <si>
    <t>Care Assistant 4: Current 2021/22 Minimum hourly pay rate</t>
  </si>
  <si>
    <t>Care Assistant 4: Current 2021/22 Maximum hourly pay rate</t>
  </si>
  <si>
    <t>Care Assistant 4: Previous 2020/21 Minimum hourly pay rate</t>
  </si>
  <si>
    <t>Care Assistant 4: Previous 2020/21 Maximum hourly pay rate</t>
  </si>
  <si>
    <t>Care Assistant 4: Numbers employed (Full Time Equivalent)</t>
  </si>
  <si>
    <t>F29</t>
  </si>
  <si>
    <t>B19</t>
  </si>
  <si>
    <t>C19</t>
  </si>
  <si>
    <t>E19</t>
  </si>
  <si>
    <t>F19</t>
  </si>
  <si>
    <t>G19</t>
  </si>
  <si>
    <t>B22</t>
  </si>
  <si>
    <t>C22</t>
  </si>
  <si>
    <t>D22</t>
  </si>
  <si>
    <t>E22</t>
  </si>
  <si>
    <t>F22</t>
  </si>
  <si>
    <t>G22</t>
  </si>
  <si>
    <t>B23</t>
  </si>
  <si>
    <t>C23</t>
  </si>
  <si>
    <t>D23</t>
  </si>
  <si>
    <t>E23</t>
  </si>
  <si>
    <t>F23</t>
  </si>
  <si>
    <t>G23</t>
  </si>
  <si>
    <t>B24</t>
  </si>
  <si>
    <t>C24</t>
  </si>
  <si>
    <t>D24</t>
  </si>
  <si>
    <t>E24</t>
  </si>
  <si>
    <t>F24</t>
  </si>
  <si>
    <t>G24</t>
  </si>
  <si>
    <t>B27</t>
  </si>
  <si>
    <t>C27</t>
  </si>
  <si>
    <t>D27</t>
  </si>
  <si>
    <t>E27</t>
  </si>
  <si>
    <t>F27</t>
  </si>
  <si>
    <t>G27</t>
  </si>
  <si>
    <t>B28</t>
  </si>
  <si>
    <t>C28</t>
  </si>
  <si>
    <t>D28</t>
  </si>
  <si>
    <t>E28</t>
  </si>
  <si>
    <t>F28</t>
  </si>
  <si>
    <t>G28</t>
  </si>
  <si>
    <t>F31</t>
  </si>
  <si>
    <t>C32</t>
  </si>
  <si>
    <t>F36</t>
  </si>
  <si>
    <t>F37</t>
  </si>
  <si>
    <t>F38</t>
  </si>
  <si>
    <t>C43</t>
  </si>
  <si>
    <t>H9</t>
  </si>
  <si>
    <t>E7</t>
  </si>
  <si>
    <t>F7</t>
  </si>
  <si>
    <t>F15</t>
  </si>
  <si>
    <t>Total annual expenditure: Management staff</t>
  </si>
  <si>
    <t>F20</t>
  </si>
  <si>
    <t>F21</t>
  </si>
  <si>
    <t>F25</t>
  </si>
  <si>
    <t>F26</t>
  </si>
  <si>
    <t>F30</t>
  </si>
  <si>
    <t>F34</t>
  </si>
  <si>
    <t>F35</t>
  </si>
  <si>
    <t>F39</t>
  </si>
  <si>
    <t>F40</t>
  </si>
  <si>
    <t>F41</t>
  </si>
  <si>
    <t>F42</t>
  </si>
  <si>
    <t>F43</t>
  </si>
  <si>
    <t>F48</t>
  </si>
  <si>
    <t>F49</t>
  </si>
  <si>
    <t>F61</t>
  </si>
  <si>
    <t>Owned outright</t>
  </si>
  <si>
    <t>CQC Registered Location Address Line 2</t>
  </si>
  <si>
    <t>CQC Registered Location Address Line 3</t>
  </si>
  <si>
    <t>D8</t>
  </si>
  <si>
    <t>Number of Home support clients:</t>
  </si>
  <si>
    <t>Number of supported living clients:</t>
  </si>
  <si>
    <t>Home Support service split percentage (Expenditure):</t>
  </si>
  <si>
    <t>Supported Living service split percentage (Expenditure):</t>
  </si>
  <si>
    <t>Registered Location Office Accommodation tenure:</t>
  </si>
  <si>
    <t>Central / Headquarters Office Accommodation tenure:</t>
  </si>
  <si>
    <t>D15</t>
  </si>
  <si>
    <t>D20</t>
  </si>
  <si>
    <t>D21</t>
  </si>
  <si>
    <t>Administrative Officer 3: Job Role</t>
  </si>
  <si>
    <t>Administrative Officer 3: Current 2021/22 Minimum hourly pay rate</t>
  </si>
  <si>
    <t>Administrative Officer 3: Current 2021/22 Maximum hourly pay rate</t>
  </si>
  <si>
    <t>Administrative Officer 3: Previous 2020/21 Minimum hourly pay rate</t>
  </si>
  <si>
    <t>Administrative Officer 3: Previous 2020/21 Maximum hourly pay rate</t>
  </si>
  <si>
    <t>Administrative Officer 3: Numbers employed (Full Time Equivalent)</t>
  </si>
  <si>
    <t>B29</t>
  </si>
  <si>
    <t>C29</t>
  </si>
  <si>
    <t>D29</t>
  </si>
  <si>
    <t>E29</t>
  </si>
  <si>
    <t>G29</t>
  </si>
  <si>
    <t>Funding Arrangements</t>
  </si>
  <si>
    <t>Home Support</t>
  </si>
  <si>
    <t>Home Support: Birmingham City Council</t>
  </si>
  <si>
    <t>Home Support: Other Local Authority</t>
  </si>
  <si>
    <t>Home Support: NHS</t>
  </si>
  <si>
    <t>Home Support: Joint funded (Local Authority and NHS)</t>
  </si>
  <si>
    <t>Home Support: Direct Payment or Personal Health Budget</t>
  </si>
  <si>
    <t>Home Support: Self-funded</t>
  </si>
  <si>
    <t>Supported Living</t>
  </si>
  <si>
    <t>Supported Living: Birmingham City Council</t>
  </si>
  <si>
    <t>Supported Living: Other Local Authority</t>
  </si>
  <si>
    <t>Supported Living: NHS</t>
  </si>
  <si>
    <t>Supported Living: Joint funded (Local Authority and NHS)</t>
  </si>
  <si>
    <t>Supported Living: Direct Payment or Personal Health Budget</t>
  </si>
  <si>
    <t>Supported Living: Self-funded</t>
  </si>
  <si>
    <t>G7</t>
  </si>
  <si>
    <t>H7</t>
  </si>
  <si>
    <t>I7</t>
  </si>
  <si>
    <t>I9</t>
  </si>
  <si>
    <t>C15</t>
  </si>
  <si>
    <t>Average hourly charge to NHS</t>
  </si>
  <si>
    <t>Average hourly charge to self-funders</t>
  </si>
  <si>
    <t>Average hourly charge to other local authorities</t>
  </si>
  <si>
    <t>Number of hours of care charged for in last full accounting year</t>
  </si>
  <si>
    <t>Total annual expenditure: Travel Cost</t>
  </si>
  <si>
    <t>Total annual expenditure: Travel Time</t>
  </si>
  <si>
    <t>Recruitment &amp; advertising (including DBS checks)</t>
  </si>
  <si>
    <t>Electronic call monitoring</t>
  </si>
  <si>
    <t>IT Equipment &amp; Telephoney</t>
  </si>
  <si>
    <t>A) DIRECT STAFFING COSTS (INCLUDING EMPLOYERS ON COSTS)</t>
  </si>
  <si>
    <t>B) NON-STAFFING DIRECT COST</t>
  </si>
  <si>
    <t>C) INDIRECT COSTS</t>
  </si>
  <si>
    <t xml:space="preserve">Insurance </t>
  </si>
  <si>
    <t>Utilities (gas, oil, electricity, water, internet, rates)</t>
  </si>
  <si>
    <t xml:space="preserve">Registration &amp; Inspection fees </t>
  </si>
  <si>
    <t>Cost of finance</t>
  </si>
  <si>
    <t>Other non-staff current expenses</t>
  </si>
  <si>
    <t>Non-Staffing Direct Cost: Other  - please specify (category)</t>
  </si>
  <si>
    <t>Non-Staffing Direct Cost: Other  - please specify (amount)</t>
  </si>
  <si>
    <t>Non-Staffing Direct Cost: Other  - please specify (category) 2</t>
  </si>
  <si>
    <t>Non-Staffing Direct Cost: Other  - please specify (amount) 2</t>
  </si>
  <si>
    <t>Indirect costs: Other  - please specify (amount) 2</t>
  </si>
  <si>
    <t>D) (CORPORATE) OVERHEADS</t>
  </si>
  <si>
    <t>C30</t>
  </si>
  <si>
    <t>C42</t>
  </si>
  <si>
    <t>F46</t>
  </si>
  <si>
    <t>F47</t>
  </si>
  <si>
    <t>C49</t>
  </si>
  <si>
    <t>C48</t>
  </si>
  <si>
    <t>F60</t>
  </si>
  <si>
    <t>E62</t>
  </si>
  <si>
    <t>Other manager (specify)</t>
  </si>
  <si>
    <t>Care Assistant (specify)</t>
  </si>
  <si>
    <t>Administrative Officer (specify)</t>
  </si>
  <si>
    <t>Other staff (specify)</t>
  </si>
  <si>
    <t xml:space="preserve">Costs </t>
  </si>
  <si>
    <t>C31</t>
  </si>
  <si>
    <t>Filename</t>
  </si>
  <si>
    <t>Date of import</t>
  </si>
  <si>
    <t>Mortgaged</t>
  </si>
  <si>
    <t>Other - please specify</t>
  </si>
  <si>
    <t>We just report as a total of other direct costs</t>
  </si>
  <si>
    <t>Other overheads - please specify</t>
  </si>
  <si>
    <t>Sandwell</t>
  </si>
  <si>
    <t>Leased or Rented</t>
  </si>
  <si>
    <t>Other - please specify Office</t>
  </si>
  <si>
    <t>Other - please specify Professional</t>
  </si>
  <si>
    <t>Other manager (specify): senior support</t>
  </si>
  <si>
    <t>Care Assistant (specify grade/role): shift leader</t>
  </si>
  <si>
    <t>Food</t>
  </si>
  <si>
    <t>Coventry</t>
  </si>
  <si>
    <t>Finance Manager</t>
  </si>
  <si>
    <t>Team Leader</t>
  </si>
  <si>
    <t>Support Workers</t>
  </si>
  <si>
    <t xml:space="preserve">General Office staff </t>
  </si>
  <si>
    <t>Client activity and expenses</t>
  </si>
  <si>
    <t>Stationery, printing, IT support etc</t>
  </si>
  <si>
    <t>Accountancy and professional fees</t>
  </si>
  <si>
    <t>Depreciation</t>
  </si>
  <si>
    <t>General Office expenses, phone and intenet charges etc</t>
  </si>
  <si>
    <t>Care Assistant</t>
  </si>
  <si>
    <t>Birmingham</t>
  </si>
  <si>
    <t>Other manager (team leader)</t>
  </si>
  <si>
    <t>Finance Officer</t>
  </si>
  <si>
    <t>Other manager (service leads)</t>
  </si>
  <si>
    <t>Care Assistant (senior)</t>
  </si>
  <si>
    <t>Care Assistant (as per national minimum wage)</t>
  </si>
  <si>
    <t>Administrative Officer (reception)</t>
  </si>
  <si>
    <t xml:space="preserve">Administrative Officer (recruitment </t>
  </si>
  <si>
    <t>Other staff (cleaner)</t>
  </si>
  <si>
    <t>Other staff (recruiment)</t>
  </si>
  <si>
    <t>Other staff (trainers)</t>
  </si>
  <si>
    <t>Printing &amp; Stationery</t>
  </si>
  <si>
    <t>Entertainment</t>
  </si>
  <si>
    <t>West Midlands</t>
  </si>
  <si>
    <t>Seionr Support worker</t>
  </si>
  <si>
    <t>Care and Support Worker (I31))</t>
  </si>
  <si>
    <t xml:space="preserve">Care and Support workers </t>
  </si>
  <si>
    <t>Toners, Stationery and postage</t>
  </si>
  <si>
    <t>Office and overhead cost for support services</t>
  </si>
  <si>
    <t>Solihull</t>
  </si>
  <si>
    <t>N/A</t>
  </si>
  <si>
    <t>Deputy Manager</t>
  </si>
  <si>
    <t>Project Leaders</t>
  </si>
  <si>
    <t>Care Staff - Regular</t>
  </si>
  <si>
    <t>Care Staff - Waking Night</t>
  </si>
  <si>
    <t>Care Staff - Senior</t>
  </si>
  <si>
    <t>Care Staff - Sleep-in</t>
  </si>
  <si>
    <t>Administrative Officer</t>
  </si>
  <si>
    <t>On-call</t>
  </si>
  <si>
    <t>Cleaning</t>
  </si>
  <si>
    <t>Provisions</t>
  </si>
  <si>
    <t>Care Assistant (Senior)</t>
  </si>
  <si>
    <t>Support Workers Support hours</t>
  </si>
  <si>
    <t>Care Coordinators Office Rate</t>
  </si>
  <si>
    <t>Care Coordinators Oncall Rate Per Call</t>
  </si>
  <si>
    <t>HR</t>
  </si>
  <si>
    <t>Finance</t>
  </si>
  <si>
    <t>Training</t>
  </si>
  <si>
    <t>Staff Accomodation &amp; Welfare</t>
  </si>
  <si>
    <t>Printing Postage &amp; Stationary</t>
  </si>
  <si>
    <t>Accountancy &amp; Other Admin Cost</t>
  </si>
  <si>
    <t>Purchases</t>
  </si>
  <si>
    <t>Other manager Senior</t>
  </si>
  <si>
    <t>Other manager Team Leader</t>
  </si>
  <si>
    <t>Support Worker</t>
  </si>
  <si>
    <t>Support Worker NVQ2</t>
  </si>
  <si>
    <t>Administrative Officer full time</t>
  </si>
  <si>
    <t xml:space="preserve">Administrative Officer part time </t>
  </si>
  <si>
    <t xml:space="preserve">Other staff maintenance part time </t>
  </si>
  <si>
    <t>Care Assistant (MHRW)</t>
  </si>
  <si>
    <t>Other staff (Concierge)</t>
  </si>
  <si>
    <t>Other - Staff Welfare</t>
  </si>
  <si>
    <t>Other - Other Expenditures</t>
  </si>
  <si>
    <t>Other - (Health &amp; Safety C19)</t>
  </si>
  <si>
    <t>Care Assistant (Band 2)</t>
  </si>
  <si>
    <t>Care Assistant (Band 3)</t>
  </si>
  <si>
    <t>Senior Care Assistant (Ami)</t>
  </si>
  <si>
    <t>Care Administrator (Sophie)</t>
  </si>
  <si>
    <t>Trainee Care Administrator</t>
  </si>
  <si>
    <t>Other staff (Nurse)</t>
  </si>
  <si>
    <t>Office Manager</t>
  </si>
  <si>
    <t>Care Co-Ordinator</t>
  </si>
  <si>
    <t>Senior Care Staff</t>
  </si>
  <si>
    <t xml:space="preserve">Care Assistant </t>
  </si>
  <si>
    <t>Care Assistant (Bank Staff)</t>
  </si>
  <si>
    <t>Vehicle running costs</t>
  </si>
  <si>
    <t>PPS</t>
  </si>
  <si>
    <t>Managing Director</t>
  </si>
  <si>
    <t>Childrens Service Lead</t>
  </si>
  <si>
    <t>Training Manager</t>
  </si>
  <si>
    <t>Support Assistant</t>
  </si>
  <si>
    <t>Training Coordinator</t>
  </si>
  <si>
    <t>Recruitment Officer</t>
  </si>
  <si>
    <t>UKHCA</t>
  </si>
  <si>
    <t>office stationery</t>
  </si>
  <si>
    <t>Registered Nurse</t>
  </si>
  <si>
    <t>Senior Care Coordinator</t>
  </si>
  <si>
    <t>Care Coordinator</t>
  </si>
  <si>
    <t xml:space="preserve">Recruitment consulatant </t>
  </si>
  <si>
    <t>Apprentice</t>
  </si>
  <si>
    <t>Cleaner</t>
  </si>
  <si>
    <t>Accounts Manager</t>
  </si>
  <si>
    <t>Support Manager</t>
  </si>
  <si>
    <t>Care Assistant (Over 23)</t>
  </si>
  <si>
    <t>Care Assistant (Under 23)</t>
  </si>
  <si>
    <t>Support Worker (Grade 1)</t>
  </si>
  <si>
    <t>Support Worker (Grade 2)</t>
  </si>
  <si>
    <t>Human Resources Administator</t>
  </si>
  <si>
    <t>Domestic Cleaner</t>
  </si>
  <si>
    <t>Maintenance Worker</t>
  </si>
  <si>
    <t>Senior Care Worker</t>
  </si>
  <si>
    <t>Senior Support Worker</t>
  </si>
  <si>
    <t>Support Team Leader</t>
  </si>
  <si>
    <t>DBS checks</t>
  </si>
  <si>
    <t>Accountancy fees</t>
  </si>
  <si>
    <t>Legal and Professional fees</t>
  </si>
  <si>
    <t>Other manager (specify)  Deputy Mgr</t>
  </si>
  <si>
    <t xml:space="preserve">Other manager (specify)  </t>
  </si>
  <si>
    <t>Care Assistant (specify)  team leader</t>
  </si>
  <si>
    <t>Care Assistant (specify) team leader</t>
  </si>
  <si>
    <t>Care Assistant (specify) senior carers</t>
  </si>
  <si>
    <t>Administrative Officer   (Finance)</t>
  </si>
  <si>
    <t>Other - please specify  Transport</t>
  </si>
  <si>
    <t>Other - please specify  Accountancy</t>
  </si>
  <si>
    <t>Walsall</t>
  </si>
  <si>
    <t>Compliance Manager</t>
  </si>
  <si>
    <t>Trainee Care Coordinator</t>
  </si>
  <si>
    <t>Internal Recruiter</t>
  </si>
  <si>
    <t>Finance Admin</t>
  </si>
  <si>
    <t>Care Assistant (BAND 1)</t>
  </si>
  <si>
    <t>Care Assistant (BAND 2)</t>
  </si>
  <si>
    <t>Care Assistant (BAND 3)</t>
  </si>
  <si>
    <t>Death in Service</t>
  </si>
  <si>
    <t>Stationery</t>
  </si>
  <si>
    <t>Care Assistant (carers)</t>
  </si>
  <si>
    <t>Care Assistant (senior carers)</t>
  </si>
  <si>
    <t>Administrative Officer (co-ordinator)</t>
  </si>
  <si>
    <t>Administrative Officer (office assistants)</t>
  </si>
  <si>
    <t>Other manager (quality)</t>
  </si>
  <si>
    <t>Care Assistant (worker)</t>
  </si>
  <si>
    <t>Administrative Officer (accounts)</t>
  </si>
  <si>
    <t>Administrative Officer (admin)</t>
  </si>
  <si>
    <t>Other staff (apprentice)</t>
  </si>
  <si>
    <t>Other staff (recruitment/office)</t>
  </si>
  <si>
    <t>Furniture &amp; Equipment</t>
  </si>
  <si>
    <t>Office Related Costs</t>
  </si>
  <si>
    <t>Other manager (Training Manager)</t>
  </si>
  <si>
    <t>Other manager (Quality Compliance Manager)</t>
  </si>
  <si>
    <t>Other manager (Finance Manager)</t>
  </si>
  <si>
    <t>Care Assistant (Healthcare Assistant)</t>
  </si>
  <si>
    <t>Care Assistant (Nightcare Assistant)</t>
  </si>
  <si>
    <t>Care Assistant (Live In Care: Per Week)</t>
  </si>
  <si>
    <t>Care Assistant (Complex Care Assistant)</t>
  </si>
  <si>
    <t>Administrative Officer (HR)</t>
  </si>
  <si>
    <t>Administrative Officer (Finance)</t>
  </si>
  <si>
    <t>Administrative Officer (Apprenticeships)</t>
  </si>
  <si>
    <t>Other staff (Care Co-ordinator)</t>
  </si>
  <si>
    <t>Other staff (Team Leader)</t>
  </si>
  <si>
    <t>Other staff (Senior Carer)</t>
  </si>
  <si>
    <t>Other - Software</t>
  </si>
  <si>
    <t>Basic Grade Support Staff</t>
  </si>
  <si>
    <t>Senior Support Staff</t>
  </si>
  <si>
    <t>Team Leaders</t>
  </si>
  <si>
    <t>Admn support</t>
  </si>
  <si>
    <t>Printing, Postage &amp; stationary</t>
  </si>
  <si>
    <t>Commission on placement</t>
  </si>
  <si>
    <t>Admin Support</t>
  </si>
  <si>
    <t>Care Assistant (specify) Senior</t>
  </si>
  <si>
    <t xml:space="preserve">Care Assistant (specify) </t>
  </si>
  <si>
    <t>Other staff (specify) cleaner</t>
  </si>
  <si>
    <t>Other staff (specify) Maintenance</t>
  </si>
  <si>
    <t>Care Administrator</t>
  </si>
  <si>
    <t>Domestics</t>
  </si>
  <si>
    <t>Occupational Health</t>
  </si>
  <si>
    <t>Cleaning materials</t>
  </si>
  <si>
    <t>Stationeries and office costa</t>
  </si>
  <si>
    <t>Other manager Service Managers</t>
  </si>
  <si>
    <t>Care Assistant - Team Leader</t>
  </si>
  <si>
    <t>Care Assistant - Support Worker</t>
  </si>
  <si>
    <t>Other manager - Project Manager</t>
  </si>
  <si>
    <t>Both</t>
  </si>
  <si>
    <t>Hayley Deaves</t>
  </si>
  <si>
    <t>Head of Bids &amp; Tendering</t>
  </si>
  <si>
    <t>Nursing staff (please specify)</t>
  </si>
  <si>
    <t>Total</t>
  </si>
  <si>
    <t>Co-ordinator</t>
  </si>
  <si>
    <t>Field Care Supervisor</t>
  </si>
  <si>
    <t>Accounting costs</t>
  </si>
  <si>
    <t>Accounting / invoices sotware licences</t>
  </si>
  <si>
    <t>Care Assistant senior</t>
  </si>
  <si>
    <t>Administrative Officer co-ordinator</t>
  </si>
  <si>
    <t>Other - stationary</t>
  </si>
  <si>
    <t>Recruitment, Training &amp; Invoicing Manager                13.00</t>
  </si>
  <si>
    <t>Administrative Assistant</t>
  </si>
  <si>
    <t>Other - Royalty fees</t>
  </si>
  <si>
    <t>Other - private medical insurance</t>
  </si>
  <si>
    <t>Other - Accountancy, Legal &amp; Professional</t>
  </si>
  <si>
    <t>Other - Sundry</t>
  </si>
  <si>
    <t>Other manager (care coordinator)</t>
  </si>
  <si>
    <t>Care Assistant (Field Coordinator)</t>
  </si>
  <si>
    <t>Care Assistant (Deputy Coordinator)</t>
  </si>
  <si>
    <t>Care Assistant (home supprt carers)</t>
  </si>
  <si>
    <t>Administrative Officer (admin/apprentice)</t>
  </si>
  <si>
    <t>Equipment Leasing</t>
  </si>
  <si>
    <t>Postage, stationery &amp; Adv</t>
  </si>
  <si>
    <t>Telephone costs</t>
  </si>
  <si>
    <t>Senior Registered Manager</t>
  </si>
  <si>
    <t>Operations Director</t>
  </si>
  <si>
    <t>Recruitment Manager</t>
  </si>
  <si>
    <t>Senior Support</t>
  </si>
  <si>
    <t xml:space="preserve">Administrative Officer </t>
  </si>
  <si>
    <t>Finance Office</t>
  </si>
  <si>
    <t>Post , Stationery,  Storage</t>
  </si>
  <si>
    <t>Other - sundry, depreciation enteraining refreshments</t>
  </si>
  <si>
    <t>Other manager (Care)</t>
  </si>
  <si>
    <t>Other manager (Specify)</t>
  </si>
  <si>
    <t>PPE</t>
  </si>
  <si>
    <t>Locality Manager</t>
  </si>
  <si>
    <t>Care Assistant (Days)</t>
  </si>
  <si>
    <t>Care Assistant (Nights)</t>
  </si>
  <si>
    <t>Scheme Manager</t>
  </si>
  <si>
    <t>Other manager (clinical lead)</t>
  </si>
  <si>
    <t>Care Assistant (Co-ordinator)</t>
  </si>
  <si>
    <t>Care Assistant (PA)</t>
  </si>
  <si>
    <t>Administrative Officer (Home Admin)</t>
  </si>
  <si>
    <t>Administrative Officer (Book keeper)</t>
  </si>
  <si>
    <t>Other staff (Cleaners)</t>
  </si>
  <si>
    <t>Finane Manager</t>
  </si>
  <si>
    <t>London Branch</t>
  </si>
  <si>
    <t>Care Coordinators</t>
  </si>
  <si>
    <t>Admin staff</t>
  </si>
  <si>
    <t>HR Staff-Apprenticship</t>
  </si>
  <si>
    <t>Table Stationery</t>
  </si>
  <si>
    <t>Travel expenses</t>
  </si>
  <si>
    <t>Consultancy fee</t>
  </si>
  <si>
    <t>Service Manager</t>
  </si>
  <si>
    <t>Service Co-ordinator</t>
  </si>
  <si>
    <t>HR Manager</t>
  </si>
  <si>
    <t>Other manager (Finance)</t>
  </si>
  <si>
    <t>Other manager (General)</t>
  </si>
  <si>
    <t>Care Assistant (NVQ2)</t>
  </si>
  <si>
    <t>Care Assistant (Non NVQ 2)</t>
  </si>
  <si>
    <t>Administrative Officer (Reception)</t>
  </si>
  <si>
    <t>Administrative Officer (Payroll)</t>
  </si>
  <si>
    <t>Other overheads - Proportion of Central Support admin and office costs</t>
  </si>
  <si>
    <t>Other overheads - Proportion of Audit Fees, Bad Debts &amp; Bank Charges</t>
  </si>
  <si>
    <t>Care Assistant (specify) - Day</t>
  </si>
  <si>
    <t>Care Assistant (specify) - Night</t>
  </si>
  <si>
    <t>Care Assistant (specify) - Senior</t>
  </si>
  <si>
    <t>Care Assistant (Band 2 )</t>
  </si>
  <si>
    <t>Care Assistant (Band 3 )</t>
  </si>
  <si>
    <t>General Manager</t>
  </si>
  <si>
    <t>Care Assistant - Senior</t>
  </si>
  <si>
    <t>Administrative Officer - Care</t>
  </si>
  <si>
    <t>Administrative Officer - Finance</t>
  </si>
  <si>
    <t>Berkshire</t>
  </si>
  <si>
    <t>Care Worker</t>
  </si>
  <si>
    <t>Voids</t>
  </si>
  <si>
    <t>Training Costs (inc App Levy/Room Hire/External Trainer fees)</t>
  </si>
  <si>
    <t>All other Head Office Costs</t>
  </si>
  <si>
    <t>dd/mm/yyyy</t>
  </si>
  <si>
    <t>Support Worker vacancy</t>
  </si>
  <si>
    <t>Scheme Depreciation</t>
  </si>
  <si>
    <t>Servicing contracts</t>
  </si>
  <si>
    <t>Up to 20  (4 in situe )</t>
  </si>
  <si>
    <t>Assistant Team Leader</t>
  </si>
  <si>
    <t>Admin Worker</t>
  </si>
  <si>
    <t>Scheme Servicing contracts eg launry, fire detection, legionella</t>
  </si>
  <si>
    <t>Assistant Service Manager</t>
  </si>
  <si>
    <t>Vacant Hours</t>
  </si>
  <si>
    <t>Servicing costs e.g. grounds maintenance, window cleaning, laundry</t>
  </si>
  <si>
    <t>Up to 4 (3 in situe 1 void)</t>
  </si>
  <si>
    <t xml:space="preserve">Support Worker vacant </t>
  </si>
  <si>
    <t>Servicing contracts eg laundry, grnds maint, legionella testing</t>
  </si>
  <si>
    <t>4 (3 in situe 1 void)</t>
  </si>
  <si>
    <t>Support Workers vacancy</t>
  </si>
  <si>
    <t>Administrative Worker</t>
  </si>
  <si>
    <t>Servicing contracts eg fire detection, laundry, legionella testing</t>
  </si>
  <si>
    <t>Care Co-ordinator</t>
  </si>
  <si>
    <t>Senior Personal Assistant</t>
  </si>
  <si>
    <t>Personal Assistant (Days)</t>
  </si>
  <si>
    <t>Personal Assistant (Waking Night)</t>
  </si>
  <si>
    <t>Sleep-In Rate</t>
  </si>
  <si>
    <t>Admin Officer</t>
  </si>
  <si>
    <t>Rates &amp; Hospitality</t>
  </si>
  <si>
    <t>Central support Services other than finance, HR, Payroll &amp; Legal</t>
  </si>
  <si>
    <t>Senior Care Co-ordinator</t>
  </si>
  <si>
    <t>Care Assistant 0 Hours</t>
  </si>
  <si>
    <t>Care Assistant Contracted</t>
  </si>
  <si>
    <t>Other - please specify Tops Medics (Gloves etc)</t>
  </si>
  <si>
    <t xml:space="preserve">Stationery </t>
  </si>
  <si>
    <t>Petty Cash</t>
  </si>
  <si>
    <t>Other manager (Team Leader)</t>
  </si>
  <si>
    <t>Other staff (specify)APPRENTICE</t>
  </si>
  <si>
    <t>Care Assistant (Lead)</t>
  </si>
  <si>
    <t>Quality Manager</t>
  </si>
  <si>
    <t>Opersations Manager</t>
  </si>
  <si>
    <t>PBS Manager</t>
  </si>
  <si>
    <t>Care Assistant (support)</t>
  </si>
  <si>
    <t>Care Assistant - Team leader</t>
  </si>
  <si>
    <t>Other manager (Quality Assurance Manager)</t>
  </si>
  <si>
    <t>Other manager (Financial Manager)</t>
  </si>
  <si>
    <t>Care Assistant (Grade 2)</t>
  </si>
  <si>
    <t>Care Assistant (Grade 3)</t>
  </si>
  <si>
    <t>Care Assistant (Seniour Grade 3)</t>
  </si>
  <si>
    <t>Care Assistant (Seniour Carer)</t>
  </si>
  <si>
    <t>Administrative Officer (Band 1 or 2)</t>
  </si>
  <si>
    <t>Administrative Officer (Band 3)</t>
  </si>
  <si>
    <t>Administrative Officer (Band 4)</t>
  </si>
  <si>
    <t>Restructuring costs</t>
  </si>
  <si>
    <t>Operations Manager</t>
  </si>
  <si>
    <t>Head Of Finance</t>
  </si>
  <si>
    <t>Care Assistant days</t>
  </si>
  <si>
    <t>Care Assistant nights</t>
  </si>
  <si>
    <t>Senior Care</t>
  </si>
  <si>
    <t>Other - Care scheme charges</t>
  </si>
  <si>
    <t>Senior Care Assistant</t>
  </si>
  <si>
    <t>Handyman</t>
  </si>
  <si>
    <t>Domestic assistant</t>
  </si>
  <si>
    <t>Office costs &amp; Supplies</t>
  </si>
  <si>
    <t>Other property costs</t>
  </si>
  <si>
    <t>Local Authority</t>
  </si>
  <si>
    <t>Dudley</t>
  </si>
  <si>
    <t>Number of clients (banded)</t>
  </si>
  <si>
    <t>Registered manager: Current 2021/22 Minimum hourly pay rate ADJUSTED</t>
  </si>
  <si>
    <t>Registered manager: Current 2021/22 Maximum hourly pay rate ADJUSTED</t>
  </si>
  <si>
    <t>Registered manager: Previous 2020/21 Minimum hourly pay rate ADJUSTED</t>
  </si>
  <si>
    <t>Registered manager: Previous 2020/21 Maximum hourly pay rate ADJUSTED</t>
  </si>
  <si>
    <t>Deputy manager: Current 2021/22 Minimum hourly pay rate ADJUSTED</t>
  </si>
  <si>
    <t>Deputy manager: Current 2021/22 Maximum hourly pay rate ADJUSTED</t>
  </si>
  <si>
    <t>Deputy manager: Previous 2020/21 Minimum hourly pay rate ADJUSTED</t>
  </si>
  <si>
    <t>Deputy manager: Previous 2020/21 Maximum hourly pay rate ADJUSTED</t>
  </si>
  <si>
    <t>Other manager 1: Current 2021/22 Minimum hourly pay rate ADJUSTED</t>
  </si>
  <si>
    <t>Other manager 1: Current 2021/22 Maximum hourly pay rate ADJUSTED</t>
  </si>
  <si>
    <t>Other manager 1: Previous 2020/21 Minimum hourly pay rate ADJUSTED</t>
  </si>
  <si>
    <t>Other manager 1: Previous 2020/21 Maximum hourly pay rate ADJUSTED</t>
  </si>
  <si>
    <t>Other manager 2: Current 2021/22 Minimum hourly pay rate ADJUSTED</t>
  </si>
  <si>
    <t>Other manager 2: Current 2021/22 Maximum hourly pay rate ADJUSTED</t>
  </si>
  <si>
    <t>Other manager 2: Previous 2020/21 Minimum hourly pay rate ADJUSTED</t>
  </si>
  <si>
    <t>Other manager 2: Previous 2020/21 Maximum hourly pay rate ADJUSTED</t>
  </si>
  <si>
    <t>Other manager 3: Current 2021/22 Minimum hourly pay rate ADJUSTED</t>
  </si>
  <si>
    <t>Other manager 3: Current 2021/22 Maximum hourly pay rate ADJUSTED</t>
  </si>
  <si>
    <t>Other manager 3: Previous 2020/21 Minimum hourly pay rate ADJUSTED</t>
  </si>
  <si>
    <t>Other manager 3: Previous 2020/21 Maximum hourly pay rate ADJUSTED</t>
  </si>
  <si>
    <t>Care Assistant 1: Current 2021/22 Minimum hourly pay rate ADJUSTED</t>
  </si>
  <si>
    <t>Care Assistant 1: Current 2021/22 Maximum hourly pay rate ADJUSTED</t>
  </si>
  <si>
    <t>Care Assistant 1: Previous 2020/21 Minimum hourly pay rate ADJUSTED</t>
  </si>
  <si>
    <t>Care Assistant 1: Previous 2020/21 Maximum hourly pay rate ADJUSTED</t>
  </si>
  <si>
    <t>Care Assistant 2: Current 2021/22 Minimum hourly pay rate ADJUSTED</t>
  </si>
  <si>
    <t>Care Assistant 2: Current 2021/22 Maximum hourly pay rate ADJUSTED</t>
  </si>
  <si>
    <t>Care Assistant 2: Previous 2020/21 Minimum hourly pay rate ADJUSTED</t>
  </si>
  <si>
    <t>Care Assistant 2: Previous 2020/21 Maximum hourly pay rate ADJUSTED</t>
  </si>
  <si>
    <t>Care Assistant 3: Current 2021/22 Minimum hourly pay rate ADJUSTED</t>
  </si>
  <si>
    <t>Care Assistant 3: Current 2021/22 Maximum hourly pay rate ADJUSTED</t>
  </si>
  <si>
    <t>Care Assistant 3: Previous 2020/21 Minimum hourly pay rate ADJUSTED</t>
  </si>
  <si>
    <t>Care Assistant 3: Previous 2020/21 Maximum hourly pay rate ADJUSTED</t>
  </si>
  <si>
    <t>Care Assistant 4: Current 2021/22 Minimum hourly pay rate ADJUSTED</t>
  </si>
  <si>
    <t>Care Assistant 4: Current 2021/22 Maximum hourly pay rate ADJUSTED</t>
  </si>
  <si>
    <t>Care Assistant 4: Previous 2020/21 Minimum hourly pay rate ADJUSTED</t>
  </si>
  <si>
    <t>Care Assistant 4: Previous 2020/21 Maximum hourly pay rate ADJUSTED</t>
  </si>
  <si>
    <t>Administrative Officer 1: Current 2021/22 Minimum hourly pay rate ADJUSTED</t>
  </si>
  <si>
    <t>Administrative Officer 1: Current 2021/22 Maximum hourly pay rate ADJUSTED</t>
  </si>
  <si>
    <t>Administrative Officer 1: Previous 2020/21 Minimum hourly pay rate ADJUSTED</t>
  </si>
  <si>
    <t>Administrative Officer 1: Previous 2020/21 Maximum hourly pay rate ADJUSTED</t>
  </si>
  <si>
    <t>Administrative Officer 2: Current 2021/22 Minimum hourly pay rate ADJUSTED</t>
  </si>
  <si>
    <t>Administrative Officer 2: Current 2021/22 Maximum hourly pay rate ADJUSTED</t>
  </si>
  <si>
    <t>Administrative Officer 2: Previous 2020/21 Minimum hourly pay rate ADJUSTED</t>
  </si>
  <si>
    <t>Administrative Officer 2: Previous 2020/21 Maximum hourly pay rate ADJUSTED</t>
  </si>
  <si>
    <t>Administrative Officer 3: Current 2021/22 Minimum hourly pay rate ADJUSTED</t>
  </si>
  <si>
    <t>Administrative Officer 3: Current 2021/22 Maximum hourly pay rate ADJUSTED</t>
  </si>
  <si>
    <t>Administrative Officer 3: Previous 2020/21 Minimum hourly pay rate ADJUSTED</t>
  </si>
  <si>
    <t>Administrative Officer 3: Previous 2020/21 Maximum hourly pay rate ADJUSTED</t>
  </si>
  <si>
    <t>Other staff 1: Current 2021/22 Minimum hourly pay rate ADJUSTED</t>
  </si>
  <si>
    <t>Other staff 1: Current 2021/22 Maximum hourly pay rate ADJUSTED</t>
  </si>
  <si>
    <t>Other staff 1: Previous 2020/21 Minimum hourly pay rate ADJUSTED</t>
  </si>
  <si>
    <t>Other staff 1: Previous 2020/21 Maximum hourly pay rate ADJUSTED</t>
  </si>
  <si>
    <t>Other staff 2: Current 2021/22 Minimum hourly pay rate ADJUSTED</t>
  </si>
  <si>
    <t>Other staff 2: Current 2021/22 Maximum hourly pay rate ADJUSTED</t>
  </si>
  <si>
    <t>Other staff 2: Previous 2020/21 Minimum hourly pay rate ADJUSTED</t>
  </si>
  <si>
    <t>Other staff 2: Previous 2020/21 Maximum hourly pay rate ADJUSTED</t>
  </si>
  <si>
    <t>Other staff 3: Current 2021/22 Minimum hourly pay rate ADJUSTED</t>
  </si>
  <si>
    <t>Other staff 3: Current 2021/22 Maximum hourly pay rate ADJUSTED</t>
  </si>
  <si>
    <t>Other staff 3: Previous 2020/21 Minimum hourly pay rate ADJUSTED</t>
  </si>
  <si>
    <t>Other staff 3: Previous 2020/21 Maximum hourly pay rate ADJUSTED</t>
  </si>
  <si>
    <t>Total FTE Management Employees</t>
  </si>
  <si>
    <t>Total FTE Care Employees</t>
  </si>
  <si>
    <t>Total FTE Admin Employees</t>
  </si>
  <si>
    <t>Total FTE employees</t>
  </si>
  <si>
    <t>Row Labels</t>
  </si>
  <si>
    <t>Grand Total</t>
  </si>
  <si>
    <t>Leicester</t>
  </si>
  <si>
    <t>Majority Service Type</t>
  </si>
  <si>
    <t>Total Home Support Hours</t>
  </si>
  <si>
    <t>Total Supported Living Hours</t>
  </si>
  <si>
    <t>20/21:</t>
  </si>
  <si>
    <t>21/22:</t>
  </si>
  <si>
    <t>Max wage</t>
  </si>
  <si>
    <t>National Living Wage</t>
  </si>
  <si>
    <t>21-22 Year Old Rate</t>
  </si>
  <si>
    <t>18-20 Year Old Rate</t>
  </si>
  <si>
    <t>16-17 Year Old Rate</t>
  </si>
  <si>
    <t>Apprentice Rate</t>
  </si>
  <si>
    <t>20/21</t>
  </si>
  <si>
    <t>21/22</t>
  </si>
  <si>
    <t>Minimum Wage Levels</t>
  </si>
  <si>
    <t>All Managers total hourly pay Previous 2020/21 Minimum</t>
  </si>
  <si>
    <t>All Managers total hourly pay Previous 2020/21 Maximum</t>
  </si>
  <si>
    <t>All Managers total hourly pay Current 2021/22 Minimum</t>
  </si>
  <si>
    <t>All Managers total hourly pay Current 2021/22 Maximum</t>
  </si>
  <si>
    <t>Any costs entered?</t>
  </si>
  <si>
    <t>Recruitment &amp; advertising (including DBS checks) HOURLY RATE</t>
  </si>
  <si>
    <t>Training expenses (fees, facilities, travel and materials) HOURLY RATE</t>
  </si>
  <si>
    <t>Care consumables &amp; uniforms HOURLY RATE</t>
  </si>
  <si>
    <t>Electronic call monitoring HOURLY RATE</t>
  </si>
  <si>
    <t>IT Equipment &amp; Telephoney HOURLY RATE</t>
  </si>
  <si>
    <t>Non-Staffing Direct Cost: Other  - please specify (amount) HOURLY RATE</t>
  </si>
  <si>
    <t>Non-Staffing Direct Cost: Other  - please specify (amount) 2 HOURLY RATE</t>
  </si>
  <si>
    <t>Insurance  HOURLY RATE</t>
  </si>
  <si>
    <t>Utilities (gas, oil, electricity, water, internet, rates) HOURLY RATE</t>
  </si>
  <si>
    <t>Repairs and maintenance HOURLY RATE</t>
  </si>
  <si>
    <t>Property cost relating to  rent/mortgage/lease/loan etc HOURLY RATE</t>
  </si>
  <si>
    <t>Registration &amp; Inspection fees  HOURLY RATE</t>
  </si>
  <si>
    <t>Subscriptions HOURLY RATE</t>
  </si>
  <si>
    <t>Cost of finance HOURLY RATE</t>
  </si>
  <si>
    <t>Other non-staff current expenses HOURLY RATE</t>
  </si>
  <si>
    <t>Indirect costs: Other  - please specify (amount) 2 HOURLY RATE</t>
  </si>
  <si>
    <t>Central / Regional Management HOURLY RATE</t>
  </si>
  <si>
    <t>Support Services (finance / HR / Payroll / legal etc.) HOURLY RATE</t>
  </si>
  <si>
    <t>TRUE</t>
  </si>
  <si>
    <t>Direct Staffing</t>
  </si>
  <si>
    <t>Management staff</t>
  </si>
  <si>
    <t>Care and Support staff</t>
  </si>
  <si>
    <t>Other staff</t>
  </si>
  <si>
    <t>Agency staff</t>
  </si>
  <si>
    <t>Travel Time</t>
  </si>
  <si>
    <t>Training and development</t>
  </si>
  <si>
    <t>Other Non-Staffing Direct Cost 1</t>
  </si>
  <si>
    <t>Other Non-Staffing Direct Cost 2</t>
  </si>
  <si>
    <t>Other Indirect Costs 1</t>
  </si>
  <si>
    <t>Other Indirect Costs 2</t>
  </si>
  <si>
    <t>Other Overheads 1</t>
  </si>
  <si>
    <t>Other Overheads 2</t>
  </si>
  <si>
    <t>Non-direct Staffing</t>
  </si>
  <si>
    <t>Indirect Costs</t>
  </si>
  <si>
    <t>Overhead Costs</t>
  </si>
  <si>
    <t>Cost Type</t>
  </si>
  <si>
    <t>Cost Grouping</t>
  </si>
  <si>
    <t>Management staff HOURLY RATE</t>
  </si>
  <si>
    <t>Care and Support staff HOURLY RATE</t>
  </si>
  <si>
    <t>Administration HOURLY RATE</t>
  </si>
  <si>
    <t>Other staff HOURLY RATE</t>
  </si>
  <si>
    <t>Agency staff HOURLY RATE</t>
  </si>
  <si>
    <t>Travel Cost HOURLY RATE</t>
  </si>
  <si>
    <t>Travel Time HOURLY RATE</t>
  </si>
  <si>
    <t>Training and development HOURLY RATE</t>
  </si>
  <si>
    <t>Travel Cost</t>
  </si>
  <si>
    <t>Corporate Overheads: Other  - please specify (amount) 2 HOURLY RATE</t>
  </si>
  <si>
    <t>Corporate Overheads: Other  - please specify (amount) 1</t>
  </si>
  <si>
    <t>Corporate Overheads: Other  - please specify (amount) 2</t>
  </si>
  <si>
    <t>Indirect costs: Other  - please specify (category) 1</t>
  </si>
  <si>
    <t>Corporate Overheads: Other  - please specify (category) 1</t>
  </si>
  <si>
    <t>Corporate Overheads: Other  - please specify (amount) 1 HOURLY RATE</t>
  </si>
  <si>
    <t>Indirect costs: Other  - please specify (amount) 1 HOURLY RATE</t>
  </si>
  <si>
    <t>Indirect costs: Other 1 - please specify (category)</t>
  </si>
  <si>
    <t>Indirect costs: Other 1 - please specify (amount)</t>
  </si>
  <si>
    <t>Indirect costs: Other 2 - please specify (category)</t>
  </si>
  <si>
    <t>Indirect costs: Other 2 - please specify (amount)</t>
  </si>
  <si>
    <t>Indirect costs: Other  - please specify (amount) 1</t>
  </si>
  <si>
    <t>Values</t>
  </si>
  <si>
    <t>Cost Type 2</t>
  </si>
  <si>
    <t>Cost Category</t>
  </si>
  <si>
    <t>Percentage</t>
  </si>
  <si>
    <t>Net Operating Profit HOURLY RATE</t>
  </si>
  <si>
    <t>Return on Capital Employed HOURLY RATE</t>
  </si>
  <si>
    <t>PBS support worker</t>
  </si>
  <si>
    <t>PBS team leader</t>
  </si>
  <si>
    <t>Clinical governance lead</t>
  </si>
  <si>
    <t xml:space="preserve">PBS regional </t>
  </si>
  <si>
    <t>OT</t>
  </si>
  <si>
    <t>Other - please specify subscriptions</t>
  </si>
  <si>
    <t>Other manager Office</t>
  </si>
  <si>
    <t>Care Assistant/driver/team leader</t>
  </si>
  <si>
    <t>Care Assistant/ team leader</t>
  </si>
  <si>
    <t>Care Assistant /driver</t>
  </si>
  <si>
    <t>Total Direct Staffing Costs</t>
  </si>
  <si>
    <t>Total Non-direct staffing costs</t>
  </si>
  <si>
    <t>Total Indirect Costs</t>
  </si>
  <si>
    <t>Total Overheads</t>
  </si>
  <si>
    <t>Reference Number</t>
  </si>
  <si>
    <t>Region</t>
  </si>
  <si>
    <t>Outside of West Midlands</t>
  </si>
  <si>
    <t>Locations</t>
  </si>
  <si>
    <t>Total number of clients</t>
  </si>
  <si>
    <t>Number of Clients</t>
  </si>
  <si>
    <t>Category</t>
  </si>
  <si>
    <t>Min of Number of supported living clients:</t>
  </si>
  <si>
    <t>Any home support clients?</t>
  </si>
  <si>
    <t>Any supported living clients?</t>
  </si>
  <si>
    <t>Average of Number of supported living clients:</t>
  </si>
  <si>
    <t>Max of Number of supported living clients:</t>
  </si>
  <si>
    <t>Total Home Support</t>
  </si>
  <si>
    <t>Average Home Support</t>
  </si>
  <si>
    <t>Max Home Support</t>
  </si>
  <si>
    <t>Min Home Support</t>
  </si>
  <si>
    <t>Total Supported Living</t>
  </si>
  <si>
    <t>Average</t>
  </si>
  <si>
    <t>Range</t>
  </si>
  <si>
    <t>Average of Total Home Support Hours</t>
  </si>
  <si>
    <t>Max of Total Home Support Hours</t>
  </si>
  <si>
    <t>Min of Total Home Support Hours</t>
  </si>
  <si>
    <t>Any home support hours?</t>
  </si>
  <si>
    <t>Any supported living hours?</t>
  </si>
  <si>
    <t>Average of Total Supported Living Hours</t>
  </si>
  <si>
    <t>Min of Total Supported Living Hours</t>
  </si>
  <si>
    <t>Max of Total Supported Living Hours</t>
  </si>
  <si>
    <t>Number of Care Hours</t>
  </si>
  <si>
    <t>Service type</t>
  </si>
  <si>
    <t>Living Wage 22/23:</t>
  </si>
  <si>
    <t>Minimum Type</t>
  </si>
  <si>
    <t>22/23</t>
  </si>
  <si>
    <t>Living Wage Foundation Rate</t>
  </si>
  <si>
    <t>2020/21</t>
  </si>
  <si>
    <t>2021/22</t>
  </si>
  <si>
    <t>Role</t>
  </si>
  <si>
    <t>Maximum</t>
  </si>
  <si>
    <t>Minimum</t>
  </si>
  <si>
    <t xml:space="preserve"> </t>
  </si>
  <si>
    <t>Managers</t>
  </si>
  <si>
    <t>Care</t>
  </si>
  <si>
    <t>Administrative</t>
  </si>
  <si>
    <t>Average rate paid for agency is zero?</t>
  </si>
  <si>
    <t>Registered Manager FTE earning less than NLW 23yrs 2022/23</t>
  </si>
  <si>
    <t>Deputy Manager FTE earning less than NLW 23yrs 2022/23</t>
  </si>
  <si>
    <t>Other Manager 1 FTE earning less than NLW 23yrs 2022/23</t>
  </si>
  <si>
    <t>Other Manager 2 FTE earning less than NLW 23yrs 2022/23</t>
  </si>
  <si>
    <t>Other Manager 3 FTE earning less than NLW 23yrs 2022/23</t>
  </si>
  <si>
    <t>Care Assistant 1 FTE earning less than NLW 23yrs 2022/23</t>
  </si>
  <si>
    <t>Care Assistant 2 FTE earning less than NLW 23yrs 2022/23</t>
  </si>
  <si>
    <t>Care Assistant 3 FTE earning less than NLW 23yrs 2022/23</t>
  </si>
  <si>
    <t>Care Assistant 4 FTE earning less than NLW 23yrs 2022/23</t>
  </si>
  <si>
    <t>Administrative Officer 1 FTE earning less than NLW 23yrs 2022/23</t>
  </si>
  <si>
    <t>Administrative Officer 2 FTE earning less than NLW 23yrs 2022/23</t>
  </si>
  <si>
    <t>Other staff 1 FTE earning less than NLW 23yrs 2022/23</t>
  </si>
  <si>
    <t>Other staff 2 FTE earning less than NLW 23yrs 2022/23</t>
  </si>
  <si>
    <t>Other staff 3 FTE earning less than NLW 23yrs 2022/23</t>
  </si>
  <si>
    <t>Total Staff FTE earning less than NLW 23yrs 2022/23</t>
  </si>
  <si>
    <t>Registered Manager amount less less than NLW 23yrs 2022/23</t>
  </si>
  <si>
    <t>Deputy Manager amount less less than NLW 23yrs 2022/23</t>
  </si>
  <si>
    <t>Other Manager 1 amount less less than NLW 23yrs 2022/23</t>
  </si>
  <si>
    <t>Other Manager 2 amount less less than NLW 23yrs 2022/23</t>
  </si>
  <si>
    <t>Other Manager 3 amount less less than NLW 23yrs 2022/23</t>
  </si>
  <si>
    <t>Care Assistant 1 amount less less than NLW 23yrs 2022/23</t>
  </si>
  <si>
    <t>Care Assistant 2 amount less less than NLW 23yrs 2022/23</t>
  </si>
  <si>
    <t>Care Assistant 3 amount less less than NLW 23yrs 2022/23</t>
  </si>
  <si>
    <t>Care Assistant 4 amount less less than NLW 23yrs 2022/23</t>
  </si>
  <si>
    <t>Administrative Officer 1 amount less less than NLW 23yrs 2022/23</t>
  </si>
  <si>
    <t>Administrative Officer 2 amount less less than NLW 23yrs 2022/23</t>
  </si>
  <si>
    <t>Other staff 1 amount less less than NLW 23yrs 2022/23</t>
  </si>
  <si>
    <t>Other staff 2 amount less less than NLW 23yrs 2022/23</t>
  </si>
  <si>
    <t>Other staff 3 amount less less than NLW 23yrs 2022/23</t>
  </si>
  <si>
    <t>Other Manager 1</t>
  </si>
  <si>
    <t>Other Manager 2</t>
  </si>
  <si>
    <t>Other Manager 3</t>
  </si>
  <si>
    <t>Care Assistant 1</t>
  </si>
  <si>
    <t>Care Assistant 2</t>
  </si>
  <si>
    <t>Care Assistant 3</t>
  </si>
  <si>
    <t>Care Assistant 4</t>
  </si>
  <si>
    <t>Other staff 1</t>
  </si>
  <si>
    <t>Other staff 2</t>
  </si>
  <si>
    <t>Other staff 3</t>
  </si>
  <si>
    <t>Total Staff</t>
  </si>
  <si>
    <t>Job Role</t>
  </si>
  <si>
    <t>FTE staff below NLW</t>
  </si>
  <si>
    <t>Total Amount below NLW</t>
  </si>
  <si>
    <t>Job Category</t>
  </si>
  <si>
    <t>Care Staff</t>
  </si>
  <si>
    <t>Admin Staff</t>
  </si>
  <si>
    <t>Employees</t>
  </si>
  <si>
    <t>Management</t>
  </si>
  <si>
    <t>Admin</t>
  </si>
  <si>
    <t>Employee Type</t>
  </si>
  <si>
    <t>Avg/Locn.</t>
  </si>
  <si>
    <t>Occupancy and Funding</t>
  </si>
  <si>
    <t>Funding Source</t>
  </si>
  <si>
    <t>%</t>
  </si>
  <si>
    <t xml:space="preserve"> Registered Manager amount less less than NLW 23yrs 2022/23</t>
  </si>
  <si>
    <t xml:space="preserve"> Home Support: Birmingham City Council</t>
  </si>
  <si>
    <t xml:space="preserve"> Deputy Manager amount less less than NLW 23yrs 2022/23</t>
  </si>
  <si>
    <t xml:space="preserve"> Home Support: Other Local Authority</t>
  </si>
  <si>
    <t xml:space="preserve"> Other Manager 1 amount less less than NLW 23yrs 2022/23</t>
  </si>
  <si>
    <t xml:space="preserve"> Home Support: NHS</t>
  </si>
  <si>
    <t xml:space="preserve"> Other Manager 2 amount less less than NLW 23yrs 2022/23</t>
  </si>
  <si>
    <t xml:space="preserve"> Home Support: Joint funded (Local Authority and NHS)</t>
  </si>
  <si>
    <t xml:space="preserve"> Other Manager 3 amount less less than NLW 23yrs 2022/23</t>
  </si>
  <si>
    <t xml:space="preserve"> Home Support: Direct Payment or Personal Health Budget</t>
  </si>
  <si>
    <t xml:space="preserve"> Care Assistant 1 amount less less than NLW 23yrs 2022/23</t>
  </si>
  <si>
    <t xml:space="preserve"> Home Support: Self-funded</t>
  </si>
  <si>
    <t xml:space="preserve"> Care Assistant 2 amount less less than NLW 23yrs 2022/23</t>
  </si>
  <si>
    <t xml:space="preserve"> Supported Living: Birmingham City Council</t>
  </si>
  <si>
    <t xml:space="preserve"> Care Assistant 3 amount less less than NLW 23yrs 2022/23</t>
  </si>
  <si>
    <t xml:space="preserve"> Supported Living: Other Local Authority</t>
  </si>
  <si>
    <t xml:space="preserve"> Care Assistant 4 amount less less than NLW 23yrs 2022/23</t>
  </si>
  <si>
    <t xml:space="preserve"> Supported Living: NHS</t>
  </si>
  <si>
    <t xml:space="preserve"> Administrative Officer 1 amount less less than NLW 23yrs 2022/23</t>
  </si>
  <si>
    <t xml:space="preserve"> Supported Living: Joint funded (Local Authority and NHS)</t>
  </si>
  <si>
    <t xml:space="preserve"> Administrative Officer 2 amount less less than NLW 23yrs 2022/23</t>
  </si>
  <si>
    <t xml:space="preserve"> Supported Living: Direct Payment or Personal Health Budget</t>
  </si>
  <si>
    <t xml:space="preserve"> Other staff 1 amount less less than NLW 23yrs 2022/23</t>
  </si>
  <si>
    <t xml:space="preserve"> Supported Living: Self-funded</t>
  </si>
  <si>
    <t xml:space="preserve"> Other staff 2 amount less less than NLW 23yrs 2022/23</t>
  </si>
  <si>
    <t xml:space="preserve"> Other staff 3 amount less less than NLW 23yrs 2022/23</t>
  </si>
  <si>
    <t xml:space="preserve"> Total Supported Living Hours</t>
  </si>
  <si>
    <t>Care Hrs</t>
  </si>
  <si>
    <t xml:space="preserve"> finance </t>
  </si>
  <si>
    <t xml:space="preserve"> Management staff  </t>
  </si>
  <si>
    <t xml:space="preserve"> Care and Support staff  </t>
  </si>
  <si>
    <t xml:space="preserve"> Administration  </t>
  </si>
  <si>
    <t xml:space="preserve"> Other staff  </t>
  </si>
  <si>
    <t xml:space="preserve"> Agency staff  </t>
  </si>
  <si>
    <t xml:space="preserve"> Travel Cost  </t>
  </si>
  <si>
    <t xml:space="preserve"> Travel Time  </t>
  </si>
  <si>
    <t xml:space="preserve"> Training and development  </t>
  </si>
  <si>
    <t xml:space="preserve"> Recruitment &amp; advertising (including DBS checks)  </t>
  </si>
  <si>
    <t xml:space="preserve"> Training expenses (fees, facilities, travel and materials)  </t>
  </si>
  <si>
    <t xml:space="preserve"> Care consumables &amp; uniforms  </t>
  </si>
  <si>
    <t xml:space="preserve"> Electronic call monitoring  </t>
  </si>
  <si>
    <t xml:space="preserve"> IT Equipment &amp; Telephoney  </t>
  </si>
  <si>
    <t xml:space="preserve"> Non-Staffing Direct Cost: Other  - please specify (amount)  </t>
  </si>
  <si>
    <t xml:space="preserve"> Non-Staffing Direct Cost: Other  - please specify (amount) 2  </t>
  </si>
  <si>
    <t xml:space="preserve"> Insurance   </t>
  </si>
  <si>
    <t xml:space="preserve"> Utilities (gas, oil, electricity, water, internet, rates)  </t>
  </si>
  <si>
    <t xml:space="preserve"> Repairs and maintenance  </t>
  </si>
  <si>
    <t xml:space="preserve"> Property cost relating to  rent/mortgage/lease/loan etc  </t>
  </si>
  <si>
    <t xml:space="preserve"> Registration &amp; Inspection fees   </t>
  </si>
  <si>
    <t xml:space="preserve"> Subscriptions  </t>
  </si>
  <si>
    <t xml:space="preserve"> Other non-staff current expenses  </t>
  </si>
  <si>
    <t xml:space="preserve"> Indirect costs: Other  - please specify (amount) 1  </t>
  </si>
  <si>
    <t xml:space="preserve"> Indirect costs: Other  - please specify (amount) 2  </t>
  </si>
  <si>
    <t xml:space="preserve"> Central / Regional Management  </t>
  </si>
  <si>
    <t xml:space="preserve"> Support Services (finance / HR / Payroll / legal etc.)  </t>
  </si>
  <si>
    <t xml:space="preserve"> Corporate Overheads: Other  - please specify (amount) 1  </t>
  </si>
  <si>
    <t xml:space="preserve"> Corporate Overheads: Other  - please specify (amount) 2  </t>
  </si>
  <si>
    <t>Hourly Costs</t>
  </si>
  <si>
    <t>Bsol CCG contract?</t>
  </si>
  <si>
    <t>BCC Contract?</t>
  </si>
  <si>
    <t>Contract Status</t>
  </si>
  <si>
    <t>Neither</t>
  </si>
  <si>
    <t>BCC</t>
  </si>
  <si>
    <t>CCG</t>
  </si>
  <si>
    <t>Number of records:</t>
  </si>
  <si>
    <t>Max of 2021/22 Employer pension contribution rate</t>
  </si>
  <si>
    <t>Min of 2021/22 Employer pension contribution rate</t>
  </si>
  <si>
    <t>Range of employer pension contributions</t>
  </si>
  <si>
    <t>Avg. employer pension contribution</t>
  </si>
  <si>
    <t>Employer Pension Contributions*</t>
  </si>
  <si>
    <t>* Minimum legal pension contribution rate is 3%</t>
  </si>
  <si>
    <t>Hourly Cost</t>
  </si>
  <si>
    <t xml:space="preserve"> Net Operating Profit</t>
  </si>
  <si>
    <t xml:space="preserve"> Return on Capital Employed</t>
  </si>
  <si>
    <t>Hourly Total Direct Staffing Costs</t>
  </si>
  <si>
    <t>Hourly Total Non-direct staffing costs</t>
  </si>
  <si>
    <t>Hourly Total Indirect Costs</t>
  </si>
  <si>
    <t>Hourly Total Overheads</t>
  </si>
  <si>
    <t>Total Costs HOURLY RATE</t>
  </si>
  <si>
    <t>Non-direct staffing</t>
  </si>
  <si>
    <t>Indirect</t>
  </si>
  <si>
    <t>Overheads</t>
  </si>
  <si>
    <t>Percentage of costs: cost category</t>
  </si>
  <si>
    <t>Average Net Operating Profit*</t>
  </si>
  <si>
    <t>*excluding Care Homes that made a loss, or entered zero profit.</t>
  </si>
  <si>
    <t>Average Return on Capital employed</t>
  </si>
  <si>
    <t>Average Original amount of Capital employed</t>
  </si>
  <si>
    <t>Average % return on capital employed</t>
  </si>
  <si>
    <t>Average Charges to Other Organisations</t>
  </si>
  <si>
    <t xml:space="preserve"> Average hourly charge to other local authorities</t>
  </si>
  <si>
    <t xml:space="preserve"> Average hourly charge to self-funders</t>
  </si>
  <si>
    <t xml:space="preserve"> Average hourly charge to NHS</t>
  </si>
  <si>
    <t>Real Living Wage 22/23:</t>
  </si>
  <si>
    <t>Min. Pension Contribution:</t>
  </si>
  <si>
    <t>Avg hourly wage uplift</t>
  </si>
  <si>
    <t>per FTE to reach NLW</t>
  </si>
  <si>
    <t>Registered Manager FTE earning less than RLW 23yrs 2022/23</t>
  </si>
  <si>
    <t>Deputy Manager FTE earning less than RLW 23yrs 2022/23</t>
  </si>
  <si>
    <t>Other Manager 1 FTE earning less than RLW 23yrs 2022/23</t>
  </si>
  <si>
    <t>Other Manager 2 FTE earning less than RLW 23yrs 2022/23</t>
  </si>
  <si>
    <t>Other Manager 3 FTE earning less than RLW 23yrs 2022/23</t>
  </si>
  <si>
    <t>Care Assistant 1 FTE earning less than RLW 23yrs 2022/23</t>
  </si>
  <si>
    <t>Care Assistant 2 FTE earning less than RLW 23yrs 2022/23</t>
  </si>
  <si>
    <t>Care Assistant 3 FTE earning less than RLW 23yrs 2022/23</t>
  </si>
  <si>
    <t>Care Assistant 4 FTE earning less than RLW 23yrs 2022/23</t>
  </si>
  <si>
    <t>Administrative Officer 1 FTE earning less than RLW 23yrs 2022/23</t>
  </si>
  <si>
    <t>Administrative Officer 2 FTE earning less than RLW 23yrs 2022/23</t>
  </si>
  <si>
    <t>Other staff 1 FTE earning less than RLW 23yrs 2022/23</t>
  </si>
  <si>
    <t>Other staff 2 FTE earning less than RLW 23yrs 2022/23</t>
  </si>
  <si>
    <t>Other staff 3 FTE earning less than RLW 23yrs 2022/23</t>
  </si>
  <si>
    <t>Total Staff FTE earning less than RLW 23yrs 2022/23</t>
  </si>
  <si>
    <t>Registered Manager amount less less than RLW 23yrs 2022/23</t>
  </si>
  <si>
    <t>Deputy Manager amount less less than RLW 23yrs 2022/23</t>
  </si>
  <si>
    <t>Other Manager 1 amount less less than RLW 23yrs 2022/23</t>
  </si>
  <si>
    <t>Other Manager 2 amount less less than RLW 23yrs 2022/23</t>
  </si>
  <si>
    <t>Other Manager 3 amount less less than RLW 23yrs 2022/23</t>
  </si>
  <si>
    <t>Care Assistant 1 amount less less than RLW 23yrs 2022/23</t>
  </si>
  <si>
    <t>Care Assistant 2 amount less less than RLW 23yrs 2022/23</t>
  </si>
  <si>
    <t>Care Assistant 3 amount less less than RLW 23yrs 2022/23</t>
  </si>
  <si>
    <t>Care Assistant 4 amount less less than RLW 23yrs 2022/23</t>
  </si>
  <si>
    <t>Administrative Officer 1 amount less less than RLW 23yrs 2022/23</t>
  </si>
  <si>
    <t>Administrative Officer 2 amount less less than RLW 23yrs 2022/23</t>
  </si>
  <si>
    <t>Other staff 1 amount less less than RLW 23yrs 2022/23</t>
  </si>
  <si>
    <t>Other staff 2 amount less less than RLW 23yrs 2022/23</t>
  </si>
  <si>
    <t>Other staff 3 amount less less than RLW 23yrs 2022/23</t>
  </si>
  <si>
    <t>Sum of Total Staff FTE earning less than RLW 23yrs 2022/23</t>
  </si>
  <si>
    <t>Sum of Registered Manager amount less less than RLW 23yrs 2022/23</t>
  </si>
  <si>
    <t>Sum of Deputy Manager amount less less than RLW 23yrs 2022/23</t>
  </si>
  <si>
    <t>Sum of Other Manager 1 amount less less than RLW 23yrs 2022/23</t>
  </si>
  <si>
    <t>Sum of Other Manager 2 amount less less than RLW 23yrs 2022/23</t>
  </si>
  <si>
    <t>Sum of Other Manager 3 amount less less than RLW 23yrs 2022/23</t>
  </si>
  <si>
    <t>Sum of Care Assistant 1 amount less less than RLW 23yrs 2022/23</t>
  </si>
  <si>
    <t>Sum of Care Assistant 2 amount less less than RLW 23yrs 2022/23</t>
  </si>
  <si>
    <t>Sum of Care Assistant 3 amount less less than RLW 23yrs 2022/23</t>
  </si>
  <si>
    <t>Sum of Care Assistant 4 amount less less than RLW 23yrs 2022/23</t>
  </si>
  <si>
    <t>Sum of Administrative Officer 1 amount less less than RLW 23yrs 2022/23</t>
  </si>
  <si>
    <t>Sum of Administrative Officer 2 amount less less than RLW 23yrs 2022/23</t>
  </si>
  <si>
    <t>Sum of Other staff 1 amount less less than RLW 23yrs 2022/23</t>
  </si>
  <si>
    <t>Sum of Other staff 2 amount less less than RLW 23yrs 2022/23</t>
  </si>
  <si>
    <t>Sum of Other staff 3 amount less less than RLW 23yrs 2022/23</t>
  </si>
  <si>
    <t>Sum of Registered Manager FTE earning less than RLW 23yrs 2022/23</t>
  </si>
  <si>
    <t>Sum of Deputy Manager FTE earning less than RLW 23yrs 2022/23</t>
  </si>
  <si>
    <t>Sum of Other Manager 1 FTE earning less than RLW 23yrs 2022/23</t>
  </si>
  <si>
    <t>Sum of Other Manager 2 FTE earning less than RLW 23yrs 2022/23</t>
  </si>
  <si>
    <t>Sum of Other Manager 3 FTE earning less than RLW 23yrs 2022/23</t>
  </si>
  <si>
    <t>Sum of Care Assistant 1 FTE earning less than RLW 23yrs 2022/23</t>
  </si>
  <si>
    <t>Sum of Care Assistant 2 FTE earning less than RLW 23yrs 2022/23</t>
  </si>
  <si>
    <t>Sum of Care Assistant 3 FTE earning less than RLW 23yrs 2022/23</t>
  </si>
  <si>
    <t>Sum of Care Assistant 4 FTE earning less than RLW 23yrs 2022/23</t>
  </si>
  <si>
    <t>Sum of Administrative Officer 1 FTE earning less than RLW 23yrs 2022/23</t>
  </si>
  <si>
    <t>Sum of Administrative Officer 2 FTE earning less than RLW 23yrs 2022/23</t>
  </si>
  <si>
    <t>Sum of Other staff 1 FTE earning less than RLW 23yrs 2022/23</t>
  </si>
  <si>
    <t>Sum of Other staff 2 FTE earning less than RLW 23yrs 2022/23</t>
  </si>
  <si>
    <t>Sum of Other staff 3 FTE earning less than RLW 23yrs 2022/23</t>
  </si>
  <si>
    <t>per FTE to reach RLW</t>
  </si>
  <si>
    <t>Admin Officer 1</t>
  </si>
  <si>
    <t>Admin Officer 2</t>
  </si>
  <si>
    <t>Reg. Manager</t>
  </si>
  <si>
    <t>Main Menu</t>
  </si>
  <si>
    <t>Registered manager: Current 2021/22 Minimum hourly pay rate ADJUSTED X FTE</t>
  </si>
  <si>
    <t>Registered manager: Current 2021/22 Maximum hourly pay rate ADJUSTED X FTE</t>
  </si>
  <si>
    <t>Registered manager: Previous 2020/21 Minimum hourly pay rate ADJUSTED X FTE</t>
  </si>
  <si>
    <t>Registered manager: Previous 2020/21 Maximum hourly pay rate ADJUSTED X FTE</t>
  </si>
  <si>
    <t>Deputy manager: Current 2021/22 Minimum hourly pay rate ADJUSTED X FTE</t>
  </si>
  <si>
    <t>Deputy manager: Current 2021/22 Maximum hourly pay rate ADJUSTED X FTE</t>
  </si>
  <si>
    <t>Deputy manager: Previous 2020/21 Minimum hourly pay rate ADJUSTED X FTE</t>
  </si>
  <si>
    <t>Deputy manager: Previous 2020/21 Maximum hourly pay rate ADJUSTED X FTE</t>
  </si>
  <si>
    <t>Other manager 1: Current 2021/22 Minimum hourly pay rate ADJUSTED X FTE</t>
  </si>
  <si>
    <t>Other manager 1: Current 2021/22 Maximum hourly pay rate ADJUSTED X FTE</t>
  </si>
  <si>
    <t>Other manager 1: Previous 2020/21 Minimum hourly pay rate ADJUSTED X FTE</t>
  </si>
  <si>
    <t>Other manager 1: Previous 2020/21 Maximum hourly pay rate ADJUSTED X FTE</t>
  </si>
  <si>
    <t>Other manager 2: Current 2021/22 Minimum hourly pay rate ADJUSTED X FTE</t>
  </si>
  <si>
    <t>Other manager 2: Current 2021/22 Maximum hourly pay rate ADJUSTED X FTE</t>
  </si>
  <si>
    <t>Other manager 2: Previous 2020/21 Minimum hourly pay rate ADJUSTED X FTE</t>
  </si>
  <si>
    <t>Other manager 2: Previous 2020/21 Maximum hourly pay rate ADJUSTED X FTE</t>
  </si>
  <si>
    <t>Other manager 3: Current 2021/22 Minimum hourly pay rate ADJUSTED X FTE</t>
  </si>
  <si>
    <t>Other manager 3: Current 2021/22 Maximum hourly pay rate ADJUSTED X FTE</t>
  </si>
  <si>
    <t>Other manager 3: Previous 2020/21 Minimum hourly pay rate ADJUSTED X FTE</t>
  </si>
  <si>
    <t>Other manager 3: Previous 2020/21 Maximum hourly pay rate ADJUSTED X FTE</t>
  </si>
  <si>
    <t>Care Assistant 1: Current 2021/22 Minimum hourly pay rate ADJUSTED X FTE</t>
  </si>
  <si>
    <t>Care Assistant 1: Current 2021/22 Maximum hourly pay rate ADJUSTED X FTE</t>
  </si>
  <si>
    <t>Care Assistant 1: Previous 2020/21 Minimum hourly pay rate ADJUSTED X FTE</t>
  </si>
  <si>
    <t>Care Assistant 1: Previous 2020/21 Maximum hourly pay rate ADJUSTED X FTE</t>
  </si>
  <si>
    <t>Care Assistant 2: Current 2021/22 Minimum hourly pay rate ADJUSTED X FTE</t>
  </si>
  <si>
    <t>Care Assistant 2: Current 2021/22 Maximum hourly pay rate ADJUSTED X FTE</t>
  </si>
  <si>
    <t>Care Assistant 2: Previous 2020/21 Minimum hourly pay rate ADJUSTED X FTE</t>
  </si>
  <si>
    <t>Care Assistant 2: Previous 2020/21 Maximum hourly pay rate ADJUSTED X FTE</t>
  </si>
  <si>
    <t>Care Assistant 3: Current 2021/22 Minimum hourly pay rate ADJUSTED X FTE</t>
  </si>
  <si>
    <t>Care Assistant 3: Current 2021/22 Maximum hourly pay rate ADJUSTED X FTE</t>
  </si>
  <si>
    <t>Care Assistant 3: Previous 2020/21 Minimum hourly pay rate ADJUSTED X FTE</t>
  </si>
  <si>
    <t>Care Assistant 3: Previous 2020/21 Maximum hourly pay rate ADJUSTED X FTE</t>
  </si>
  <si>
    <t>Care Assistant 4: Current 2021/22 Minimum hourly pay rate ADJUSTED X FTE</t>
  </si>
  <si>
    <t>Care Assistant 4: Current 2021/22 Maximum hourly pay rate ADJUSTED X FTE</t>
  </si>
  <si>
    <t>Care Assistant 4: Previous 2020/21 Minimum hourly pay rate ADJUSTED X FTE</t>
  </si>
  <si>
    <t>Care Assistant 4: Previous 2020/21 Maximum hourly pay rate ADJUSTED X FTE</t>
  </si>
  <si>
    <t>Administrative Officer 1: Current 2021/22 Minimum hourly pay rate ADJUSTED X FTE</t>
  </si>
  <si>
    <t>Administrative Officer 1: Current 2021/22 Maximum hourly pay rate ADJUSTED X FTE</t>
  </si>
  <si>
    <t>Administrative Officer 1: Previous 2020/21 Minimum hourly pay rate ADJUSTED X FTE</t>
  </si>
  <si>
    <t>Administrative Officer 1: Previous 2020/21 Maximum hourly pay rate ADJUSTED X FTE</t>
  </si>
  <si>
    <t>Administrative Officer 2: Current 2021/22 Minimum hourly pay rate ADJUSTED X FTE</t>
  </si>
  <si>
    <t>Administrative Officer 2: Current 2021/22 Maximum hourly pay rate ADJUSTED X FTE</t>
  </si>
  <si>
    <t>Administrative Officer 2: Previous 2020/21 Minimum hourly pay rate ADJUSTED X FTE</t>
  </si>
  <si>
    <t>Administrative Officer 2: Previous 2020/21 Maximum hourly pay rate ADJUSTED X FTE</t>
  </si>
  <si>
    <t>Administrative Officer 3: Current 2021/22 Minimum hourly pay rate ADJUSTED X FTE</t>
  </si>
  <si>
    <t>Administrative Officer 3: Current 2021/22 Maximum hourly pay rate ADJUSTED X FTE</t>
  </si>
  <si>
    <t>Administrative Officer 3: Previous 2020/21 Minimum hourly pay rate ADJUSTED X FTE</t>
  </si>
  <si>
    <t>Administrative Officer 3: Previous 2020/21 Maximum hourly pay rate ADJUSTED X FTE</t>
  </si>
  <si>
    <t>Other staff 1: Current 2021/22 Minimum hourly pay rate ADJUSTED X FTE</t>
  </si>
  <si>
    <t>Other staff 1: Current 2021/22 Maximum hourly pay rate ADJUSTED X FTE</t>
  </si>
  <si>
    <t>Other staff 1: Previous 2020/21 Minimum hourly pay rate ADJUSTED X FTE</t>
  </si>
  <si>
    <t>Other staff 1: Previous 2020/21 Maximum hourly pay rate ADJUSTED X FTE</t>
  </si>
  <si>
    <t>Other staff 2: Current 2021/22 Minimum hourly pay rate ADJUSTED X FTE</t>
  </si>
  <si>
    <t>Other staff 2: Current 2021/22 Maximum hourly pay rate ADJUSTED X FTE</t>
  </si>
  <si>
    <t>Other staff 2: Previous 2020/21 Minimum hourly pay rate ADJUSTED X FTE</t>
  </si>
  <si>
    <t>Other staff 2: Previous 2020/21 Maximum hourly pay rate ADJUSTED X FTE</t>
  </si>
  <si>
    <t>Other staff 3: Current 2021/22 Minimum hourly pay rate ADJUSTED X FTE</t>
  </si>
  <si>
    <t>Other staff 3: Current 2021/22 Maximum hourly pay rate ADJUSTED X FTE</t>
  </si>
  <si>
    <t>Other staff 3: Previous 2020/21 Minimum hourly pay rate ADJUSTED X FTE</t>
  </si>
  <si>
    <t>Other staff 3: Previous 2020/21 Maximum hourly pay rate ADJUSTED X FTE</t>
  </si>
  <si>
    <t>Sum of Registered manager: Previous 2020/21 Minimum hourly pay rate ADJUSTED X FTE</t>
  </si>
  <si>
    <t>Sum of Deputy manager: Previous 2020/21 Minimum hourly pay rate ADJUSTED X FTE</t>
  </si>
  <si>
    <t>Sum of Other manager 1: Previous 2020/21 Minimum hourly pay rate ADJUSTED X FTE</t>
  </si>
  <si>
    <t>Sum of Other manager 2: Previous 2020/21 Minimum hourly pay rate ADJUSTED X FTE</t>
  </si>
  <si>
    <t>Sum of Other manager 3: Previous 2020/21 Minimum hourly pay rate ADJUSTED X FTE</t>
  </si>
  <si>
    <t>Sum of Care Assistant 1: Previous 2020/21 Minimum hourly pay rate ADJUSTED X FTE</t>
  </si>
  <si>
    <t>Sum of Care Assistant 2: Previous 2020/21 Minimum hourly pay rate ADJUSTED X FTE</t>
  </si>
  <si>
    <t>Sum of Care Assistant 3: Previous 2020/21 Minimum hourly pay rate ADJUSTED X FTE</t>
  </si>
  <si>
    <t>Sum of Care Assistant 4: Previous 2020/21 Minimum hourly pay rate ADJUSTED X FTE</t>
  </si>
  <si>
    <t>Sum of Administrative Officer 1: Previous 2020/21 Minimum hourly pay rate ADJUSTED X FTE</t>
  </si>
  <si>
    <t>Sum of Administrative Officer 2: Previous 2020/21 Minimum hourly pay rate ADJUSTED X FTE</t>
  </si>
  <si>
    <t>Sum of Administrative Officer 3: Previous 2020/21 Minimum hourly pay rate ADJUSTED X FTE</t>
  </si>
  <si>
    <t>Sum of Other staff 1: Previous 2020/21 Minimum hourly pay rate ADJUSTED X FTE</t>
  </si>
  <si>
    <t>Sum of Other staff 2: Previous 2020/21 Minimum hourly pay rate ADJUSTED X FTE</t>
  </si>
  <si>
    <t>Sum of Other staff 3: Previous 2020/21 Minimum hourly pay rate ADJUSTED X FTE</t>
  </si>
  <si>
    <t>Sum of Registered manager: Previous 2020/21 Maximum hourly pay rate ADJUSTED X FTE</t>
  </si>
  <si>
    <t>Sum of Deputy manager: Previous 2020/21 Maximum hourly pay rate ADJUSTED X FTE</t>
  </si>
  <si>
    <t>Sum of Other manager 1: Previous 2020/21 Maximum hourly pay rate ADJUSTED X FTE</t>
  </si>
  <si>
    <t>Sum of Other manager 2: Previous 2020/21 Maximum hourly pay rate ADJUSTED X FTE</t>
  </si>
  <si>
    <t>Sum of Other manager 3: Previous 2020/21 Maximum hourly pay rate ADJUSTED X FTE</t>
  </si>
  <si>
    <t>Sum of Care Assistant 1: Previous 2020/21 Maximum hourly pay rate ADJUSTED X FTE</t>
  </si>
  <si>
    <t>Sum of Care Assistant 2: Previous 2020/21 Maximum hourly pay rate ADJUSTED X FTE</t>
  </si>
  <si>
    <t>Sum of Care Assistant 3: Previous 2020/21 Maximum hourly pay rate ADJUSTED X FTE</t>
  </si>
  <si>
    <t>Sum of Care Assistant 4: Previous 2020/21 Maximum hourly pay rate ADJUSTED X FTE</t>
  </si>
  <si>
    <t>Sum of Administrative Officer 1: Previous 2020/21 Maximum hourly pay rate ADJUSTED X FTE</t>
  </si>
  <si>
    <t>Sum of Administrative Officer 2: Previous 2020/21 Maximum hourly pay rate ADJUSTED X FTE</t>
  </si>
  <si>
    <t>Sum of Administrative Officer 3: Previous 2020/21 Maximum hourly pay rate ADJUSTED X FTE</t>
  </si>
  <si>
    <t>Sum of Other staff 1: Previous 2020/21 Maximum hourly pay rate ADJUSTED X FTE</t>
  </si>
  <si>
    <t>Sum of Other staff 2: Previous 2020/21 Maximum hourly pay rate ADJUSTED X FTE</t>
  </si>
  <si>
    <t>Sum of Other staff 3: Previous 2020/21 Maximum hourly pay rate ADJUSTED X FTE</t>
  </si>
  <si>
    <t>Sum of Registered manager: Current 2021/22 Minimum hourly pay rate ADJUSTED X FTE</t>
  </si>
  <si>
    <t>Sum of Deputy manager: Current 2021/22 Minimum hourly pay rate ADJUSTED X FTE</t>
  </si>
  <si>
    <t>Sum of Other manager 1: Current 2021/22 Minimum hourly pay rate ADJUSTED X FTE</t>
  </si>
  <si>
    <t>Sum of Other manager 2: Current 2021/22 Minimum hourly pay rate ADJUSTED X FTE</t>
  </si>
  <si>
    <t>Sum of Other manager 3: Current 2021/22 Minimum hourly pay rate ADJUSTED X FTE</t>
  </si>
  <si>
    <t>Sum of Care Assistant 1: Current 2021/22 Minimum hourly pay rate ADJUSTED X FTE</t>
  </si>
  <si>
    <t>Sum of Care Assistant 2: Current 2021/22 Minimum hourly pay rate ADJUSTED X FTE</t>
  </si>
  <si>
    <t>Sum of Care Assistant 3: Current 2021/22 Minimum hourly pay rate ADJUSTED X FTE</t>
  </si>
  <si>
    <t>Sum of Care Assistant 4: Current 2021/22 Minimum hourly pay rate ADJUSTED X FTE</t>
  </si>
  <si>
    <t>Sum of Administrative Officer 1: Current 2021/22 Minimum hourly pay rate ADJUSTED X FTE</t>
  </si>
  <si>
    <t>Sum of Administrative Officer 2: Current 2021/22 Minimum hourly pay rate ADJUSTED X FTE</t>
  </si>
  <si>
    <t>Sum of Administrative Officer 3: Current 2021/22 Minimum hourly pay rate ADJUSTED X FTE</t>
  </si>
  <si>
    <t>Sum of Other staff 1: Current 2021/22 Minimum hourly pay rate ADJUSTED X FTE</t>
  </si>
  <si>
    <t>Sum of Other staff 2: Current 2021/22 Minimum hourly pay rate ADJUSTED X FTE</t>
  </si>
  <si>
    <t>Sum of Other staff 3: Current 2021/22 Minimum hourly pay rate ADJUSTED X FTE</t>
  </si>
  <si>
    <t>Sum of Registered manager: Current 2021/22 Maximum hourly pay rate ADJUSTED X FTE</t>
  </si>
  <si>
    <t>Sum of Deputy manager: Current 2021/22 Maximum hourly pay rate ADJUSTED X FTE</t>
  </si>
  <si>
    <t>Sum of Other manager 1: Current 2021/22 Maximum hourly pay rate ADJUSTED X FTE</t>
  </si>
  <si>
    <t>Sum of Other manager 3: Current 2021/22 Maximum hourly pay rate ADJUSTED X FTE</t>
  </si>
  <si>
    <t>Sum of Care Assistant 1: Current 2021/22 Maximum hourly pay rate ADJUSTED X FTE</t>
  </si>
  <si>
    <t>Sum of Care Assistant 2: Current 2021/22 Maximum hourly pay rate ADJUSTED X FTE</t>
  </si>
  <si>
    <t>Sum of Care Assistant 3: Current 2021/22 Maximum hourly pay rate ADJUSTED X FTE</t>
  </si>
  <si>
    <t>Sum of Care Assistant 4: Current 2021/22 Maximum hourly pay rate ADJUSTED X FTE</t>
  </si>
  <si>
    <t>Sum of Administrative Officer 1: Current 2021/22 Maximum hourly pay rate ADJUSTED X FTE</t>
  </si>
  <si>
    <t>Sum of Administrative Officer 3: Current 2021/22 Maximum hourly pay rate ADJUSTED X FTE</t>
  </si>
  <si>
    <t>Sum of Other staff 1: Current 2021/22 Maximum hourly pay rate ADJUSTED X FTE</t>
  </si>
  <si>
    <t>Sum of Other staff 2: Current 2021/22 Maximum hourly pay rate ADJUSTED X FTE</t>
  </si>
  <si>
    <t>Sum of Administrative Officer 2: Current 2021/22 Maximum hourly pay rate ADJUSTED X FTE</t>
  </si>
  <si>
    <t>Sum of Other staff 3: Current 2021/22 Maximum hourly pay rate ADJUSTED X FTE</t>
  </si>
  <si>
    <t>Other manager 1</t>
  </si>
  <si>
    <t>Other manager 2</t>
  </si>
  <si>
    <t>Other manager 3</t>
  </si>
  <si>
    <t>Administrative Officer 1</t>
  </si>
  <si>
    <t>Administrative Officer 2</t>
  </si>
  <si>
    <t>Administrative Officer 3</t>
  </si>
  <si>
    <t>Average Wage Rates per FTE - Overall Job Categories</t>
  </si>
  <si>
    <t>Mininum
2020/21</t>
  </si>
  <si>
    <t>Maximum
2020/21</t>
  </si>
  <si>
    <t>Minimum
2021/22</t>
  </si>
  <si>
    <t>Maximum
2021/22</t>
  </si>
  <si>
    <t>Average Wage Rates per FTE- Individual Roles</t>
  </si>
  <si>
    <t>Wages received by the average employee. Locations with many staff are weighted more heavily than those with few.</t>
  </si>
  <si>
    <t>Number of records</t>
  </si>
  <si>
    <t>Count of CQC Location ID:</t>
  </si>
  <si>
    <t>Total FTE Other Employees</t>
  </si>
  <si>
    <t>Open Book Exercise 2021</t>
  </si>
  <si>
    <t>Community Care Report</t>
  </si>
  <si>
    <t>*current real wages estimated as the mid-point between min and max wage rates 21/22”</t>
  </si>
  <si>
    <t>Number of FTE staff who do not earn the National Living Wage / Real Living Wage 2022/23*</t>
  </si>
  <si>
    <t>Registered manager: Current 2021/22 Minimum hourly pay rate ADJUSTED 2</t>
  </si>
  <si>
    <t>Registered manager: Current 2021/22 Maximum hourly pay rate ADJUSTED 2</t>
  </si>
  <si>
    <t>Registered manager: Previous 2020/21 Minimum hourly pay rate ADJUSTED 2</t>
  </si>
  <si>
    <t>Registered manager: Previous 2020/21 Maximum hourly pay rate ADJUSTED 2</t>
  </si>
  <si>
    <t>Deputy manager: Current 2021/22 Minimum hourly pay rate ADJUSTED 2</t>
  </si>
  <si>
    <t>Deputy manager: Current 2021/22 Maximum hourly pay rate ADJUSTED 2</t>
  </si>
  <si>
    <t>Deputy manager: Previous 2020/21 Minimum hourly pay rate ADJUSTED 2</t>
  </si>
  <si>
    <t>Deputy manager: Previous 2020/21 Maximum hourly pay rate ADJUSTED 2</t>
  </si>
  <si>
    <t>Other manager 1: Current 2021/22 Minimum hourly pay rate ADJUSTED 2</t>
  </si>
  <si>
    <t>Other manager 1: Current 2021/22 Maximum hourly pay rate ADJUSTED 2</t>
  </si>
  <si>
    <t>Other manager 1: Previous 2020/21 Minimum hourly pay rate ADJUSTED 2</t>
  </si>
  <si>
    <t>Other manager 1: Previous 2020/21 Maximum hourly pay rate ADJUSTED 2</t>
  </si>
  <si>
    <t>Other manager 2: Current 2021/22 Minimum hourly pay rate ADJUSTED 2</t>
  </si>
  <si>
    <t>Other manager 2: Current 2021/22 Maximum hourly pay rate ADJUSTED 2</t>
  </si>
  <si>
    <t>Other manager 2: Previous 2020/21 Minimum hourly pay rate ADJUSTED 2</t>
  </si>
  <si>
    <t>Other manager 2: Previous 2020/21 Maximum hourly pay rate ADJUSTED 2</t>
  </si>
  <si>
    <t>Other manager 3: Current 2021/22 Minimum hourly pay rate ADJUSTED 2</t>
  </si>
  <si>
    <t>Other manager 3: Current 2021/22 Maximum hourly pay rate ADJUSTED 2</t>
  </si>
  <si>
    <t>Other manager 3: Previous 2020/21 Minimum hourly pay rate ADJUSTED 2</t>
  </si>
  <si>
    <t>Other manager 3: Previous 2020/21 Maximum hourly pay rate ADJUSTED 2</t>
  </si>
  <si>
    <t>Care Assistant 1: Current 2021/22 Minimum hourly pay rate ADJUSTED 2</t>
  </si>
  <si>
    <t>Care Assistant 1: Current 2021/22 Maximum hourly pay rate ADJUSTED 2</t>
  </si>
  <si>
    <t>Care Assistant 1: Previous 2020/21 Minimum hourly pay rate ADJUSTED 2</t>
  </si>
  <si>
    <t>Care Assistant 1: Previous 2020/21 Maximum hourly pay rate ADJUSTED 2</t>
  </si>
  <si>
    <t>Care Assistant 2: Current 2021/22 Minimum hourly pay rate ADJUSTED 2</t>
  </si>
  <si>
    <t>Care Assistant 2: Current 2021/22 Maximum hourly pay rate ADJUSTED 2</t>
  </si>
  <si>
    <t>Care Assistant 2: Previous 2020/21 Minimum hourly pay rate ADJUSTED 2</t>
  </si>
  <si>
    <t>Care Assistant 2: Previous 2020/21 Maximum hourly pay rate ADJUSTED 2</t>
  </si>
  <si>
    <t>Care Assistant 3: Current 2021/22 Minimum hourly pay rate ADJUSTED 2</t>
  </si>
  <si>
    <t>Care Assistant 3: Current 2021/22 Maximum hourly pay rate ADJUSTED 2</t>
  </si>
  <si>
    <t>Care Assistant 3: Previous 2020/21 Minimum hourly pay rate ADJUSTED 2</t>
  </si>
  <si>
    <t>Care Assistant 3: Previous 2020/21 Maximum hourly pay rate ADJUSTED 2</t>
  </si>
  <si>
    <t>Care Assistant 4: Current 2021/22 Minimum hourly pay rate ADJUSTED 2</t>
  </si>
  <si>
    <t>Care Assistant 4: Current 2021/22 Maximum hourly pay rate ADJUSTED 2</t>
  </si>
  <si>
    <t>Care Assistant 4: Previous 2020/21 Minimum hourly pay rate ADJUSTED 2</t>
  </si>
  <si>
    <t>Care Assistant 4: Previous 2020/21 Maximum hourly pay rate ADJUSTED 2</t>
  </si>
  <si>
    <t>Administrative Officer 1: Current 2021/22 Minimum hourly pay rate ADJUSTED 2</t>
  </si>
  <si>
    <t>Administrative Officer 1: Current 2021/22 Maximum hourly pay rate ADJUSTED 2</t>
  </si>
  <si>
    <t>Administrative Officer 1: Previous 2020/21 Minimum hourly pay rate ADJUSTED 2</t>
  </si>
  <si>
    <t>Administrative Officer 1: Previous 2020/21 Maximum hourly pay rate ADJUSTED 2</t>
  </si>
  <si>
    <t>Administrative Officer 2: Current 2021/22 Minimum hourly pay rate ADJUSTED 2</t>
  </si>
  <si>
    <t>Administrative Officer 2: Current 2021/22 Maximum hourly pay rate ADJUSTED 2</t>
  </si>
  <si>
    <t>Administrative Officer 2: Previous 2020/21 Minimum hourly pay rate ADJUSTED 2</t>
  </si>
  <si>
    <t>Administrative Officer 2: Previous 2020/21 Maximum hourly pay rate ADJUSTED 2</t>
  </si>
  <si>
    <t>Administrative Officer 3: Current 2021/22 Minimum hourly pay rate ADJUSTED 2</t>
  </si>
  <si>
    <t>Administrative Officer 3: Current 2021/22 Maximum hourly pay rate ADJUSTED 2</t>
  </si>
  <si>
    <t>Administrative Officer 3: Previous 2020/21 Minimum hourly pay rate ADJUSTED 2</t>
  </si>
  <si>
    <t>Administrative Officer 3: Previous 2020/21 Maximum hourly pay rate ADJUSTED 2</t>
  </si>
  <si>
    <t>Other staff 1: Current 2021/22 Minimum hourly pay rate ADJUSTED 2</t>
  </si>
  <si>
    <t>Other staff 1: Current 2021/22 Maximum hourly pay rate ADJUSTED 2</t>
  </si>
  <si>
    <t>Other staff 1: Previous 2020/21 Minimum hourly pay rate ADJUSTED 2</t>
  </si>
  <si>
    <t>Other staff 1: Previous 2020/21 Maximum hourly pay rate ADJUSTED 2</t>
  </si>
  <si>
    <t>Other staff 2: Current 2021/22 Minimum hourly pay rate ADJUSTED 2</t>
  </si>
  <si>
    <t>Other staff 2: Current 2021/22 Maximum hourly pay rate ADJUSTED 2</t>
  </si>
  <si>
    <t>Other staff 2: Previous 2020/21 Minimum hourly pay rate ADJUSTED 2</t>
  </si>
  <si>
    <t>Other staff 2: Previous 2020/21 Maximum hourly pay rate ADJUSTED 2</t>
  </si>
  <si>
    <t>Other staff 3: Current 2021/22 Minimum hourly pay rate ADJUSTED 2</t>
  </si>
  <si>
    <t>Other staff 3: Current 2021/22 Maximum hourly pay rate ADJUSTED 2</t>
  </si>
  <si>
    <t>Other staff 3: Previous 2020/21 Minimum hourly pay rate ADJUSTED 2</t>
  </si>
  <si>
    <t>Other staff 3: Previous 2020/21 Maximum hourly pay rate ADJUSTED 2</t>
  </si>
  <si>
    <t>Registered Manager  ADJUSTED &gt;0</t>
  </si>
  <si>
    <t>Deputy Manager  ADJUSTED &gt;0</t>
  </si>
  <si>
    <t>Other Manager 1  ADJUSTED &gt;0</t>
  </si>
  <si>
    <t>Other Manager 2  ADJUSTED &gt;0</t>
  </si>
  <si>
    <t>Other Manager 3  ADJUSTED &gt;0</t>
  </si>
  <si>
    <t>Care Assistant 1  ADJUSTED &gt;0</t>
  </si>
  <si>
    <t>Care Assistant 2  ADJUSTED &gt;0</t>
  </si>
  <si>
    <t>Care Assistant 3  ADJUSTED &gt;0</t>
  </si>
  <si>
    <t>Care Assistant 4  ADJUSTED &gt;0</t>
  </si>
  <si>
    <t>Administrative Officer 1  ADJUSTED &gt;0</t>
  </si>
  <si>
    <t>Administrative Officer 2  ADJUSTED &gt;0</t>
  </si>
  <si>
    <t>Other staff 1  ADJUSTED &gt;0</t>
  </si>
  <si>
    <t>Other staff 2  ADJUSTED &gt;0</t>
  </si>
  <si>
    <t>Other staff 3  ADJUSTED &gt;0</t>
  </si>
  <si>
    <t>Sum of Registered Manager  ADJUSTED &gt;0</t>
  </si>
  <si>
    <t>Sum of Deputy Manager  ADJUSTED &gt;0</t>
  </si>
  <si>
    <t>Sum of Other Manager 1  ADJUSTED &gt;0</t>
  </si>
  <si>
    <t>Sum of Other Manager 2  ADJUSTED &gt;0</t>
  </si>
  <si>
    <t>Sum of Other Manager 3  ADJUSTED &gt;0</t>
  </si>
  <si>
    <t>Sum of Care Assistant 1  ADJUSTED &gt;0</t>
  </si>
  <si>
    <t>Sum of Care Assistant 2  ADJUSTED &gt;0</t>
  </si>
  <si>
    <t>Sum of Care Assistant 3  ADJUSTED &gt;0</t>
  </si>
  <si>
    <t>Sum of Care Assistant 4  ADJUSTED &gt;0</t>
  </si>
  <si>
    <t>Sum of Administrative Officer 1  ADJUSTED &gt;0</t>
  </si>
  <si>
    <t>Sum of Administrative Officer 2  ADJUSTED &gt;0</t>
  </si>
  <si>
    <t>Sum of Other staff 1  ADJUSTED &gt;0</t>
  </si>
  <si>
    <t>Sum of Other staff 2  ADJUSTED &gt;0</t>
  </si>
  <si>
    <t>Sum of Other staff 3  ADJUSTED &gt;0</t>
  </si>
  <si>
    <t>Administrative Officer 3  ADJUSTED &gt;0</t>
  </si>
  <si>
    <t>Sum of Administrative Officer 3  ADJUSTED &gt;0</t>
  </si>
  <si>
    <t>Response Rates and local authorities of care providers</t>
  </si>
  <si>
    <t>Response rates and regions of care providers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</si>
</sst>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Red]\-&quot;£&quot;#,##0.00"/>
    <numFmt numFmtId="164" formatCode="&quot;£&quot;#,##0.00"/>
    <numFmt numFmtId="165" formatCode="&quot;£&quot;#,##0"/>
  </numFmts>
  <fonts count="12" x14ac:knownFonts="1">
    <font>
      <sz val="11"/>
      <color theme="1"/>
      <name val="Calibri"/>
      <family val="2"/>
      <scheme val="minor"/>
    </font>
    <font>
      <sz val="8"/>
      <color theme="1"/>
      <name val="Calibri"/>
      <family val="2"/>
      <scheme val="minor"/>
    </font>
    <font>
      <b/>
      <sz val="8"/>
      <color theme="0"/>
      <name val="Calibri"/>
      <family val="2"/>
      <scheme val="minor"/>
    </font>
    <font>
      <sz val="8"/>
      <name val="Calibri"/>
      <family val="2"/>
      <scheme val="minor"/>
    </font>
    <font>
      <b/>
      <sz val="11"/>
      <color theme="1"/>
      <name val="Calibri"/>
      <family val="2"/>
      <scheme val="minor"/>
    </font>
    <font>
      <sz val="12"/>
      <color theme="1"/>
      <name val="Calibri"/>
      <family val="2"/>
      <scheme val="minor"/>
    </font>
    <font>
      <sz val="11"/>
      <color theme="1"/>
      <name val="Arial Narrow"/>
      <family val="2"/>
    </font>
    <font>
      <b/>
      <sz val="11"/>
      <color theme="1"/>
      <name val="Arial Narrow"/>
      <family val="2"/>
    </font>
    <font>
      <b/>
      <sz val="9"/>
      <color theme="1"/>
      <name val="Arial Narrow"/>
      <family val="2"/>
    </font>
    <font>
      <sz val="9"/>
      <color theme="1"/>
      <name val="Arial Narrow"/>
      <family val="2"/>
    </font>
    <font>
      <b/>
      <sz val="11"/>
      <color rgb="FF000000"/>
      <name val="Calibri"/>
      <family val="2"/>
      <scheme val="minor"/>
    </font>
    <font>
      <sz val="8"/>
      <color theme="1"/>
      <name val="Arial Narrow"/>
      <family val="2"/>
    </font>
  </fonts>
  <fills count="18">
    <fill>
      <patternFill patternType="none"/>
    </fill>
    <fill>
      <patternFill patternType="gray125"/>
    </fill>
    <fill>
      <patternFill patternType="solid">
        <fgColor theme="4"/>
        <bgColor theme="4"/>
      </patternFill>
    </fill>
    <fill>
      <patternFill patternType="solid">
        <fgColor theme="9"/>
        <bgColor indexed="64"/>
      </patternFill>
    </fill>
    <fill>
      <patternFill patternType="solid">
        <fgColor theme="4"/>
        <bgColor indexed="64"/>
      </patternFill>
    </fill>
    <fill>
      <patternFill patternType="solid">
        <fgColor rgb="FF7030A0"/>
        <bgColor indexed="64"/>
      </patternFill>
    </fill>
    <fill>
      <patternFill patternType="solid">
        <fgColor theme="5"/>
        <bgColor indexed="64"/>
      </patternFill>
    </fill>
    <fill>
      <patternFill patternType="solid">
        <fgColor theme="7"/>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theme="4" tint="0.79998168889431442"/>
        <bgColor indexed="64"/>
      </patternFill>
    </fill>
    <fill>
      <patternFill patternType="solid">
        <fgColor rgb="FFFF99FF"/>
        <bgColor indexed="64"/>
      </patternFill>
    </fill>
    <fill>
      <patternFill patternType="solid">
        <fgColor rgb="FFA50021"/>
        <bgColor indexed="64"/>
      </patternFill>
    </fill>
    <fill>
      <patternFill patternType="solid">
        <fgColor theme="0" tint="-4.9989318521683403E-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7" tint="0.79998168889431442"/>
        <bgColor indexed="64"/>
      </patternFill>
    </fill>
  </fills>
  <borders count="50">
    <border>
      <left/>
      <right/>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theme="4" tint="0.39997558519241921"/>
      </bottom>
      <diagonal/>
    </border>
    <border>
      <left style="medium">
        <color indexed="64"/>
      </left>
      <right style="medium">
        <color indexed="64"/>
      </right>
      <top/>
      <bottom style="thin">
        <color theme="4" tint="0.3999755851924192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1">
    <xf numFmtId="0" fontId="0" fillId="0" borderId="0"/>
  </cellStyleXfs>
  <cellXfs count="210">
    <xf numFmtId="0" fontId="0" fillId="0" borderId="0" xfId="0"/>
    <xf numFmtId="0" fontId="1" fillId="0" borderId="0" xfId="0" applyFont="1" applyAlignment="1">
      <alignment wrapText="1"/>
    </xf>
    <xf numFmtId="0" fontId="0" fillId="0" borderId="0" xfId="0" applyFont="1"/>
    <xf numFmtId="0" fontId="1" fillId="3" borderId="0" xfId="0" applyFont="1" applyFill="1" applyAlignment="1">
      <alignment wrapText="1"/>
    </xf>
    <xf numFmtId="0" fontId="2" fillId="3" borderId="0" xfId="0" applyFont="1" applyFill="1" applyAlignment="1">
      <alignment wrapText="1"/>
    </xf>
    <xf numFmtId="0" fontId="1" fillId="4" borderId="0" xfId="0" applyFont="1" applyFill="1" applyAlignment="1">
      <alignment wrapText="1"/>
    </xf>
    <xf numFmtId="0" fontId="2" fillId="4" borderId="0" xfId="0" applyFont="1" applyFill="1" applyAlignment="1">
      <alignment wrapText="1"/>
    </xf>
    <xf numFmtId="0" fontId="2" fillId="2" borderId="1" xfId="0" applyFont="1" applyFill="1" applyBorder="1" applyAlignment="1">
      <alignment wrapText="1"/>
    </xf>
    <xf numFmtId="0" fontId="1" fillId="5" borderId="0" xfId="0" applyFont="1" applyFill="1" applyAlignment="1">
      <alignment wrapText="1"/>
    </xf>
    <xf numFmtId="0" fontId="2" fillId="4" borderId="1" xfId="0" applyFont="1" applyFill="1" applyBorder="1" applyAlignment="1">
      <alignment wrapText="1"/>
    </xf>
    <xf numFmtId="0" fontId="2" fillId="5" borderId="0" xfId="0" applyFont="1" applyFill="1" applyAlignment="1">
      <alignment wrapText="1"/>
    </xf>
    <xf numFmtId="0" fontId="1" fillId="6" borderId="0" xfId="0" applyFont="1" applyFill="1" applyAlignment="1">
      <alignment wrapText="1"/>
    </xf>
    <xf numFmtId="0" fontId="2" fillId="6" borderId="1" xfId="0" applyFont="1" applyFill="1" applyBorder="1" applyAlignment="1">
      <alignment wrapText="1"/>
    </xf>
    <xf numFmtId="0" fontId="2" fillId="6" borderId="0" xfId="0" applyFont="1" applyFill="1" applyAlignment="1">
      <alignment wrapText="1"/>
    </xf>
    <xf numFmtId="14" fontId="0" fillId="0" borderId="0" xfId="0" applyNumberFormat="1"/>
    <xf numFmtId="14" fontId="2" fillId="6" borderId="1" xfId="0" applyNumberFormat="1" applyFont="1" applyFill="1" applyBorder="1" applyAlignment="1">
      <alignment wrapText="1"/>
    </xf>
    <xf numFmtId="14" fontId="1" fillId="0" borderId="0" xfId="0" applyNumberFormat="1" applyFont="1" applyAlignment="1">
      <alignment wrapText="1"/>
    </xf>
    <xf numFmtId="14" fontId="1" fillId="6" borderId="0" xfId="0" applyNumberFormat="1" applyFont="1" applyFill="1" applyAlignment="1">
      <alignment wrapText="1"/>
    </xf>
    <xf numFmtId="14" fontId="0" fillId="0" borderId="0" xfId="0" applyNumberFormat="1" applyFont="1"/>
    <xf numFmtId="22" fontId="0" fillId="0" borderId="0" xfId="0" applyNumberFormat="1" applyFont="1"/>
    <xf numFmtId="0" fontId="0" fillId="0" borderId="0" xfId="0" applyFont="1" applyAlignment="1">
      <alignment wrapText="1"/>
    </xf>
    <xf numFmtId="0" fontId="0" fillId="0" borderId="0" xfId="0" applyNumberFormat="1" applyFont="1"/>
    <xf numFmtId="0" fontId="1" fillId="7" borderId="0" xfId="0" applyFont="1" applyFill="1" applyAlignment="1">
      <alignment wrapText="1"/>
    </xf>
    <xf numFmtId="10" fontId="0" fillId="0" borderId="0" xfId="0" applyNumberFormat="1"/>
    <xf numFmtId="8" fontId="0" fillId="0" borderId="0" xfId="0" applyNumberFormat="1"/>
    <xf numFmtId="0" fontId="0" fillId="0" borderId="0" xfId="0" applyNumberFormat="1" applyAlignment="1">
      <alignment wrapText="1"/>
    </xf>
    <xf numFmtId="10" fontId="0" fillId="0" borderId="0" xfId="0" applyNumberFormat="1" applyAlignment="1">
      <alignment wrapText="1"/>
    </xf>
    <xf numFmtId="0" fontId="0" fillId="0" borderId="0" xfId="0" applyAlignment="1">
      <alignment horizontal="left" wrapText="1"/>
    </xf>
    <xf numFmtId="2" fontId="0" fillId="0" borderId="0" xfId="0" applyNumberFormat="1"/>
    <xf numFmtId="2" fontId="1" fillId="0" borderId="0" xfId="0" applyNumberFormat="1" applyFont="1" applyAlignment="1">
      <alignment wrapText="1"/>
    </xf>
    <xf numFmtId="2" fontId="0" fillId="0" borderId="0" xfId="0" applyNumberFormat="1" applyFont="1"/>
    <xf numFmtId="1" fontId="0" fillId="0" borderId="0" xfId="0" applyNumberFormat="1" applyFont="1"/>
    <xf numFmtId="0" fontId="1" fillId="9" borderId="0" xfId="0" applyFont="1" applyFill="1" applyAlignment="1">
      <alignment wrapText="1"/>
    </xf>
    <xf numFmtId="0" fontId="1" fillId="11" borderId="0" xfId="0" applyFont="1" applyFill="1" applyAlignment="1">
      <alignment wrapText="1"/>
    </xf>
    <xf numFmtId="0" fontId="1" fillId="12" borderId="0" xfId="0" applyFont="1" applyFill="1" applyAlignment="1">
      <alignment wrapText="1"/>
    </xf>
    <xf numFmtId="0" fontId="1" fillId="14" borderId="0" xfId="0" applyFont="1" applyFill="1" applyAlignment="1">
      <alignment wrapText="1"/>
    </xf>
    <xf numFmtId="0" fontId="0" fillId="0" borderId="0" xfId="0" applyProtection="1">
      <protection hidden="1"/>
    </xf>
    <xf numFmtId="0" fontId="4" fillId="0" borderId="0" xfId="0" applyFont="1" applyProtection="1">
      <protection hidden="1"/>
    </xf>
    <xf numFmtId="0" fontId="0" fillId="13" borderId="0" xfId="0" applyFill="1" applyProtection="1">
      <protection hidden="1"/>
    </xf>
    <xf numFmtId="0" fontId="4" fillId="13" borderId="0" xfId="0" applyFont="1" applyFill="1" applyProtection="1">
      <protection hidden="1"/>
    </xf>
    <xf numFmtId="164" fontId="0" fillId="0" borderId="0" xfId="0" applyNumberFormat="1" applyProtection="1">
      <protection hidden="1"/>
    </xf>
    <xf numFmtId="2" fontId="0" fillId="0" borderId="0" xfId="0" applyNumberFormat="1" applyProtection="1">
      <protection hidden="1"/>
    </xf>
    <xf numFmtId="0" fontId="4" fillId="15" borderId="0" xfId="0" applyFont="1" applyFill="1" applyProtection="1">
      <protection hidden="1"/>
    </xf>
    <xf numFmtId="0" fontId="0" fillId="15" borderId="0" xfId="0" applyFill="1" applyProtection="1">
      <protection hidden="1"/>
    </xf>
    <xf numFmtId="2" fontId="0" fillId="13" borderId="0" xfId="0" applyNumberFormat="1" applyFill="1" applyProtection="1">
      <protection hidden="1"/>
    </xf>
    <xf numFmtId="164" fontId="0" fillId="13" borderId="0" xfId="0" applyNumberFormat="1" applyFill="1" applyProtection="1">
      <protection hidden="1"/>
    </xf>
    <xf numFmtId="1" fontId="0" fillId="13" borderId="0" xfId="0" applyNumberFormat="1" applyFill="1" applyProtection="1">
      <protection hidden="1"/>
    </xf>
    <xf numFmtId="0" fontId="1" fillId="0" borderId="0" xfId="0" applyFont="1" applyProtection="1">
      <protection hidden="1"/>
    </xf>
    <xf numFmtId="0" fontId="1" fillId="15" borderId="0" xfId="0" applyFont="1" applyFill="1" applyProtection="1">
      <protection hidden="1"/>
    </xf>
    <xf numFmtId="0" fontId="6" fillId="13" borderId="0" xfId="0" applyFont="1" applyFill="1" applyProtection="1">
      <protection hidden="1"/>
    </xf>
    <xf numFmtId="2" fontId="6" fillId="13" borderId="0" xfId="0" applyNumberFormat="1" applyFont="1" applyFill="1" applyProtection="1">
      <protection hidden="1"/>
    </xf>
    <xf numFmtId="164" fontId="6" fillId="13" borderId="0" xfId="0" applyNumberFormat="1" applyFont="1" applyFill="1" applyProtection="1">
      <protection hidden="1"/>
    </xf>
    <xf numFmtId="10" fontId="0" fillId="0" borderId="0" xfId="0" applyNumberFormat="1" applyProtection="1">
      <protection hidden="1"/>
    </xf>
    <xf numFmtId="0" fontId="0" fillId="0" borderId="4" xfId="0" pivotButton="1" applyBorder="1" applyProtection="1">
      <protection hidden="1"/>
    </xf>
    <xf numFmtId="0" fontId="0" fillId="0" borderId="31" xfId="0" applyBorder="1" applyProtection="1">
      <protection hidden="1"/>
    </xf>
    <xf numFmtId="0" fontId="0" fillId="0" borderId="0" xfId="0" pivotButton="1" applyProtection="1">
      <protection hidden="1"/>
    </xf>
    <xf numFmtId="0" fontId="4" fillId="10" borderId="4" xfId="0" applyFont="1" applyFill="1" applyBorder="1" applyAlignment="1" applyProtection="1">
      <alignment horizontal="center"/>
      <protection hidden="1"/>
    </xf>
    <xf numFmtId="0" fontId="4" fillId="10" borderId="18" xfId="0" applyFont="1" applyFill="1" applyBorder="1" applyAlignment="1" applyProtection="1">
      <alignment horizontal="center"/>
      <protection hidden="1"/>
    </xf>
    <xf numFmtId="0" fontId="4" fillId="10" borderId="16" xfId="0" applyFont="1" applyFill="1" applyBorder="1" applyAlignment="1" applyProtection="1">
      <alignment horizontal="center"/>
      <protection hidden="1"/>
    </xf>
    <xf numFmtId="0" fontId="4" fillId="10" borderId="17" xfId="0" applyFont="1" applyFill="1" applyBorder="1" applyAlignment="1" applyProtection="1">
      <alignment horizontal="center"/>
      <protection hidden="1"/>
    </xf>
    <xf numFmtId="0" fontId="4" fillId="8" borderId="23" xfId="0" applyFont="1" applyFill="1" applyBorder="1" applyProtection="1">
      <protection hidden="1"/>
    </xf>
    <xf numFmtId="0" fontId="4" fillId="8" borderId="24" xfId="0" applyFont="1" applyFill="1" applyBorder="1" applyProtection="1">
      <protection hidden="1"/>
    </xf>
    <xf numFmtId="0" fontId="4" fillId="8" borderId="25" xfId="0" applyFont="1" applyFill="1" applyBorder="1" applyProtection="1">
      <protection hidden="1"/>
    </xf>
    <xf numFmtId="164" fontId="0" fillId="15" borderId="30" xfId="0" applyNumberFormat="1" applyFill="1" applyBorder="1" applyProtection="1">
      <protection hidden="1"/>
    </xf>
    <xf numFmtId="0" fontId="8" fillId="8" borderId="36" xfId="0" applyFont="1" applyFill="1" applyBorder="1" applyProtection="1">
      <protection hidden="1"/>
    </xf>
    <xf numFmtId="0" fontId="8" fillId="8" borderId="26" xfId="0" applyFont="1" applyFill="1" applyBorder="1" applyProtection="1">
      <protection hidden="1"/>
    </xf>
    <xf numFmtId="0" fontId="8" fillId="8" borderId="37" xfId="0" applyFont="1" applyFill="1" applyBorder="1" applyProtection="1">
      <protection hidden="1"/>
    </xf>
    <xf numFmtId="164" fontId="0" fillId="13" borderId="0" xfId="0" applyNumberFormat="1" applyFill="1" applyBorder="1" applyProtection="1">
      <protection hidden="1"/>
    </xf>
    <xf numFmtId="0" fontId="4" fillId="8" borderId="0" xfId="0" applyFont="1" applyFill="1" applyBorder="1" applyProtection="1">
      <protection hidden="1"/>
    </xf>
    <xf numFmtId="2" fontId="4" fillId="8" borderId="0" xfId="0" applyNumberFormat="1" applyFont="1" applyFill="1" applyBorder="1" applyProtection="1">
      <protection hidden="1"/>
    </xf>
    <xf numFmtId="0" fontId="4" fillId="10" borderId="26" xfId="0" applyFont="1" applyFill="1" applyBorder="1" applyProtection="1">
      <protection hidden="1"/>
    </xf>
    <xf numFmtId="1" fontId="4" fillId="10" borderId="26" xfId="0" applyNumberFormat="1" applyFont="1" applyFill="1" applyBorder="1" applyProtection="1">
      <protection hidden="1"/>
    </xf>
    <xf numFmtId="0" fontId="4" fillId="10" borderId="32" xfId="0" applyFont="1" applyFill="1" applyBorder="1" applyAlignment="1" applyProtection="1">
      <alignment horizontal="center"/>
      <protection hidden="1"/>
    </xf>
    <xf numFmtId="0" fontId="4" fillId="8" borderId="41" xfId="0" applyFont="1" applyFill="1" applyBorder="1" applyProtection="1">
      <protection hidden="1"/>
    </xf>
    <xf numFmtId="0" fontId="4" fillId="8" borderId="40" xfId="0" applyFont="1" applyFill="1" applyBorder="1" applyProtection="1">
      <protection hidden="1"/>
    </xf>
    <xf numFmtId="0" fontId="0" fillId="0" borderId="0" xfId="0" applyAlignment="1" applyProtection="1">
      <alignment horizontal="left"/>
      <protection hidden="1"/>
    </xf>
    <xf numFmtId="0" fontId="0" fillId="0" borderId="0" xfId="0" applyNumberFormat="1" applyProtection="1">
      <protection hidden="1"/>
    </xf>
    <xf numFmtId="0" fontId="0" fillId="0" borderId="22" xfId="0" applyFill="1" applyBorder="1" applyProtection="1">
      <protection hidden="1"/>
    </xf>
    <xf numFmtId="1" fontId="0" fillId="0" borderId="19" xfId="0" applyNumberFormat="1" applyFill="1" applyBorder="1" applyProtection="1">
      <protection hidden="1"/>
    </xf>
    <xf numFmtId="1" fontId="0" fillId="0" borderId="13" xfId="0" applyNumberFormat="1" applyFill="1" applyBorder="1" applyProtection="1">
      <protection hidden="1"/>
    </xf>
    <xf numFmtId="1" fontId="0" fillId="0" borderId="14" xfId="0" applyNumberFormat="1" applyFill="1" applyBorder="1" applyProtection="1">
      <protection hidden="1"/>
    </xf>
    <xf numFmtId="0" fontId="4" fillId="10" borderId="45" xfId="0" applyFont="1" applyFill="1" applyBorder="1" applyProtection="1">
      <protection hidden="1"/>
    </xf>
    <xf numFmtId="0" fontId="4" fillId="10" borderId="46" xfId="0" applyFont="1" applyFill="1" applyBorder="1" applyProtection="1">
      <protection hidden="1"/>
    </xf>
    <xf numFmtId="0" fontId="4" fillId="10" borderId="47" xfId="0" applyFont="1" applyFill="1" applyBorder="1" applyProtection="1">
      <protection hidden="1"/>
    </xf>
    <xf numFmtId="0" fontId="4" fillId="10" borderId="32" xfId="0" applyFont="1" applyFill="1" applyBorder="1" applyProtection="1">
      <protection hidden="1"/>
    </xf>
    <xf numFmtId="0" fontId="9" fillId="10" borderId="4" xfId="0" applyFont="1" applyFill="1" applyBorder="1" applyProtection="1">
      <protection hidden="1"/>
    </xf>
    <xf numFmtId="2" fontId="9" fillId="10" borderId="4" xfId="0" applyNumberFormat="1" applyFont="1" applyFill="1" applyBorder="1" applyProtection="1">
      <protection hidden="1"/>
    </xf>
    <xf numFmtId="0" fontId="9" fillId="10" borderId="28" xfId="0" applyFont="1" applyFill="1" applyBorder="1" applyProtection="1">
      <protection hidden="1"/>
    </xf>
    <xf numFmtId="164" fontId="9" fillId="10" borderId="4" xfId="0" applyNumberFormat="1" applyFont="1" applyFill="1" applyBorder="1" applyProtection="1">
      <protection hidden="1"/>
    </xf>
    <xf numFmtId="0" fontId="8" fillId="8" borderId="28" xfId="0" applyFont="1" applyFill="1" applyBorder="1" applyProtection="1">
      <protection hidden="1"/>
    </xf>
    <xf numFmtId="2" fontId="4" fillId="8" borderId="2" xfId="0" applyNumberFormat="1" applyFont="1" applyFill="1" applyBorder="1" applyProtection="1">
      <protection hidden="1"/>
    </xf>
    <xf numFmtId="1" fontId="0" fillId="0" borderId="4" xfId="0" applyNumberFormat="1" applyBorder="1" applyProtection="1">
      <protection hidden="1"/>
    </xf>
    <xf numFmtId="0" fontId="4" fillId="10" borderId="33" xfId="0" applyFont="1" applyFill="1" applyBorder="1" applyProtection="1">
      <protection hidden="1"/>
    </xf>
    <xf numFmtId="164" fontId="0" fillId="0" borderId="4" xfId="0" applyNumberFormat="1" applyBorder="1" applyProtection="1">
      <protection hidden="1"/>
    </xf>
    <xf numFmtId="2" fontId="0" fillId="0" borderId="20" xfId="0" applyNumberFormat="1" applyFill="1" applyBorder="1" applyProtection="1">
      <protection hidden="1"/>
    </xf>
    <xf numFmtId="1" fontId="0" fillId="0" borderId="21" xfId="0" applyNumberFormat="1" applyFill="1" applyBorder="1" applyProtection="1">
      <protection hidden="1"/>
    </xf>
    <xf numFmtId="1" fontId="0" fillId="0" borderId="11" xfId="0" applyNumberFormat="1" applyFill="1" applyBorder="1" applyProtection="1">
      <protection hidden="1"/>
    </xf>
    <xf numFmtId="1" fontId="0" fillId="0" borderId="12" xfId="0" applyNumberFormat="1" applyFill="1" applyBorder="1" applyProtection="1">
      <protection hidden="1"/>
    </xf>
    <xf numFmtId="0" fontId="4" fillId="10" borderId="42" xfId="0" applyFont="1" applyFill="1" applyBorder="1" applyProtection="1">
      <protection hidden="1"/>
    </xf>
    <xf numFmtId="0" fontId="4" fillId="10" borderId="48" xfId="0" applyFont="1" applyFill="1" applyBorder="1" applyProtection="1">
      <protection hidden="1"/>
    </xf>
    <xf numFmtId="0" fontId="4" fillId="10" borderId="49" xfId="0" applyFont="1" applyFill="1" applyBorder="1" applyProtection="1">
      <protection hidden="1"/>
    </xf>
    <xf numFmtId="0" fontId="6" fillId="0" borderId="26" xfId="0" applyFont="1" applyFill="1" applyBorder="1" applyAlignment="1" applyProtection="1">
      <alignment horizontal="left"/>
      <protection hidden="1"/>
    </xf>
    <xf numFmtId="2" fontId="6" fillId="0" borderId="26" xfId="0" applyNumberFormat="1" applyFont="1" applyFill="1" applyBorder="1" applyProtection="1">
      <protection hidden="1"/>
    </xf>
    <xf numFmtId="0" fontId="6" fillId="0" borderId="27" xfId="0" applyFont="1" applyFill="1" applyBorder="1" applyAlignment="1" applyProtection="1">
      <alignment horizontal="left"/>
      <protection hidden="1"/>
    </xf>
    <xf numFmtId="164" fontId="6" fillId="0" borderId="26" xfId="0" applyNumberFormat="1" applyFont="1" applyFill="1" applyBorder="1" applyProtection="1">
      <protection hidden="1"/>
    </xf>
    <xf numFmtId="0" fontId="6" fillId="0" borderId="29" xfId="0" applyFont="1" applyFill="1" applyBorder="1" applyAlignment="1" applyProtection="1">
      <alignment horizontal="left"/>
      <protection hidden="1"/>
    </xf>
    <xf numFmtId="0" fontId="0" fillId="0" borderId="26" xfId="0" applyBorder="1" applyAlignment="1" applyProtection="1">
      <alignment horizontal="left"/>
      <protection hidden="1"/>
    </xf>
    <xf numFmtId="1" fontId="0" fillId="0" borderId="26" xfId="0" applyNumberFormat="1" applyBorder="1" applyProtection="1">
      <protection hidden="1"/>
    </xf>
    <xf numFmtId="10" fontId="0" fillId="0" borderId="26" xfId="0" applyNumberFormat="1" applyBorder="1" applyProtection="1">
      <protection hidden="1"/>
    </xf>
    <xf numFmtId="164" fontId="0" fillId="0" borderId="26" xfId="0" applyNumberFormat="1" applyBorder="1" applyProtection="1">
      <protection hidden="1"/>
    </xf>
    <xf numFmtId="0" fontId="0" fillId="13" borderId="0" xfId="0" applyNumberFormat="1" applyFill="1" applyProtection="1">
      <protection hidden="1"/>
    </xf>
    <xf numFmtId="0" fontId="0" fillId="0" borderId="5" xfId="0" applyBorder="1" applyProtection="1">
      <protection hidden="1"/>
    </xf>
    <xf numFmtId="164" fontId="0" fillId="0" borderId="6" xfId="0" applyNumberFormat="1" applyBorder="1" applyProtection="1">
      <protection hidden="1"/>
    </xf>
    <xf numFmtId="164" fontId="0" fillId="0" borderId="7" xfId="0" applyNumberFormat="1" applyBorder="1" applyProtection="1">
      <protection hidden="1"/>
    </xf>
    <xf numFmtId="2" fontId="6" fillId="0" borderId="27" xfId="0" applyNumberFormat="1" applyFont="1" applyFill="1" applyBorder="1" applyProtection="1">
      <protection hidden="1"/>
    </xf>
    <xf numFmtId="164" fontId="6" fillId="0" borderId="27" xfId="0" applyNumberFormat="1" applyFont="1" applyFill="1" applyBorder="1" applyProtection="1">
      <protection hidden="1"/>
    </xf>
    <xf numFmtId="0" fontId="0" fillId="0" borderId="27" xfId="0" applyBorder="1" applyAlignment="1" applyProtection="1">
      <alignment horizontal="left"/>
      <protection hidden="1"/>
    </xf>
    <xf numFmtId="1" fontId="0" fillId="0" borderId="27" xfId="0" applyNumberFormat="1" applyBorder="1" applyProtection="1">
      <protection hidden="1"/>
    </xf>
    <xf numFmtId="10" fontId="0" fillId="0" borderId="27" xfId="0" applyNumberFormat="1" applyBorder="1" applyProtection="1">
      <protection hidden="1"/>
    </xf>
    <xf numFmtId="164" fontId="0" fillId="0" borderId="27" xfId="0" applyNumberFormat="1" applyBorder="1" applyProtection="1">
      <protection hidden="1"/>
    </xf>
    <xf numFmtId="0" fontId="0" fillId="0" borderId="8" xfId="0" applyBorder="1" applyProtection="1">
      <protection hidden="1"/>
    </xf>
    <xf numFmtId="164" fontId="0" fillId="0" borderId="3" xfId="0" applyNumberFormat="1" applyBorder="1" applyProtection="1">
      <protection hidden="1"/>
    </xf>
    <xf numFmtId="164" fontId="0" fillId="0" borderId="9" xfId="0" applyNumberFormat="1" applyBorder="1" applyProtection="1">
      <protection hidden="1"/>
    </xf>
    <xf numFmtId="0" fontId="4" fillId="10" borderId="15" xfId="0" applyFont="1" applyFill="1" applyBorder="1" applyAlignment="1" applyProtection="1">
      <alignment horizontal="center"/>
      <protection hidden="1"/>
    </xf>
    <xf numFmtId="0" fontId="4" fillId="10" borderId="0" xfId="0" applyFont="1" applyFill="1" applyAlignment="1" applyProtection="1">
      <alignment horizontal="left"/>
      <protection hidden="1"/>
    </xf>
    <xf numFmtId="2" fontId="4" fillId="10" borderId="0" xfId="0" applyNumberFormat="1" applyFont="1" applyFill="1" applyProtection="1">
      <protection hidden="1"/>
    </xf>
    <xf numFmtId="0" fontId="4" fillId="10" borderId="0" xfId="0" applyFont="1" applyFill="1" applyProtection="1">
      <protection hidden="1"/>
    </xf>
    <xf numFmtId="0" fontId="0" fillId="0" borderId="28" xfId="0" applyBorder="1" applyAlignment="1" applyProtection="1">
      <alignment horizontal="left"/>
      <protection hidden="1"/>
    </xf>
    <xf numFmtId="1" fontId="0" fillId="0" borderId="28" xfId="0" applyNumberFormat="1" applyBorder="1" applyProtection="1">
      <protection hidden="1"/>
    </xf>
    <xf numFmtId="10" fontId="0" fillId="0" borderId="28" xfId="0" applyNumberFormat="1" applyBorder="1" applyProtection="1">
      <protection hidden="1"/>
    </xf>
    <xf numFmtId="0" fontId="4" fillId="0" borderId="4" xfId="0" applyFont="1" applyBorder="1" applyAlignment="1" applyProtection="1">
      <alignment horizontal="left"/>
      <protection hidden="1"/>
    </xf>
    <xf numFmtId="1" fontId="4" fillId="0" borderId="28" xfId="0" applyNumberFormat="1" applyFont="1" applyBorder="1" applyProtection="1">
      <protection hidden="1"/>
    </xf>
    <xf numFmtId="0" fontId="6" fillId="0" borderId="28" xfId="0" applyFont="1" applyFill="1" applyBorder="1" applyAlignment="1" applyProtection="1">
      <alignment horizontal="left"/>
      <protection hidden="1"/>
    </xf>
    <xf numFmtId="164" fontId="6" fillId="0" borderId="28" xfId="0" applyNumberFormat="1" applyFont="1" applyFill="1" applyBorder="1" applyProtection="1">
      <protection hidden="1"/>
    </xf>
    <xf numFmtId="0" fontId="6" fillId="0" borderId="34" xfId="0" applyFont="1" applyFill="1" applyBorder="1" applyAlignment="1" applyProtection="1">
      <alignment horizontal="left"/>
      <protection hidden="1"/>
    </xf>
    <xf numFmtId="0" fontId="7" fillId="0" borderId="4" xfId="0" applyFont="1" applyFill="1" applyBorder="1" applyAlignment="1" applyProtection="1">
      <alignment horizontal="left"/>
      <protection hidden="1"/>
    </xf>
    <xf numFmtId="2" fontId="7" fillId="0" borderId="4" xfId="0" applyNumberFormat="1" applyFont="1" applyFill="1" applyBorder="1" applyProtection="1">
      <protection hidden="1"/>
    </xf>
    <xf numFmtId="0" fontId="7" fillId="13" borderId="38" xfId="0" applyFont="1" applyFill="1" applyBorder="1" applyProtection="1">
      <protection hidden="1"/>
    </xf>
    <xf numFmtId="164" fontId="7" fillId="13" borderId="38" xfId="0" applyNumberFormat="1" applyFont="1" applyFill="1" applyBorder="1" applyProtection="1">
      <protection hidden="1"/>
    </xf>
    <xf numFmtId="0" fontId="6" fillId="13" borderId="39" xfId="0" applyFont="1" applyFill="1" applyBorder="1" applyAlignment="1" applyProtection="1">
      <alignment horizontal="left"/>
      <protection hidden="1"/>
    </xf>
    <xf numFmtId="0" fontId="6" fillId="13" borderId="38" xfId="0" applyFont="1" applyFill="1" applyBorder="1" applyProtection="1">
      <protection hidden="1"/>
    </xf>
    <xf numFmtId="164" fontId="4" fillId="13" borderId="0" xfId="0" applyNumberFormat="1" applyFont="1" applyFill="1" applyBorder="1" applyProtection="1">
      <protection hidden="1"/>
    </xf>
    <xf numFmtId="164" fontId="0" fillId="0" borderId="28" xfId="0" applyNumberFormat="1" applyBorder="1" applyProtection="1">
      <protection hidden="1"/>
    </xf>
    <xf numFmtId="0" fontId="0" fillId="0" borderId="10" xfId="0" applyBorder="1" applyProtection="1">
      <protection hidden="1"/>
    </xf>
    <xf numFmtId="164" fontId="0" fillId="0" borderId="11" xfId="0" applyNumberFormat="1" applyBorder="1" applyProtection="1">
      <protection hidden="1"/>
    </xf>
    <xf numFmtId="164" fontId="0" fillId="0" borderId="12" xfId="0" applyNumberFormat="1" applyBorder="1" applyProtection="1">
      <protection hidden="1"/>
    </xf>
    <xf numFmtId="164" fontId="0" fillId="15" borderId="0" xfId="0" applyNumberFormat="1" applyFill="1" applyBorder="1" applyProtection="1">
      <protection hidden="1"/>
    </xf>
    <xf numFmtId="0" fontId="4" fillId="13" borderId="0" xfId="0" applyFont="1" applyFill="1" applyBorder="1" applyAlignment="1" applyProtection="1">
      <alignment horizontal="center"/>
      <protection hidden="1"/>
    </xf>
    <xf numFmtId="0" fontId="4" fillId="15" borderId="0" xfId="0" applyFont="1" applyFill="1" applyAlignment="1" applyProtection="1">
      <alignment horizontal="left"/>
      <protection hidden="1"/>
    </xf>
    <xf numFmtId="0" fontId="8" fillId="8" borderId="27" xfId="0" applyFont="1" applyFill="1" applyBorder="1" applyProtection="1">
      <protection hidden="1"/>
    </xf>
    <xf numFmtId="164" fontId="6" fillId="0" borderId="5" xfId="0" applyNumberFormat="1" applyFont="1" applyFill="1" applyBorder="1" applyProtection="1">
      <protection hidden="1"/>
    </xf>
    <xf numFmtId="4" fontId="6" fillId="0" borderId="6" xfId="0" applyNumberFormat="1" applyFont="1" applyFill="1" applyBorder="1" applyProtection="1">
      <protection hidden="1"/>
    </xf>
    <xf numFmtId="0" fontId="6" fillId="0" borderId="6" xfId="0" applyFont="1" applyFill="1" applyBorder="1" applyProtection="1">
      <protection hidden="1"/>
    </xf>
    <xf numFmtId="164" fontId="6" fillId="0" borderId="6" xfId="0" applyNumberFormat="1" applyFont="1" applyFill="1" applyBorder="1" applyProtection="1">
      <protection hidden="1"/>
    </xf>
    <xf numFmtId="164" fontId="6" fillId="0" borderId="7" xfId="0" applyNumberFormat="1" applyFont="1" applyFill="1" applyBorder="1" applyProtection="1">
      <protection hidden="1"/>
    </xf>
    <xf numFmtId="0" fontId="5" fillId="0" borderId="0" xfId="0" applyFont="1" applyProtection="1">
      <protection hidden="1"/>
    </xf>
    <xf numFmtId="0" fontId="5" fillId="13" borderId="0" xfId="0" applyFont="1" applyFill="1" applyProtection="1">
      <protection hidden="1"/>
    </xf>
    <xf numFmtId="0" fontId="4" fillId="8" borderId="34" xfId="0" applyFont="1" applyFill="1" applyBorder="1" applyProtection="1">
      <protection hidden="1"/>
    </xf>
    <xf numFmtId="0" fontId="4" fillId="8" borderId="35" xfId="0" applyFont="1" applyFill="1" applyBorder="1" applyAlignment="1" applyProtection="1">
      <alignment vertical="top" wrapText="1"/>
      <protection hidden="1"/>
    </xf>
    <xf numFmtId="0" fontId="4" fillId="8" borderId="33" xfId="0" applyFont="1" applyFill="1" applyBorder="1" applyAlignment="1" applyProtection="1">
      <alignment vertical="top" wrapText="1"/>
      <protection hidden="1"/>
    </xf>
    <xf numFmtId="164" fontId="6" fillId="0" borderId="8" xfId="0" applyNumberFormat="1" applyFont="1" applyFill="1" applyBorder="1" applyProtection="1">
      <protection hidden="1"/>
    </xf>
    <xf numFmtId="4" fontId="6" fillId="0" borderId="3" xfId="0" applyNumberFormat="1" applyFont="1" applyFill="1" applyBorder="1" applyProtection="1">
      <protection hidden="1"/>
    </xf>
    <xf numFmtId="0" fontId="6" fillId="0" borderId="3" xfId="0" applyFont="1" applyFill="1" applyBorder="1" applyProtection="1">
      <protection hidden="1"/>
    </xf>
    <xf numFmtId="164" fontId="6" fillId="0" borderId="3" xfId="0" applyNumberFormat="1" applyFont="1" applyFill="1" applyBorder="1" applyProtection="1">
      <protection hidden="1"/>
    </xf>
    <xf numFmtId="164" fontId="6" fillId="0" borderId="9" xfId="0" applyNumberFormat="1" applyFont="1" applyFill="1" applyBorder="1" applyProtection="1">
      <protection hidden="1"/>
    </xf>
    <xf numFmtId="2" fontId="5" fillId="0" borderId="0" xfId="0" applyNumberFormat="1" applyFont="1" applyProtection="1">
      <protection hidden="1"/>
    </xf>
    <xf numFmtId="1" fontId="5" fillId="13" borderId="0" xfId="0" applyNumberFormat="1" applyFont="1" applyFill="1" applyProtection="1">
      <protection hidden="1"/>
    </xf>
    <xf numFmtId="164" fontId="6" fillId="0" borderId="10" xfId="0" applyNumberFormat="1" applyFont="1" applyFill="1" applyBorder="1" applyProtection="1">
      <protection hidden="1"/>
    </xf>
    <xf numFmtId="4" fontId="6" fillId="0" borderId="11" xfId="0" applyNumberFormat="1" applyFont="1" applyFill="1" applyBorder="1" applyProtection="1">
      <protection hidden="1"/>
    </xf>
    <xf numFmtId="0" fontId="6" fillId="0" borderId="11" xfId="0" applyFont="1" applyFill="1" applyBorder="1" applyProtection="1">
      <protection hidden="1"/>
    </xf>
    <xf numFmtId="164" fontId="6" fillId="0" borderId="11" xfId="0" applyNumberFormat="1" applyFont="1" applyFill="1" applyBorder="1" applyProtection="1">
      <protection hidden="1"/>
    </xf>
    <xf numFmtId="164" fontId="6" fillId="0" borderId="12" xfId="0" applyNumberFormat="1" applyFont="1" applyFill="1" applyBorder="1" applyProtection="1">
      <protection hidden="1"/>
    </xf>
    <xf numFmtId="0" fontId="7" fillId="13" borderId="42" xfId="0" applyFont="1" applyFill="1" applyBorder="1" applyProtection="1">
      <protection hidden="1"/>
    </xf>
    <xf numFmtId="4" fontId="7" fillId="0" borderId="43" xfId="0" applyNumberFormat="1" applyFont="1" applyFill="1" applyBorder="1" applyProtection="1">
      <protection hidden="1"/>
    </xf>
    <xf numFmtId="0" fontId="7" fillId="13" borderId="43" xfId="0" applyFont="1" applyFill="1" applyBorder="1" applyProtection="1">
      <protection hidden="1"/>
    </xf>
    <xf numFmtId="164" fontId="7" fillId="13" borderId="44" xfId="0" applyNumberFormat="1" applyFont="1" applyFill="1" applyBorder="1" applyProtection="1">
      <protection hidden="1"/>
    </xf>
    <xf numFmtId="164" fontId="7" fillId="13" borderId="0" xfId="0" applyNumberFormat="1" applyFont="1" applyFill="1" applyBorder="1" applyProtection="1">
      <protection hidden="1"/>
    </xf>
    <xf numFmtId="164" fontId="0" fillId="0" borderId="0" xfId="0" pivotButton="1" applyNumberFormat="1" applyProtection="1">
      <protection hidden="1"/>
    </xf>
    <xf numFmtId="164" fontId="4" fillId="0" borderId="31" xfId="0" applyNumberFormat="1" applyFont="1" applyBorder="1" applyProtection="1">
      <protection hidden="1"/>
    </xf>
    <xf numFmtId="0" fontId="0" fillId="0" borderId="39" xfId="0" pivotButton="1" applyBorder="1" applyProtection="1">
      <protection hidden="1"/>
    </xf>
    <xf numFmtId="0" fontId="1" fillId="15" borderId="0" xfId="0" applyNumberFormat="1" applyFont="1" applyFill="1" applyBorder="1" applyAlignment="1" applyProtection="1">
      <alignment horizontal="center"/>
      <protection hidden="1"/>
    </xf>
    <xf numFmtId="0" fontId="0" fillId="0" borderId="4" xfId="0" applyBorder="1" applyProtection="1">
      <protection hidden="1"/>
    </xf>
    <xf numFmtId="2" fontId="0" fillId="0" borderId="4" xfId="0" applyNumberFormat="1" applyBorder="1" applyProtection="1">
      <protection hidden="1"/>
    </xf>
    <xf numFmtId="10" fontId="0" fillId="0" borderId="4" xfId="0" applyNumberFormat="1" applyBorder="1" applyProtection="1">
      <protection hidden="1"/>
    </xf>
    <xf numFmtId="0" fontId="0" fillId="13" borderId="29" xfId="0" applyFill="1" applyBorder="1" applyAlignment="1" applyProtection="1">
      <alignment horizontal="left"/>
      <protection hidden="1"/>
    </xf>
    <xf numFmtId="0" fontId="4" fillId="8" borderId="4" xfId="0" applyFont="1" applyFill="1" applyBorder="1" applyProtection="1">
      <protection hidden="1"/>
    </xf>
    <xf numFmtId="0" fontId="1" fillId="10" borderId="4" xfId="0" applyFont="1" applyFill="1" applyBorder="1" applyAlignment="1" applyProtection="1">
      <alignment horizontal="center"/>
      <protection hidden="1"/>
    </xf>
    <xf numFmtId="0" fontId="1" fillId="0" borderId="4" xfId="0" applyNumberFormat="1" applyFont="1" applyBorder="1" applyAlignment="1" applyProtection="1">
      <alignment horizontal="center"/>
      <protection hidden="1"/>
    </xf>
    <xf numFmtId="0" fontId="1" fillId="0" borderId="0" xfId="0" applyNumberFormat="1" applyFont="1" applyBorder="1" applyAlignment="1" applyProtection="1">
      <alignment horizontal="center"/>
      <protection hidden="1"/>
    </xf>
    <xf numFmtId="2" fontId="4" fillId="8" borderId="4" xfId="0" applyNumberFormat="1" applyFont="1" applyFill="1" applyBorder="1" applyProtection="1">
      <protection hidden="1"/>
    </xf>
    <xf numFmtId="2" fontId="0" fillId="0" borderId="0" xfId="0" pivotButton="1" applyNumberFormat="1" applyProtection="1">
      <protection hidden="1"/>
    </xf>
    <xf numFmtId="0" fontId="1" fillId="0" borderId="4" xfId="0" applyNumberFormat="1" applyFont="1" applyFill="1" applyBorder="1" applyAlignment="1" applyProtection="1">
      <alignment horizontal="center"/>
      <protection hidden="1"/>
    </xf>
    <xf numFmtId="2" fontId="1" fillId="0" borderId="4" xfId="0" applyNumberFormat="1" applyFont="1" applyBorder="1" applyAlignment="1" applyProtection="1">
      <alignment horizontal="center"/>
      <protection hidden="1"/>
    </xf>
    <xf numFmtId="2" fontId="1" fillId="0" borderId="0" xfId="0" pivotButton="1" applyNumberFormat="1" applyFont="1" applyBorder="1" applyAlignment="1" applyProtection="1">
      <alignment horizontal="center"/>
      <protection hidden="1"/>
    </xf>
    <xf numFmtId="2" fontId="1" fillId="0" borderId="39" xfId="0" applyNumberFormat="1" applyFont="1" applyBorder="1" applyAlignment="1" applyProtection="1">
      <alignment horizontal="center"/>
      <protection hidden="1"/>
    </xf>
    <xf numFmtId="1" fontId="1" fillId="0" borderId="4" xfId="0" applyNumberFormat="1" applyFont="1" applyBorder="1" applyAlignment="1" applyProtection="1">
      <alignment horizontal="center"/>
      <protection hidden="1"/>
    </xf>
    <xf numFmtId="1" fontId="1" fillId="0" borderId="0" xfId="0" applyNumberFormat="1" applyFont="1" applyBorder="1" applyAlignment="1" applyProtection="1">
      <alignment horizontal="center"/>
      <protection hidden="1"/>
    </xf>
    <xf numFmtId="1" fontId="1" fillId="0" borderId="39" xfId="0" applyNumberFormat="1" applyFont="1" applyBorder="1" applyAlignment="1" applyProtection="1">
      <alignment horizontal="center"/>
      <protection hidden="1"/>
    </xf>
    <xf numFmtId="165" fontId="0" fillId="0" borderId="4" xfId="0" applyNumberFormat="1" applyBorder="1" applyProtection="1">
      <protection hidden="1"/>
    </xf>
    <xf numFmtId="165" fontId="0" fillId="0" borderId="28" xfId="0" applyNumberFormat="1" applyBorder="1" applyProtection="1">
      <protection hidden="1"/>
    </xf>
    <xf numFmtId="0" fontId="0" fillId="0" borderId="0" xfId="0" applyAlignment="1" applyProtection="1">
      <alignment horizontal="center"/>
      <protection hidden="1"/>
    </xf>
    <xf numFmtId="2" fontId="1" fillId="10" borderId="4" xfId="0" applyNumberFormat="1" applyFont="1" applyFill="1" applyBorder="1" applyAlignment="1" applyProtection="1">
      <alignment horizontal="center"/>
      <protection hidden="1"/>
    </xf>
    <xf numFmtId="1" fontId="1" fillId="0" borderId="4" xfId="0" applyNumberFormat="1" applyFont="1" applyFill="1" applyBorder="1" applyAlignment="1" applyProtection="1">
      <alignment horizontal="center"/>
      <protection hidden="1"/>
    </xf>
    <xf numFmtId="0" fontId="1" fillId="13" borderId="0" xfId="0" applyFont="1" applyFill="1" applyProtection="1">
      <protection hidden="1"/>
    </xf>
    <xf numFmtId="1" fontId="0" fillId="0" borderId="0" xfId="0" applyNumberFormat="1" applyProtection="1">
      <protection hidden="1"/>
    </xf>
    <xf numFmtId="0" fontId="10" fillId="0" borderId="0" xfId="0" applyFont="1"/>
    <xf numFmtId="0" fontId="1" fillId="0" borderId="4" xfId="0" applyFont="1" applyBorder="1" applyAlignment="1" applyProtection="1">
      <alignment horizontal="center"/>
      <protection hidden="1"/>
    </xf>
    <xf numFmtId="0" fontId="11" fillId="13" borderId="0" xfId="0" applyFont="1" applyFill="1" applyProtection="1">
      <protection hidden="1"/>
    </xf>
    <xf numFmtId="0" fontId="3" fillId="16" borderId="0" xfId="0" applyFont="1" applyFill="1" applyAlignment="1">
      <alignment wrapText="1"/>
    </xf>
    <xf numFmtId="0" fontId="3" fillId="17" borderId="0" xfId="0" applyFont="1" applyFill="1" applyAlignment="1">
      <alignment wrapText="1"/>
    </xf>
  </cellXfs>
  <cellStyles count="1">
    <cellStyle name="Normal" xfId="0" builtinId="0"/>
  </cellStyles>
  <dxfs count="1177">
    <dxf>
      <numFmt numFmtId="12" formatCode="&quot;£&quot;#,##0.00;[Red]\-&quot;£&quot;#,##0.00"/>
    </dxf>
    <dxf>
      <numFmt numFmtId="12" formatCode="&quot;£&quot;#,##0.00;[Red]\-&quot;£&quot;#,##0.00"/>
    </dxf>
    <dxf>
      <numFmt numFmtId="12" formatCode="&quot;£&quot;#,##0.00;[Red]\-&quot;£&quot;#,##0.00"/>
    </dxf>
    <dxf>
      <numFmt numFmtId="0" formatCode="General"/>
      <alignment horizontal="general" vertical="bottom" textRotation="0" wrapText="1" indent="0" justifyLastLine="0" shrinkToFit="0" readingOrder="0"/>
    </dxf>
    <dxf>
      <font>
        <b val="0"/>
        <family val="2"/>
      </font>
      <numFmt numFmtId="2" formatCode="0.00"/>
    </dxf>
    <dxf>
      <font>
        <b val="0"/>
        <family val="2"/>
      </font>
      <numFmt numFmtId="2" formatCode="0.00"/>
    </dxf>
    <dxf>
      <font>
        <b val="0"/>
        <family val="2"/>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1" formatCode="0"/>
    </dxf>
    <dxf>
      <font>
        <b val="0"/>
        <family val="2"/>
      </font>
      <numFmt numFmtId="2" formatCode="0.00"/>
    </dxf>
    <dxf>
      <font>
        <b val="0"/>
        <family val="2"/>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family val="2"/>
      </font>
      <numFmt numFmtId="2" formatCode="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family val="2"/>
      </font>
      <numFmt numFmtId="0" formatCode="General"/>
    </dxf>
    <dxf>
      <font>
        <b val="0"/>
        <i val="0"/>
        <strike val="0"/>
        <condense val="0"/>
        <extend val="0"/>
        <outline val="0"/>
        <shadow val="0"/>
        <u val="none"/>
        <vertAlign val="baseline"/>
        <sz val="11"/>
        <color theme="1"/>
        <name val="Calibri"/>
        <family val="2"/>
        <scheme val="minor"/>
      </font>
      <numFmt numFmtId="0" formatCode="General"/>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numFmt numFmtId="19" formatCode="dd/mm/yyyy"/>
    </dxf>
    <dxf>
      <font>
        <b val="0"/>
        <family val="2"/>
      </font>
      <numFmt numFmtId="19" formatCode="dd/mm/yyyy"/>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amily val="2"/>
      </font>
    </dxf>
    <dxf>
      <font>
        <b val="0"/>
        <family val="2"/>
      </font>
    </dxf>
    <dxf>
      <font>
        <b val="0"/>
        <family val="2"/>
      </font>
    </dxf>
    <dxf>
      <font>
        <b val="0"/>
        <family val="2"/>
      </font>
    </dxf>
    <dxf>
      <font>
        <b val="0"/>
        <i val="0"/>
        <strike val="0"/>
        <condense val="0"/>
        <extend val="0"/>
        <outline val="0"/>
        <shadow val="0"/>
        <u val="none"/>
        <vertAlign val="baseline"/>
        <sz val="11"/>
        <color theme="1"/>
        <name val="Calibri"/>
        <family val="2"/>
        <scheme val="minor"/>
      </font>
    </dxf>
    <dxf>
      <font>
        <b val="0"/>
        <family val="2"/>
      </font>
    </dxf>
    <dxf>
      <font>
        <b val="0"/>
      </font>
    </dxf>
    <dxf>
      <font>
        <b val="0"/>
      </font>
    </dxf>
    <dxf>
      <font>
        <b val="0"/>
      </font>
    </dxf>
    <dxf>
      <font>
        <b val="0"/>
      </font>
    </dxf>
    <dxf>
      <font>
        <b val="0"/>
        <i val="0"/>
        <strike val="0"/>
        <condense val="0"/>
        <extend val="0"/>
        <outline val="0"/>
        <shadow val="0"/>
        <u val="none"/>
        <vertAlign val="baseline"/>
        <sz val="11"/>
        <color theme="1"/>
        <name val="Calibri"/>
        <family val="2"/>
        <scheme val="minor"/>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amily val="2"/>
      </font>
      <numFmt numFmtId="0" formatCode="General"/>
    </dxf>
    <dxf>
      <font>
        <b val="0"/>
      </font>
    </dxf>
    <dxf>
      <font>
        <b val="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font>
    </dxf>
    <dxf>
      <font>
        <b val="0"/>
      </font>
    </dxf>
    <dxf>
      <font>
        <b val="0"/>
      </font>
    </dxf>
    <dxf>
      <font>
        <b val="0"/>
      </font>
    </dxf>
    <dxf>
      <font>
        <b val="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font>
    </dxf>
    <dxf>
      <font>
        <b val="0"/>
      </font>
    </dxf>
    <dxf>
      <font>
        <b val="0"/>
      </font>
    </dxf>
    <dxf>
      <font>
        <b val="0"/>
        <family val="2"/>
      </font>
    </dxf>
    <dxf>
      <font>
        <b val="0"/>
        <i val="0"/>
        <strike val="0"/>
        <condense val="0"/>
        <extend val="0"/>
        <outline val="0"/>
        <shadow val="0"/>
        <u val="none"/>
        <vertAlign val="baseline"/>
        <sz val="8"/>
        <color theme="1"/>
        <name val="Calibri"/>
        <family val="2"/>
        <scheme val="minor"/>
      </font>
      <alignment horizontal="general" vertical="bottom" textRotation="0" wrapText="1" indent="0" justifyLastLine="0" shrinkToFit="0" readingOrder="0"/>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numFmt numFmtId="2" formatCode="0.00"/>
    </dxf>
    <dxf>
      <numFmt numFmtId="2" formatCode="0.00"/>
    </dxf>
    <dxf>
      <protection locked="1"/>
    </dxf>
    <dxf>
      <protection locked="1"/>
    </dxf>
    <dxf>
      <protection locked="1"/>
    </dxf>
    <dxf>
      <protection locked="1"/>
    </dxf>
    <dxf>
      <protection locked="1"/>
    </dxf>
    <dxf>
      <protection hidden="1"/>
    </dxf>
    <dxf>
      <protection hidden="1"/>
    </dxf>
    <dxf>
      <protection hidden="1"/>
    </dxf>
    <dxf>
      <protection hidden="1"/>
    </dxf>
    <dxf>
      <protection hidden="1"/>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0" tint="-4.9989318521683403E-2"/>
        </patternFill>
      </fill>
    </dxf>
    <dxf>
      <font>
        <sz val="9"/>
      </font>
    </dxf>
    <dxf>
      <font>
        <sz val="9"/>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border>
        <left style="medium">
          <color indexed="64"/>
        </left>
        <top style="medium">
          <color indexed="64"/>
        </top>
      </border>
    </dxf>
    <dxf>
      <border>
        <left style="medium">
          <color indexed="64"/>
        </left>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numFmt numFmtId="164" formatCode="&quot;£&quot;#,##0.00"/>
    </dxf>
    <dxf>
      <numFmt numFmtId="164" formatCode="&quot;£&quot;#,##0.00"/>
    </dxf>
    <dxf>
      <protection locked="1"/>
    </dxf>
    <dxf>
      <protection locked="1"/>
    </dxf>
    <dxf>
      <protection locked="1"/>
    </dxf>
    <dxf>
      <protection locked="1"/>
    </dxf>
    <dxf>
      <protection locked="1"/>
    </dxf>
    <dxf>
      <protection hidden="1"/>
    </dxf>
    <dxf>
      <protection hidden="1"/>
    </dxf>
    <dxf>
      <protection hidden="1"/>
    </dxf>
    <dxf>
      <protection hidden="1"/>
    </dxf>
    <dxf>
      <protection hidden="1"/>
    </dxf>
    <dxf>
      <numFmt numFmtId="164" formatCode="&quot;£&quot;#,##0.00"/>
    </dxf>
    <dxf>
      <numFmt numFmtId="164" formatCode="&quot;£&quot;#,##0.00"/>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numFmt numFmtId="2" formatCode="0.00"/>
    </dxf>
    <dxf>
      <numFmt numFmtId="2" formatCode="0.00"/>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protection locked="1"/>
    </dxf>
    <dxf>
      <protection locked="1"/>
    </dxf>
    <dxf>
      <protection locked="1"/>
    </dxf>
    <dxf>
      <protection hidden="1"/>
    </dxf>
    <dxf>
      <protection hidden="1"/>
    </dxf>
    <dxf>
      <protection hidden="1"/>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 formatCode="0"/>
    </dxf>
    <dxf>
      <font>
        <sz val="8"/>
      </font>
      <numFmt numFmtId="2" formatCode="0.00"/>
      <alignment horizontal="center"/>
    </dxf>
    <dxf>
      <font>
        <sz val="8"/>
      </font>
      <numFmt numFmtId="2" formatCode="0.00"/>
      <alignment horizontal="center"/>
    </dxf>
    <dxf>
      <font>
        <sz val="8"/>
      </font>
      <numFmt numFmtId="2" formatCode="0.00"/>
      <alignment horizontal="center"/>
    </dxf>
    <dxf>
      <protection locked="1"/>
    </dxf>
    <dxf>
      <protection locked="1"/>
    </dxf>
    <dxf>
      <protection locked="1"/>
    </dxf>
    <dxf>
      <protection locked="1"/>
    </dxf>
    <dxf>
      <protection locked="1"/>
    </dxf>
    <dxf>
      <protection hidden="1"/>
    </dxf>
    <dxf>
      <protection hidden="1"/>
    </dxf>
    <dxf>
      <protection hidden="1"/>
    </dxf>
    <dxf>
      <protection hidden="1"/>
    </dxf>
    <dxf>
      <protection hidden="1"/>
    </dxf>
    <dxf>
      <border>
        <top style="medium">
          <color indexed="64"/>
        </top>
      </border>
    </dxf>
    <dxf>
      <border>
        <top style="medium">
          <color indexed="64"/>
        </top>
      </border>
    </dxf>
    <dxf>
      <border>
        <bottom style="medium">
          <color indexed="64"/>
        </bottom>
      </border>
    </dxf>
    <dxf>
      <border>
        <bottom style="medium">
          <color indexed="64"/>
        </bottom>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quot;£&quot;#,##0.00"/>
    </dxf>
    <dxf>
      <numFmt numFmtId="164" formatCode="&quot;£&quot;#,##0.00"/>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protection locked="1"/>
    </dxf>
    <dxf>
      <protection locked="1"/>
    </dxf>
    <dxf>
      <protection locked="1"/>
    </dxf>
    <dxf>
      <protection locked="1"/>
    </dxf>
    <dxf>
      <protection locked="1"/>
    </dxf>
    <dxf>
      <protection hidden="1"/>
    </dxf>
    <dxf>
      <protection hidden="1"/>
    </dxf>
    <dxf>
      <protection hidden="1"/>
    </dxf>
    <dxf>
      <protection hidden="1"/>
    </dxf>
    <dxf>
      <protection hidden="1"/>
    </dxf>
    <dxf>
      <protection locked="1"/>
    </dxf>
    <dxf>
      <protection locked="1"/>
    </dxf>
    <dxf>
      <protection locked="1"/>
    </dxf>
    <dxf>
      <protection locked="1"/>
    </dxf>
    <dxf>
      <protection locked="1"/>
    </dxf>
    <dxf>
      <protection hidden="1"/>
    </dxf>
    <dxf>
      <protection hidden="1"/>
    </dxf>
    <dxf>
      <protection hidden="1"/>
    </dxf>
    <dxf>
      <protection hidden="1"/>
    </dxf>
    <dxf>
      <protection hidden="1"/>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bgColor theme="0" tint="-4.9989318521683403E-2"/>
        </patternFill>
      </fill>
    </dxf>
    <dxf>
      <fill>
        <patternFill>
          <bgColor theme="0" tint="-4.9989318521683403E-2"/>
        </patternFill>
      </fill>
    </dxf>
    <dxf>
      <border>
        <left style="medium">
          <color indexed="64"/>
        </left>
        <right style="medium">
          <color indexed="64"/>
        </right>
      </border>
    </dxf>
    <dxf>
      <border>
        <top style="medium">
          <color indexed="64"/>
        </top>
        <bottom style="medium">
          <color indexed="64"/>
        </bottom>
        <vertical/>
      </border>
    </dxf>
    <dxf>
      <border>
        <top style="medium">
          <color indexed="64"/>
        </top>
        <bottom style="medium">
          <color indexed="64"/>
        </bottom>
        <vertical/>
      </border>
    </dxf>
    <dxf>
      <font>
        <sz val="9"/>
      </font>
    </dxf>
    <dxf>
      <font>
        <sz val="9"/>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border>
        <bottom style="medium">
          <color indexed="64"/>
        </bottom>
      </border>
    </dxf>
    <dxf>
      <border>
        <right style="medium">
          <color indexed="64"/>
        </right>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ont>
        <b/>
      </font>
    </dxf>
    <dxf>
      <font>
        <b/>
      </font>
    </dxf>
    <dxf>
      <numFmt numFmtId="2" formatCode="0.00"/>
    </dxf>
    <dxf>
      <numFmt numFmtId="2" formatCode="0.00"/>
    </dxf>
    <dxf>
      <protection locked="1"/>
    </dxf>
    <dxf>
      <protection locked="1"/>
    </dxf>
    <dxf>
      <protection locked="1"/>
    </dxf>
    <dxf>
      <protection hidden="1"/>
    </dxf>
    <dxf>
      <protection hidden="1"/>
    </dxf>
    <dxf>
      <protection hidden="1"/>
    </dxf>
    <dxf>
      <numFmt numFmtId="1" formatCode="0"/>
    </dxf>
    <dxf>
      <font>
        <sz val="8"/>
      </font>
      <numFmt numFmtId="2" formatCode="0.00"/>
      <alignment horizontal="center"/>
    </dxf>
    <dxf>
      <font>
        <sz val="8"/>
      </font>
      <numFmt numFmtId="2" formatCode="0.00"/>
      <alignment horizontal="center"/>
    </dxf>
    <dxf>
      <font>
        <sz val="8"/>
      </font>
      <numFmt numFmtId="2" formatCode="0.00"/>
      <alignment horizontal="cent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numFmt numFmtId="1" formatCode="0"/>
    </dxf>
    <dxf>
      <numFmt numFmtId="1" formatCode="0"/>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protection locked="1"/>
    </dxf>
    <dxf>
      <protection locked="1"/>
    </dxf>
    <dxf>
      <protection locked="1"/>
    </dxf>
    <dxf>
      <protection locked="1"/>
    </dxf>
    <dxf>
      <protection locked="1"/>
    </dxf>
    <dxf>
      <protection locked="1"/>
    </dxf>
    <dxf>
      <protection hidden="1"/>
    </dxf>
    <dxf>
      <protection hidden="1"/>
    </dxf>
    <dxf>
      <protection hidden="1"/>
    </dxf>
    <dxf>
      <protection hidden="1"/>
    </dxf>
    <dxf>
      <protection hidden="1"/>
    </dxf>
    <dxf>
      <protection hidden="1"/>
    </dxf>
    <dxf>
      <protection locked="1"/>
    </dxf>
    <dxf>
      <protection locked="1"/>
    </dxf>
    <dxf>
      <protection locked="1"/>
    </dxf>
    <dxf>
      <protection locked="1"/>
    </dxf>
    <dxf>
      <protection hidden="1"/>
    </dxf>
    <dxf>
      <protection hidden="1"/>
    </dxf>
    <dxf>
      <protection hidden="1"/>
    </dxf>
    <dxf>
      <protection hidden="1"/>
    </dxf>
    <dxf>
      <protection locked="1"/>
    </dxf>
    <dxf>
      <protection locked="1"/>
    </dxf>
    <dxf>
      <protection locked="1"/>
    </dxf>
    <dxf>
      <protection hidden="1"/>
    </dxf>
    <dxf>
      <protection hidden="1"/>
    </dxf>
    <dxf>
      <protection hidden="1"/>
    </dxf>
    <dxf>
      <border>
        <bottom style="medium">
          <color indexed="64"/>
        </bottom>
      </border>
    </dxf>
    <dxf>
      <border>
        <left style="medium">
          <color indexed="64"/>
        </left>
        <right style="medium">
          <color indexed="64"/>
        </right>
        <bottom style="medium">
          <color indexed="64"/>
        </bottom>
        <horizontal/>
      </border>
    </dxf>
    <dxf>
      <border>
        <left style="medium">
          <color indexed="64"/>
        </left>
        <right style="medium">
          <color indexed="64"/>
        </right>
        <bottom style="medium">
          <color indexed="64"/>
        </bottom>
        <horizontal/>
      </border>
    </dxf>
    <dxf>
      <border>
        <left style="medium">
          <color indexed="64"/>
        </left>
        <right style="medium">
          <color indexed="64"/>
        </right>
        <bottom style="medium">
          <color indexed="64"/>
        </bottom>
        <horizontal/>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protection locked="1"/>
    </dxf>
    <dxf>
      <protection locked="1"/>
    </dxf>
    <dxf>
      <protection locked="1"/>
    </dxf>
    <dxf>
      <protection hidden="1"/>
    </dxf>
    <dxf>
      <protection hidden="1"/>
    </dxf>
    <dxf>
      <protection hidden="1"/>
    </dxf>
    <dxf>
      <numFmt numFmtId="1" formatCode="0"/>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ont>
        <sz val="8"/>
      </font>
      <numFmt numFmtId="2" formatCode="0.00"/>
      <alignment horizontal="center"/>
    </dxf>
    <dxf>
      <font>
        <sz val="8"/>
      </font>
      <numFmt numFmtId="2" formatCode="0.00"/>
      <alignment horizontal="center"/>
    </dxf>
    <dxf>
      <font>
        <sz val="8"/>
      </font>
      <numFmt numFmtId="2" formatCode="0.00"/>
      <alignment horizontal="center"/>
    </dxf>
    <dxf>
      <protection locked="1"/>
    </dxf>
    <dxf>
      <protection locked="1"/>
    </dxf>
    <dxf>
      <protection locked="1"/>
    </dxf>
    <dxf>
      <protection locked="1"/>
    </dxf>
    <dxf>
      <protection locked="1"/>
    </dxf>
    <dxf>
      <protection hidden="1"/>
    </dxf>
    <dxf>
      <protection hidden="1"/>
    </dxf>
    <dxf>
      <protection hidden="1"/>
    </dxf>
    <dxf>
      <protection hidden="1"/>
    </dxf>
    <dxf>
      <protection hidden="1"/>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protection locked="1"/>
    </dxf>
    <dxf>
      <protection locked="1"/>
    </dxf>
    <dxf>
      <protection locked="1"/>
    </dxf>
    <dxf>
      <protection hidden="1"/>
    </dxf>
    <dxf>
      <protection hidden="1"/>
    </dxf>
    <dxf>
      <protection hidden="1"/>
    </dxf>
    <dxf>
      <numFmt numFmtId="14" formatCode="0.00%"/>
    </dxf>
    <dxf>
      <numFmt numFmtId="2" formatCode="0.00"/>
    </dxf>
    <dxf>
      <numFmt numFmtId="2" formatCode="0.00"/>
    </dxf>
    <dxf>
      <protection locked="1"/>
    </dxf>
    <dxf>
      <protection locked="1"/>
    </dxf>
    <dxf>
      <protection locked="1"/>
    </dxf>
    <dxf>
      <protection hidden="1"/>
    </dxf>
    <dxf>
      <protection hidden="1"/>
    </dxf>
    <dxf>
      <protection hidden="1"/>
    </dxf>
    <dxf>
      <numFmt numFmtId="14" formatCode="0.00%"/>
    </dxf>
    <dxf>
      <numFmt numFmtId="2" formatCode="0.00"/>
    </dxf>
    <dxf>
      <numFmt numFmtId="2" formatCode="0.00"/>
    </dxf>
    <dxf>
      <protection locked="1"/>
    </dxf>
    <dxf>
      <protection locked="1"/>
    </dxf>
    <dxf>
      <protection locked="1"/>
    </dxf>
    <dxf>
      <protection hidden="1"/>
    </dxf>
    <dxf>
      <protection hidden="1"/>
    </dxf>
    <dxf>
      <protection hidden="1"/>
    </dxf>
    <dxf>
      <fill>
        <patternFill>
          <bgColor theme="4" tint="0.79998168889431442"/>
        </patternFill>
      </fill>
    </dxf>
    <dxf>
      <fill>
        <patternFill patternType="none">
          <bgColor auto="1"/>
        </patternFill>
      </fill>
    </dxf>
    <dxf>
      <fill>
        <patternFill>
          <bgColor theme="0" tint="-4.9989318521683403E-2"/>
        </patternFill>
      </fill>
    </dxf>
    <dxf>
      <font>
        <sz val="8"/>
      </font>
      <alignment horizontal="center"/>
    </dxf>
    <dxf>
      <font>
        <sz val="8"/>
      </font>
      <alignment horizontal="center"/>
    </dxf>
    <dxf>
      <font>
        <sz val="8"/>
      </font>
      <alignment horizontal="center"/>
    </dxf>
    <dxf>
      <numFmt numFmtId="1" formatCode="0"/>
    </dxf>
    <dxf>
      <border>
        <bottom style="medium">
          <color indexed="64"/>
        </bottom>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numFmt numFmtId="2" formatCode="0.00"/>
    </dxf>
    <dxf>
      <numFmt numFmtId="2" formatCode="0.00"/>
    </dxf>
    <dxf>
      <font>
        <sz val="8"/>
      </font>
    </dxf>
    <dxf>
      <font>
        <sz val="8"/>
      </font>
    </dxf>
    <dxf>
      <font>
        <sz val="8"/>
      </font>
    </dxf>
    <dxf>
      <protection locked="1"/>
    </dxf>
    <dxf>
      <protection locked="1"/>
    </dxf>
    <dxf>
      <protection locked="1"/>
    </dxf>
    <dxf>
      <protection hidden="1"/>
    </dxf>
    <dxf>
      <protection hidden="1"/>
    </dxf>
    <dxf>
      <protection hidden="1"/>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numFmt numFmtId="2" formatCode="0.00"/>
    </dxf>
    <dxf>
      <numFmt numFmtId="2" formatCode="0.00"/>
    </dxf>
    <dxf>
      <protection locked="1"/>
    </dxf>
    <dxf>
      <protection locked="1"/>
    </dxf>
    <dxf>
      <protection locked="1"/>
    </dxf>
    <dxf>
      <protection locked="1"/>
    </dxf>
    <dxf>
      <protection locked="1"/>
    </dxf>
    <dxf>
      <protection hidden="1"/>
    </dxf>
    <dxf>
      <protection hidden="1"/>
    </dxf>
    <dxf>
      <protection hidden="1"/>
    </dxf>
    <dxf>
      <protection hidden="1"/>
    </dxf>
    <dxf>
      <protection hidden="1"/>
    </dxf>
    <dxf>
      <fill>
        <patternFill patternType="solid">
          <bgColor theme="4" tint="0.79998168889431442"/>
        </patternFill>
      </fill>
    </dxf>
    <dxf>
      <fill>
        <patternFill patternType="solid">
          <bgColor theme="4" tint="0.79998168889431442"/>
        </patternFill>
      </fill>
    </dxf>
    <dxf>
      <font>
        <b/>
      </font>
    </dxf>
    <dxf>
      <font>
        <b/>
      </font>
    </dxf>
    <dxf>
      <numFmt numFmtId="2" formatCode="0.00"/>
    </dxf>
    <dxf>
      <numFmt numFmtId="2" formatCode="0.00"/>
    </dxf>
    <dxf>
      <protection locked="1"/>
    </dxf>
    <dxf>
      <protection locked="1"/>
    </dxf>
    <dxf>
      <protection locked="1"/>
    </dxf>
    <dxf>
      <protection locked="1"/>
    </dxf>
    <dxf>
      <protection locked="1"/>
    </dxf>
    <dxf>
      <protection hidden="1"/>
    </dxf>
    <dxf>
      <protection hidden="1"/>
    </dxf>
    <dxf>
      <protection hidden="1"/>
    </dxf>
    <dxf>
      <protection hidden="1"/>
    </dxf>
    <dxf>
      <protection hidden="1"/>
    </dxf>
    <dxf>
      <fill>
        <patternFill patternType="solid">
          <bgColor theme="4" tint="0.79998168889431442"/>
        </patternFill>
      </fill>
    </dxf>
    <dxf>
      <fill>
        <patternFill patternType="solid">
          <bgColor theme="4" tint="0.79998168889431442"/>
        </patternFill>
      </fill>
    </dxf>
    <dxf>
      <font>
        <b/>
      </font>
    </dxf>
    <dxf>
      <font>
        <b/>
      </font>
    </dxf>
    <dxf>
      <numFmt numFmtId="2" formatCode="0.00"/>
    </dxf>
    <dxf>
      <numFmt numFmtId="2" formatCode="0.00"/>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numFmt numFmtId="2" formatCode="0.00"/>
    </dxf>
    <dxf>
      <numFmt numFmtId="2" formatCode="0.00"/>
    </dxf>
    <dxf>
      <protection locked="1"/>
    </dxf>
    <dxf>
      <protection locked="1"/>
    </dxf>
    <dxf>
      <protection locked="1"/>
    </dxf>
    <dxf>
      <protection hidden="1"/>
    </dxf>
    <dxf>
      <protection hidden="1"/>
    </dxf>
    <dxf>
      <protection hidden="1"/>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hidden="1"/>
    </dxf>
    <dxf>
      <protection hidden="1"/>
    </dxf>
    <dxf>
      <protection hidden="1"/>
    </dxf>
    <dxf>
      <protection hidden="1"/>
    </dxf>
    <dxf>
      <protection hidden="1"/>
    </dxf>
    <dxf>
      <protection locked="1"/>
    </dxf>
    <dxf>
      <protection locked="1"/>
    </dxf>
    <dxf>
      <protection locked="1"/>
    </dxf>
    <dxf>
      <protection locked="1"/>
    </dxf>
    <dxf>
      <protection locked="1"/>
    </dxf>
    <dxf>
      <protection hidden="1"/>
    </dxf>
    <dxf>
      <protection hidden="1"/>
    </dxf>
    <dxf>
      <protection hidden="1"/>
    </dxf>
    <dxf>
      <protection hidden="1"/>
    </dxf>
    <dxf>
      <protection hidden="1"/>
    </dxf>
    <dxf>
      <protection locked="1"/>
    </dxf>
    <dxf>
      <protection locked="1"/>
    </dxf>
    <dxf>
      <protection locked="1"/>
    </dxf>
    <dxf>
      <protection locked="1"/>
    </dxf>
    <dxf>
      <protection locked="1"/>
    </dxf>
    <dxf>
      <protection hidden="1"/>
    </dxf>
    <dxf>
      <protection hidden="1"/>
    </dxf>
    <dxf>
      <protection hidden="1"/>
    </dxf>
    <dxf>
      <protection hidden="1"/>
    </dxf>
    <dxf>
      <protection hidden="1"/>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0" tint="-4.9989318521683403E-2"/>
        </patternFill>
      </fill>
    </dxf>
    <dxf>
      <font>
        <sz val="9"/>
      </font>
    </dxf>
    <dxf>
      <font>
        <sz val="9"/>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border>
        <left style="medium">
          <color indexed="64"/>
        </left>
        <top style="medium">
          <color indexed="64"/>
        </top>
      </border>
    </dxf>
    <dxf>
      <border>
        <left style="medium">
          <color indexed="64"/>
        </left>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numFmt numFmtId="164" formatCode="&quot;£&quot;#,##0.00"/>
    </dxf>
    <dxf>
      <numFmt numFmtId="164" formatCode="&quot;£&quot;#,##0.00"/>
    </dxf>
    <dxf>
      <numFmt numFmtId="164" formatCode="&quot;£&quot;#,##0.00"/>
    </dxf>
    <dxf>
      <protection locked="1"/>
    </dxf>
    <dxf>
      <protection locked="1"/>
    </dxf>
    <dxf>
      <protection locked="1"/>
    </dxf>
    <dxf>
      <protection hidden="1"/>
    </dxf>
    <dxf>
      <protection hidden="1"/>
    </dxf>
    <dxf>
      <protection hidden="1"/>
    </dxf>
    <dxf>
      <fill>
        <patternFill>
          <bgColor theme="4" tint="0.79998168889431442"/>
        </patternFill>
      </fill>
    </dxf>
    <dxf>
      <fill>
        <patternFill patternType="none">
          <bgColor auto="1"/>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sz val="8"/>
      </font>
    </dxf>
    <dxf>
      <font>
        <sz val="8"/>
      </font>
    </dxf>
    <dxf>
      <font>
        <b val="0"/>
      </font>
    </dxf>
    <dxf>
      <font>
        <b val="0"/>
      </font>
    </dxf>
    <dxf>
      <font>
        <b val="0"/>
      </font>
    </dxf>
    <dxf>
      <alignment horizontal="center"/>
    </dxf>
    <dxf>
      <alignment horizontal="center"/>
    </dxf>
    <dxf>
      <protection locked="1"/>
    </dxf>
    <dxf>
      <protection locked="1"/>
    </dxf>
    <dxf>
      <protection locked="1"/>
    </dxf>
    <dxf>
      <protection hidden="1"/>
    </dxf>
    <dxf>
      <protection hidden="1"/>
    </dxf>
    <dxf>
      <protection hidden="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4" formatCode="0.00%"/>
    </dxf>
    <dxf>
      <numFmt numFmtId="2" formatCode="0.00"/>
    </dxf>
    <dxf>
      <numFmt numFmtId="2" formatCode="0.00"/>
    </dxf>
    <dxf>
      <protection locked="1"/>
    </dxf>
    <dxf>
      <protection locked="1"/>
    </dxf>
    <dxf>
      <protection locked="1"/>
    </dxf>
    <dxf>
      <protection hidden="1"/>
    </dxf>
    <dxf>
      <protection hidden="1"/>
    </dxf>
    <dxf>
      <protection hidden="1"/>
    </dxf>
    <dxf>
      <border>
        <bottom style="medium">
          <color indexed="64"/>
        </bottom>
      </border>
    </dxf>
    <dxf>
      <border>
        <left style="medium">
          <color indexed="64"/>
        </left>
        <right style="medium">
          <color indexed="64"/>
        </right>
        <bottom style="medium">
          <color indexed="64"/>
        </bottom>
        <horizontal/>
      </border>
    </dxf>
    <dxf>
      <border>
        <left style="medium">
          <color indexed="64"/>
        </left>
        <right style="medium">
          <color indexed="64"/>
        </right>
        <bottom style="medium">
          <color indexed="64"/>
        </bottom>
        <horizontal/>
      </border>
    </dxf>
    <dxf>
      <border>
        <left style="medium">
          <color indexed="64"/>
        </left>
        <right style="medium">
          <color indexed="64"/>
        </right>
        <bottom style="medium">
          <color indexed="64"/>
        </bottom>
        <horizontal/>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hidden="1"/>
    </dxf>
    <dxf>
      <protection hidden="1"/>
    </dxf>
    <dxf>
      <protection hidden="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sz val="8"/>
      </font>
    </dxf>
    <dxf>
      <font>
        <sz val="8"/>
      </font>
    </dxf>
    <dxf>
      <alignment horizontal="center"/>
    </dxf>
    <dxf>
      <alignment horizontal="center"/>
    </dxf>
    <dxf>
      <alignment horizontal="center"/>
    </dxf>
    <dxf>
      <numFmt numFmtId="1" formatCode="0"/>
    </dxf>
    <dxf>
      <numFmt numFmtId="2" formatCode="0.00"/>
    </dxf>
    <dxf>
      <numFmt numFmtId="2" formatCode="0.00"/>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numFmt numFmtId="2" formatCode="0.00"/>
    </dxf>
    <dxf>
      <numFmt numFmtId="2" formatCode="0.00"/>
    </dxf>
    <dxf>
      <protection locked="1"/>
    </dxf>
    <dxf>
      <protection locked="1"/>
    </dxf>
    <dxf>
      <protection locked="1"/>
    </dxf>
    <dxf>
      <protection locked="1"/>
    </dxf>
    <dxf>
      <protection locked="1"/>
    </dxf>
    <dxf>
      <protection locked="1"/>
    </dxf>
    <dxf>
      <protection hidden="1"/>
    </dxf>
    <dxf>
      <protection hidden="1"/>
    </dxf>
    <dxf>
      <protection hidden="1"/>
    </dxf>
    <dxf>
      <protection hidden="1"/>
    </dxf>
    <dxf>
      <protection hidden="1"/>
    </dxf>
    <dxf>
      <protection hidden="1"/>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numFmt numFmtId="2" formatCode="0.00"/>
    </dxf>
    <dxf>
      <numFmt numFmtId="2" formatCode="0.00"/>
    </dxf>
    <dxf>
      <protection locked="1"/>
    </dxf>
    <dxf>
      <protection locked="1"/>
    </dxf>
    <dxf>
      <protection locked="1"/>
    </dxf>
    <dxf>
      <protection locked="1"/>
    </dxf>
    <dxf>
      <protection locked="1"/>
    </dxf>
    <dxf>
      <protection hidden="1"/>
    </dxf>
    <dxf>
      <protection hidden="1"/>
    </dxf>
    <dxf>
      <protection hidden="1"/>
    </dxf>
    <dxf>
      <protection hidden="1"/>
    </dxf>
    <dxf>
      <protection hidden="1"/>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bgColor theme="0" tint="-4.9989318521683403E-2"/>
        </patternFill>
      </fill>
    </dxf>
    <dxf>
      <fill>
        <patternFill>
          <bgColor theme="0" tint="-4.9989318521683403E-2"/>
        </patternFill>
      </fill>
    </dxf>
    <dxf>
      <font>
        <b/>
      </font>
    </dxf>
    <dxf>
      <border>
        <left style="medium">
          <color indexed="64"/>
        </left>
        <right style="medium">
          <color indexed="64"/>
        </right>
      </border>
    </dxf>
    <dxf>
      <border>
        <top style="medium">
          <color indexed="64"/>
        </top>
        <bottom style="medium">
          <color indexed="64"/>
        </bottom>
        <vertical/>
      </border>
    </dxf>
    <dxf>
      <border>
        <top style="medium">
          <color indexed="64"/>
        </top>
        <bottom style="medium">
          <color indexed="64"/>
        </bottom>
        <vertical/>
      </border>
    </dxf>
    <dxf>
      <font>
        <sz val="9"/>
      </font>
    </dxf>
    <dxf>
      <font>
        <sz val="9"/>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border>
        <bottom style="medium">
          <color indexed="64"/>
        </bottom>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numFmt numFmtId="2" formatCode="0.00"/>
    </dxf>
    <dxf>
      <numFmt numFmtId="2" formatCode="0.00"/>
    </dxf>
    <dxf>
      <protection locked="1"/>
    </dxf>
    <dxf>
      <protection locked="1"/>
    </dxf>
    <dxf>
      <protection locked="1"/>
    </dxf>
    <dxf>
      <protection locked="1"/>
    </dxf>
    <dxf>
      <protection locked="1"/>
    </dxf>
    <dxf>
      <protection hidden="1"/>
    </dxf>
    <dxf>
      <protection hidden="1"/>
    </dxf>
    <dxf>
      <protection hidden="1"/>
    </dxf>
    <dxf>
      <protection hidden="1"/>
    </dxf>
    <dxf>
      <protection hidden="1"/>
    </dxf>
    <dxf>
      <border>
        <bottom style="medium">
          <color indexed="64"/>
        </bottom>
        <vertical/>
      </border>
    </dxf>
    <dxf>
      <border>
        <bottom style="medium">
          <color indexed="64"/>
        </bottom>
        <vertical/>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protection locked="1"/>
    </dxf>
    <dxf>
      <protection locked="1"/>
    </dxf>
    <dxf>
      <protection locked="1"/>
    </dxf>
    <dxf>
      <protection locked="1"/>
    </dxf>
    <dxf>
      <protection locked="1"/>
    </dxf>
    <dxf>
      <protection hidden="1"/>
    </dxf>
    <dxf>
      <protection hidden="1"/>
    </dxf>
    <dxf>
      <protection hidden="1"/>
    </dxf>
    <dxf>
      <protection hidden="1"/>
    </dxf>
    <dxf>
      <protection hidden="1"/>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 formatCode="0"/>
    </dxf>
    <dxf>
      <numFmt numFmtId="1" formatCode="0"/>
    </dxf>
    <dxf>
      <protection locked="1"/>
    </dxf>
    <dxf>
      <protection locked="1"/>
    </dxf>
    <dxf>
      <protection locked="1"/>
    </dxf>
    <dxf>
      <protection hidden="1"/>
    </dxf>
    <dxf>
      <protection hidden="1"/>
    </dxf>
    <dxf>
      <protection hidden="1"/>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b/>
        <color theme="1"/>
      </font>
      <border>
        <bottom style="thin">
          <color theme="4"/>
        </bottom>
        <vertical/>
        <horizontal/>
      </border>
    </dxf>
    <dxf>
      <font>
        <sz val="8"/>
        <color theme="1"/>
      </font>
      <fill>
        <patternFill>
          <bgColor theme="0" tint="-0.24994659260841701"/>
        </patternFill>
      </fill>
      <border diagonalUp="0" diagonalDown="0">
        <left/>
        <right/>
        <top/>
        <bottom/>
        <vertical/>
        <horizontal/>
      </border>
    </dxf>
    <dxf>
      <font>
        <b/>
        <color theme="1"/>
      </font>
      <border>
        <bottom style="thin">
          <color theme="4"/>
        </bottom>
        <vertical/>
        <horizontal/>
      </border>
    </dxf>
    <dxf>
      <font>
        <sz val="8"/>
        <color theme="1"/>
      </font>
      <fill>
        <patternFill>
          <bgColor theme="0" tint="-4.9989318521683403E-2"/>
        </patternFill>
      </fill>
      <border diagonalUp="0" diagonalDown="0">
        <left/>
        <right/>
        <top/>
        <bottom/>
        <vertical/>
        <horizontal/>
      </border>
    </dxf>
    <dxf>
      <font>
        <b/>
        <color theme="1"/>
      </font>
      <border>
        <bottom style="thin">
          <color theme="4"/>
        </bottom>
        <vertical/>
        <horizontal/>
      </border>
    </dxf>
    <dxf>
      <font>
        <sz val="8"/>
        <color theme="1"/>
      </font>
      <border diagonalUp="0" diagonalDown="0">
        <left/>
        <right/>
        <top/>
        <bottom/>
        <vertical/>
        <horizontal/>
      </border>
    </dxf>
  </dxfs>
  <tableStyles count="3" defaultTableStyle="TableStyleMedium2" defaultPivotStyle="PivotStyleLight16">
    <tableStyle name="SlicerStyleLight1 2" pivot="0" table="0" count="10">
      <tableStyleElement type="wholeTable" dxfId="1176"/>
      <tableStyleElement type="headerRow" dxfId="1175"/>
    </tableStyle>
    <tableStyle name="SlicerStyleLight1 2 2" pivot="0" table="0" count="10">
      <tableStyleElement type="wholeTable" dxfId="1174"/>
      <tableStyleElement type="headerRow" dxfId="1173"/>
    </tableStyle>
    <tableStyle name="SlicerStyleLight1 2 3" pivot="0" table="0" count="10">
      <tableStyleElement type="wholeTable" dxfId="1172"/>
      <tableStyleElement type="headerRow" dxfId="1171"/>
    </tableStyle>
  </tableStyles>
  <colors>
    <mruColors>
      <color rgb="FFA50021"/>
      <color rgb="FFCC0000"/>
      <color rgb="FFFF99FF"/>
    </mruColors>
  </colors>
  <extLst>
    <ext xmlns:x14="http://schemas.microsoft.com/office/spreadsheetml/2009/9/main" uri="{46F421CA-312F-682f-3DD2-61675219B42D}">
      <x14:dxfs count="24">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3">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microsoft.com/office/2007/relationships/slicerCache" Target="slicerCaches/slicerCache13.xml"/><Relationship Id="rId26" Type="http://schemas.microsoft.com/office/2007/relationships/slicerCache" Target="slicerCaches/slicerCache21.xml"/><Relationship Id="rId39"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16.xml"/><Relationship Id="rId34" Type="http://schemas.microsoft.com/office/2007/relationships/slicerCache" Target="slicerCaches/slicerCache29.xml"/><Relationship Id="rId42" Type="http://schemas.openxmlformats.org/officeDocument/2006/relationships/customXml" Target="../customXml/item1.xml"/><Relationship Id="rId7" Type="http://schemas.microsoft.com/office/2007/relationships/slicerCache" Target="slicerCaches/slicerCache2.xml"/><Relationship Id="rId12" Type="http://schemas.microsoft.com/office/2007/relationships/slicerCache" Target="slicerCaches/slicerCache7.xml"/><Relationship Id="rId17" Type="http://schemas.microsoft.com/office/2007/relationships/slicerCache" Target="slicerCaches/slicerCache12.xml"/><Relationship Id="rId25" Type="http://schemas.microsoft.com/office/2007/relationships/slicerCache" Target="slicerCaches/slicerCache20.xml"/><Relationship Id="rId33" Type="http://schemas.microsoft.com/office/2007/relationships/slicerCache" Target="slicerCaches/slicerCache28.xml"/><Relationship Id="rId38"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11.xml"/><Relationship Id="rId20" Type="http://schemas.microsoft.com/office/2007/relationships/slicerCache" Target="slicerCaches/slicerCache15.xml"/><Relationship Id="rId29" Type="http://schemas.microsoft.com/office/2007/relationships/slicerCache" Target="slicerCaches/slicerCache24.xml"/><Relationship Id="rId41" Type="http://schemas.openxmlformats.org/officeDocument/2006/relationships/calcChain" Target="calcChain.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24" Type="http://schemas.microsoft.com/office/2007/relationships/slicerCache" Target="slicerCaches/slicerCache19.xml"/><Relationship Id="rId32" Type="http://schemas.microsoft.com/office/2007/relationships/slicerCache" Target="slicerCaches/slicerCache27.xml"/><Relationship Id="rId37" Type="http://schemas.microsoft.com/office/2007/relationships/slicerCache" Target="slicerCaches/slicerCache32.xml"/><Relationship Id="rId40" Type="http://schemas.openxmlformats.org/officeDocument/2006/relationships/sharedStrings" Target="sharedStrings.xml"/><Relationship Id="rId5" Type="http://schemas.openxmlformats.org/officeDocument/2006/relationships/pivotCacheDefinition" Target="pivotCache/pivotCacheDefinition1.xml"/><Relationship Id="rId15" Type="http://schemas.microsoft.com/office/2007/relationships/slicerCache" Target="slicerCaches/slicerCache10.xml"/><Relationship Id="rId23" Type="http://schemas.microsoft.com/office/2007/relationships/slicerCache" Target="slicerCaches/slicerCache18.xml"/><Relationship Id="rId28" Type="http://schemas.microsoft.com/office/2007/relationships/slicerCache" Target="slicerCaches/slicerCache23.xml"/><Relationship Id="rId36" Type="http://schemas.microsoft.com/office/2007/relationships/slicerCache" Target="slicerCaches/slicerCache31.xml"/><Relationship Id="rId10" Type="http://schemas.microsoft.com/office/2007/relationships/slicerCache" Target="slicerCaches/slicerCache5.xml"/><Relationship Id="rId19" Type="http://schemas.microsoft.com/office/2007/relationships/slicerCache" Target="slicerCaches/slicerCache14.xml"/><Relationship Id="rId31" Type="http://schemas.microsoft.com/office/2007/relationships/slicerCache" Target="slicerCaches/slicerCache26.xml"/><Relationship Id="rId44" Type="http://schemas.openxmlformats.org/officeDocument/2006/relationships/customXml" Target="../customXml/item3.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 Id="rId22" Type="http://schemas.microsoft.com/office/2007/relationships/slicerCache" Target="slicerCaches/slicerCache17.xml"/><Relationship Id="rId27" Type="http://schemas.microsoft.com/office/2007/relationships/slicerCache" Target="slicerCaches/slicerCache22.xml"/><Relationship Id="rId30" Type="http://schemas.microsoft.com/office/2007/relationships/slicerCache" Target="slicerCaches/slicerCache25.xml"/><Relationship Id="rId35" Type="http://schemas.microsoft.com/office/2007/relationships/slicerCache" Target="slicerCaches/slicerCache30.xml"/><Relationship Id="rId43"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[Open Book 2021 - home support and supported living care cost report - March 2022 - accessible.xlsx]Report!responses local authorities</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no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Report!$X$3</c:f>
              <c:strCache>
                <c:ptCount val="1"/>
                <c:pt idx="0">
                  <c:v>Count of CQC Location ID:</c:v>
                </c:pt>
              </c:strCache>
            </c:strRef>
          </c:tx>
          <c:spPr>
            <a:solidFill>
              <a:schemeClr val="accent1"/>
            </a:solidFill>
            <a:ln>
              <a:noFill/>
            </a:ln>
            <a:effectLst/>
          </c:spPr>
          <c:invertIfNegative val="0"/>
          <c:cat>
            <c:strRef>
              <c:f>Report!$W$4:$W$12</c:f>
              <c:strCache>
                <c:ptCount val="8"/>
                <c:pt idx="0">
                  <c:v>Birmingham</c:v>
                </c:pt>
                <c:pt idx="1">
                  <c:v>Solihull</c:v>
                </c:pt>
                <c:pt idx="2">
                  <c:v>Sandwell</c:v>
                </c:pt>
                <c:pt idx="3">
                  <c:v>Walsall</c:v>
                </c:pt>
                <c:pt idx="4">
                  <c:v>Dudley</c:v>
                </c:pt>
                <c:pt idx="5">
                  <c:v>Coventry</c:v>
                </c:pt>
                <c:pt idx="6">
                  <c:v>Leicester</c:v>
                </c:pt>
                <c:pt idx="7">
                  <c:v>Berkshire</c:v>
                </c:pt>
              </c:strCache>
            </c:strRef>
          </c:cat>
          <c:val>
            <c:numRef>
              <c:f>Report!$X$4:$X$12</c:f>
              <c:numCache>
                <c:formatCode>General</c:formatCode>
                <c:ptCount val="8"/>
                <c:pt idx="0">
                  <c:v>62</c:v>
                </c:pt>
                <c:pt idx="1">
                  <c:v>8</c:v>
                </c:pt>
                <c:pt idx="2">
                  <c:v>5</c:v>
                </c:pt>
                <c:pt idx="3">
                  <c:v>2</c:v>
                </c:pt>
                <c:pt idx="4">
                  <c:v>2</c:v>
                </c:pt>
                <c:pt idx="5">
                  <c:v>1</c:v>
                </c:pt>
                <c:pt idx="6">
                  <c:v>1</c:v>
                </c:pt>
                <c:pt idx="7">
                  <c:v>1</c:v>
                </c:pt>
              </c:numCache>
            </c:numRef>
          </c:val>
          <c:extLst>
            <c:ext xmlns:c16="http://schemas.microsoft.com/office/drawing/2014/chart" uri="{C3380CC4-5D6E-409C-BE32-E72D297353CC}">
              <c16:uniqueId val="{00000000-3566-4050-920A-41133B850F16}"/>
            </c:ext>
          </c:extLst>
        </c:ser>
        <c:ser>
          <c:idx val="1"/>
          <c:order val="1"/>
          <c:tx>
            <c:strRef>
              <c:f>Report!$Y$3</c:f>
              <c:strCache>
                <c:ptCount val="1"/>
                <c:pt idx="0">
                  <c:v>Percentage</c:v>
                </c:pt>
              </c:strCache>
            </c:strRef>
          </c:tx>
          <c:spPr>
            <a:noFill/>
            <a:ln>
              <a:noFill/>
            </a:ln>
            <a:effectLst/>
          </c:spPr>
          <c:invertIfNegative val="0"/>
          <c:cat>
            <c:strRef>
              <c:f>Report!$W$4:$W$12</c:f>
              <c:strCache>
                <c:ptCount val="8"/>
                <c:pt idx="0">
                  <c:v>Birmingham</c:v>
                </c:pt>
                <c:pt idx="1">
                  <c:v>Solihull</c:v>
                </c:pt>
                <c:pt idx="2">
                  <c:v>Sandwell</c:v>
                </c:pt>
                <c:pt idx="3">
                  <c:v>Walsall</c:v>
                </c:pt>
                <c:pt idx="4">
                  <c:v>Dudley</c:v>
                </c:pt>
                <c:pt idx="5">
                  <c:v>Coventry</c:v>
                </c:pt>
                <c:pt idx="6">
                  <c:v>Leicester</c:v>
                </c:pt>
                <c:pt idx="7">
                  <c:v>Berkshire</c:v>
                </c:pt>
              </c:strCache>
            </c:strRef>
          </c:cat>
          <c:val>
            <c:numRef>
              <c:f>Report!$Y$4:$Y$12</c:f>
              <c:numCache>
                <c:formatCode>0.00%</c:formatCode>
                <c:ptCount val="8"/>
                <c:pt idx="0">
                  <c:v>0.75609756097560976</c:v>
                </c:pt>
                <c:pt idx="1">
                  <c:v>9.7560975609756101E-2</c:v>
                </c:pt>
                <c:pt idx="2">
                  <c:v>6.097560975609756E-2</c:v>
                </c:pt>
                <c:pt idx="3">
                  <c:v>2.4390243902439025E-2</c:v>
                </c:pt>
                <c:pt idx="4">
                  <c:v>2.4390243902439025E-2</c:v>
                </c:pt>
                <c:pt idx="5">
                  <c:v>1.2195121951219513E-2</c:v>
                </c:pt>
                <c:pt idx="6">
                  <c:v>1.2195121951219513E-2</c:v>
                </c:pt>
                <c:pt idx="7">
                  <c:v>1.2195121951219513E-2</c:v>
                </c:pt>
              </c:numCache>
            </c:numRef>
          </c:val>
          <c:extLst>
            <c:ext xmlns:c16="http://schemas.microsoft.com/office/drawing/2014/chart" uri="{C3380CC4-5D6E-409C-BE32-E72D297353CC}">
              <c16:uniqueId val="{00000001-3566-4050-920A-41133B850F16}"/>
            </c:ext>
          </c:extLst>
        </c:ser>
        <c:dLbls>
          <c:showLegendKey val="0"/>
          <c:showVal val="0"/>
          <c:showCatName val="0"/>
          <c:showSerName val="0"/>
          <c:showPercent val="0"/>
          <c:showBubbleSize val="0"/>
        </c:dLbls>
        <c:gapWidth val="219"/>
        <c:overlap val="-27"/>
        <c:axId val="762848591"/>
        <c:axId val="796858383"/>
      </c:barChart>
      <c:catAx>
        <c:axId val="762848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6858383"/>
        <c:crosses val="autoZero"/>
        <c:auto val="1"/>
        <c:lblAlgn val="ctr"/>
        <c:lblOffset val="100"/>
        <c:noMultiLvlLbl val="0"/>
      </c:catAx>
      <c:valAx>
        <c:axId val="7968583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84859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[Open Book 2021 - home support and supported living care cost report - March 2022 - accessible.xlsx]Report!Occupancy and Funding</c:name>
    <c:fmtId val="0"/>
  </c:pivotSource>
  <c:chart>
    <c:autoTitleDeleted val="1"/>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Report!$BY$4</c:f>
              <c:strCache>
                <c:ptCount val="1"/>
                <c:pt idx="0">
                  <c:v>Total</c:v>
                </c:pt>
              </c:strCache>
            </c:strRef>
          </c:tx>
          <c:spPr>
            <a:solidFill>
              <a:schemeClr val="accent1"/>
            </a:solidFill>
            <a:ln>
              <a:noFill/>
            </a:ln>
            <a:effectLst/>
          </c:spPr>
          <c:invertIfNegative val="0"/>
          <c:cat>
            <c:strRef>
              <c:f>Report!$BX$5:$BX$16</c:f>
              <c:strCache>
                <c:ptCount val="12"/>
                <c:pt idx="0">
                  <c:v> Home Support: Birmingham City Council</c:v>
                </c:pt>
                <c:pt idx="1">
                  <c:v> Home Support: Other Local Authority</c:v>
                </c:pt>
                <c:pt idx="2">
                  <c:v> Home Support: NHS</c:v>
                </c:pt>
                <c:pt idx="3">
                  <c:v> Home Support: Joint funded (Local Authority and NHS)</c:v>
                </c:pt>
                <c:pt idx="4">
                  <c:v> Home Support: Direct Payment or Personal Health Budget</c:v>
                </c:pt>
                <c:pt idx="5">
                  <c:v> Home Support: Self-funded</c:v>
                </c:pt>
                <c:pt idx="6">
                  <c:v> Supported Living: Birmingham City Council</c:v>
                </c:pt>
                <c:pt idx="7">
                  <c:v> Supported Living: Other Local Authority</c:v>
                </c:pt>
                <c:pt idx="8">
                  <c:v> Supported Living: NHS</c:v>
                </c:pt>
                <c:pt idx="9">
                  <c:v> Supported Living: Joint funded (Local Authority and NHS)</c:v>
                </c:pt>
                <c:pt idx="10">
                  <c:v> Supported Living: Direct Payment or Personal Health Budget</c:v>
                </c:pt>
                <c:pt idx="11">
                  <c:v> Supported Living: Self-funded</c:v>
                </c:pt>
              </c:strCache>
            </c:strRef>
          </c:cat>
          <c:val>
            <c:numRef>
              <c:f>Report!$BY$5:$BY$16</c:f>
              <c:numCache>
                <c:formatCode>0</c:formatCode>
                <c:ptCount val="12"/>
                <c:pt idx="0">
                  <c:v>22587.4</c:v>
                </c:pt>
                <c:pt idx="1">
                  <c:v>10202.85</c:v>
                </c:pt>
                <c:pt idx="2">
                  <c:v>10366.15</c:v>
                </c:pt>
                <c:pt idx="3">
                  <c:v>499</c:v>
                </c:pt>
                <c:pt idx="4">
                  <c:v>9103.2999999999993</c:v>
                </c:pt>
                <c:pt idx="5">
                  <c:v>3200.8</c:v>
                </c:pt>
                <c:pt idx="6">
                  <c:v>25999.77</c:v>
                </c:pt>
                <c:pt idx="7">
                  <c:v>25399.370000000003</c:v>
                </c:pt>
                <c:pt idx="8">
                  <c:v>6688.43</c:v>
                </c:pt>
                <c:pt idx="9">
                  <c:v>5632.75</c:v>
                </c:pt>
                <c:pt idx="10">
                  <c:v>2195.5</c:v>
                </c:pt>
                <c:pt idx="11">
                  <c:v>332.25</c:v>
                </c:pt>
              </c:numCache>
            </c:numRef>
          </c:val>
          <c:extLst>
            <c:ext xmlns:c16="http://schemas.microsoft.com/office/drawing/2014/chart" uri="{C3380CC4-5D6E-409C-BE32-E72D297353CC}">
              <c16:uniqueId val="{00000000-BC7F-4FE8-90C3-CA51F4BF381B}"/>
            </c:ext>
          </c:extLst>
        </c:ser>
        <c:dLbls>
          <c:showLegendKey val="0"/>
          <c:showVal val="0"/>
          <c:showCatName val="0"/>
          <c:showSerName val="0"/>
          <c:showPercent val="0"/>
          <c:showBubbleSize val="0"/>
        </c:dLbls>
        <c:gapWidth val="219"/>
        <c:overlap val="-27"/>
        <c:axId val="1955415776"/>
        <c:axId val="1930179264"/>
      </c:barChart>
      <c:catAx>
        <c:axId val="195541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930179264"/>
        <c:crosses val="autoZero"/>
        <c:auto val="1"/>
        <c:lblAlgn val="ctr"/>
        <c:lblOffset val="100"/>
        <c:noMultiLvlLbl val="0"/>
      </c:catAx>
      <c:valAx>
        <c:axId val="1930179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54157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[Open Book 2021 - home support and supported living care cost report - March 2022 - accessible.xlsx]Report!Occupancy and Funding</c:name>
    <c:fmtId val="2"/>
  </c:pivotSource>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s>
    <c:plotArea>
      <c:layout/>
      <c:pieChart>
        <c:varyColors val="1"/>
        <c:ser>
          <c:idx val="0"/>
          <c:order val="0"/>
          <c:tx>
            <c:strRef>
              <c:f>Report!$BY$4</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7E-40B5-8F9A-57727C5A873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7E-40B5-8F9A-57727C5A873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7E-40B5-8F9A-57727C5A873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7E-40B5-8F9A-57727C5A87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7E-40B5-8F9A-57727C5A873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7E-40B5-8F9A-57727C5A873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57E-40B5-8F9A-57727C5A873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57E-40B5-8F9A-57727C5A873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57E-40B5-8F9A-57727C5A873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57E-40B5-8F9A-57727C5A8736}"/>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57E-40B5-8F9A-57727C5A873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57E-40B5-8F9A-57727C5A8736}"/>
              </c:ext>
            </c:extLst>
          </c:dPt>
          <c:cat>
            <c:strRef>
              <c:f>Report!$BX$5:$BX$16</c:f>
              <c:strCache>
                <c:ptCount val="12"/>
                <c:pt idx="0">
                  <c:v> Home Support: Birmingham City Council</c:v>
                </c:pt>
                <c:pt idx="1">
                  <c:v> Home Support: Other Local Authority</c:v>
                </c:pt>
                <c:pt idx="2">
                  <c:v> Home Support: NHS</c:v>
                </c:pt>
                <c:pt idx="3">
                  <c:v> Home Support: Joint funded (Local Authority and NHS)</c:v>
                </c:pt>
                <c:pt idx="4">
                  <c:v> Home Support: Direct Payment or Personal Health Budget</c:v>
                </c:pt>
                <c:pt idx="5">
                  <c:v> Home Support: Self-funded</c:v>
                </c:pt>
                <c:pt idx="6">
                  <c:v> Supported Living: Birmingham City Council</c:v>
                </c:pt>
                <c:pt idx="7">
                  <c:v> Supported Living: Other Local Authority</c:v>
                </c:pt>
                <c:pt idx="8">
                  <c:v> Supported Living: NHS</c:v>
                </c:pt>
                <c:pt idx="9">
                  <c:v> Supported Living: Joint funded (Local Authority and NHS)</c:v>
                </c:pt>
                <c:pt idx="10">
                  <c:v> Supported Living: Direct Payment or Personal Health Budget</c:v>
                </c:pt>
                <c:pt idx="11">
                  <c:v> Supported Living: Self-funded</c:v>
                </c:pt>
              </c:strCache>
            </c:strRef>
          </c:cat>
          <c:val>
            <c:numRef>
              <c:f>Report!$BY$5:$BY$16</c:f>
              <c:numCache>
                <c:formatCode>0</c:formatCode>
                <c:ptCount val="12"/>
                <c:pt idx="0">
                  <c:v>22587.4</c:v>
                </c:pt>
                <c:pt idx="1">
                  <c:v>10202.85</c:v>
                </c:pt>
                <c:pt idx="2">
                  <c:v>10366.15</c:v>
                </c:pt>
                <c:pt idx="3">
                  <c:v>499</c:v>
                </c:pt>
                <c:pt idx="4">
                  <c:v>9103.2999999999993</c:v>
                </c:pt>
                <c:pt idx="5">
                  <c:v>3200.8</c:v>
                </c:pt>
                <c:pt idx="6">
                  <c:v>25999.77</c:v>
                </c:pt>
                <c:pt idx="7">
                  <c:v>25399.370000000003</c:v>
                </c:pt>
                <c:pt idx="8">
                  <c:v>6688.43</c:v>
                </c:pt>
                <c:pt idx="9">
                  <c:v>5632.75</c:v>
                </c:pt>
                <c:pt idx="10">
                  <c:v>2195.5</c:v>
                </c:pt>
                <c:pt idx="11">
                  <c:v>332.25</c:v>
                </c:pt>
              </c:numCache>
            </c:numRef>
          </c:val>
          <c:extLst>
            <c:ext xmlns:c16="http://schemas.microsoft.com/office/drawing/2014/chart" uri="{C3380CC4-5D6E-409C-BE32-E72D297353CC}">
              <c16:uniqueId val="{00000000-1537-4AF5-9066-BF32F778D04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4473163733531913"/>
          <c:y val="5.2656022163896178E-2"/>
          <c:w val="0.33857851565494507"/>
          <c:h val="0.90436351706036744"/>
        </c:manualLayout>
      </c:layout>
      <c:overlay val="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[Open Book 2021 - home support and supported living care cost report - March 2022 - accessible.xlsx]Report!Hourly Costs</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Hourly Costs - Individual Cost</a:t>
            </a:r>
            <a:r>
              <a:rPr lang="en-US" sz="1100" baseline="0"/>
              <a:t> Items</a:t>
            </a:r>
            <a:endParaRPr lang="en-US"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Report!$CH$4</c:f>
              <c:strCache>
                <c:ptCount val="1"/>
                <c:pt idx="0">
                  <c:v>Total</c:v>
                </c:pt>
              </c:strCache>
            </c:strRef>
          </c:tx>
          <c:spPr>
            <a:solidFill>
              <a:schemeClr val="accent1"/>
            </a:solidFill>
            <a:ln>
              <a:noFill/>
            </a:ln>
            <a:effectLst/>
          </c:spPr>
          <c:invertIfNegative val="0"/>
          <c:cat>
            <c:strRef>
              <c:f>Report!$CG$5:$CG$35</c:f>
              <c:strCache>
                <c:ptCount val="31"/>
                <c:pt idx="0">
                  <c:v> Management staff  </c:v>
                </c:pt>
                <c:pt idx="1">
                  <c:v> Care and Support staff  </c:v>
                </c:pt>
                <c:pt idx="2">
                  <c:v> Administration  </c:v>
                </c:pt>
                <c:pt idx="3">
                  <c:v> Other staff  </c:v>
                </c:pt>
                <c:pt idx="4">
                  <c:v> Agency staff  </c:v>
                </c:pt>
                <c:pt idx="5">
                  <c:v> Travel Cost  </c:v>
                </c:pt>
                <c:pt idx="6">
                  <c:v> Travel Time  </c:v>
                </c:pt>
                <c:pt idx="7">
                  <c:v> Training and development  </c:v>
                </c:pt>
                <c:pt idx="8">
                  <c:v> Recruitment &amp; advertising (including DBS checks)  </c:v>
                </c:pt>
                <c:pt idx="9">
                  <c:v> Training expenses (fees, facilities, travel and materials)  </c:v>
                </c:pt>
                <c:pt idx="10">
                  <c:v> Care consumables &amp; uniforms  </c:v>
                </c:pt>
                <c:pt idx="11">
                  <c:v> Electronic call monitoring  </c:v>
                </c:pt>
                <c:pt idx="12">
                  <c:v> IT Equipment &amp; Telephoney  </c:v>
                </c:pt>
                <c:pt idx="13">
                  <c:v> Non-Staffing Direct Cost: Other  - please specify (amount)  </c:v>
                </c:pt>
                <c:pt idx="14">
                  <c:v> Non-Staffing Direct Cost: Other  - please specify (amount) 2  </c:v>
                </c:pt>
                <c:pt idx="15">
                  <c:v> Insurance   </c:v>
                </c:pt>
                <c:pt idx="16">
                  <c:v> Utilities (gas, oil, electricity, water, internet, rates)  </c:v>
                </c:pt>
                <c:pt idx="17">
                  <c:v> Repairs and maintenance  </c:v>
                </c:pt>
                <c:pt idx="18">
                  <c:v> Property cost relating to  rent/mortgage/lease/loan etc  </c:v>
                </c:pt>
                <c:pt idx="19">
                  <c:v> Registration &amp; Inspection fees   </c:v>
                </c:pt>
                <c:pt idx="20">
                  <c:v> Subscriptions  </c:v>
                </c:pt>
                <c:pt idx="21">
                  <c:v> finance </c:v>
                </c:pt>
                <c:pt idx="22">
                  <c:v> Other non-staff current expenses  </c:v>
                </c:pt>
                <c:pt idx="23">
                  <c:v> Indirect costs: Other  - please specify (amount) 1  </c:v>
                </c:pt>
                <c:pt idx="24">
                  <c:v> Indirect costs: Other  - please specify (amount) 2  </c:v>
                </c:pt>
                <c:pt idx="25">
                  <c:v> Central / Regional Management  </c:v>
                </c:pt>
                <c:pt idx="26">
                  <c:v> Support Services (finance / HR / Payroll / legal etc.)  </c:v>
                </c:pt>
                <c:pt idx="27">
                  <c:v> Corporate Overheads: Other  - please specify (amount) 1  </c:v>
                </c:pt>
                <c:pt idx="28">
                  <c:v> Corporate Overheads: Other  - please specify (amount) 2  </c:v>
                </c:pt>
                <c:pt idx="29">
                  <c:v> Net Operating Profit</c:v>
                </c:pt>
                <c:pt idx="30">
                  <c:v> Return on Capital Employed</c:v>
                </c:pt>
              </c:strCache>
            </c:strRef>
          </c:cat>
          <c:val>
            <c:numRef>
              <c:f>Report!$CH$5:$CH$35</c:f>
              <c:numCache>
                <c:formatCode>"£"#,##0.00</c:formatCode>
                <c:ptCount val="31"/>
                <c:pt idx="0">
                  <c:v>1.3538088375494073</c:v>
                </c:pt>
                <c:pt idx="1">
                  <c:v>8.9098091629957139</c:v>
                </c:pt>
                <c:pt idx="2">
                  <c:v>0.31595152604884597</c:v>
                </c:pt>
                <c:pt idx="3">
                  <c:v>0.15526395221434483</c:v>
                </c:pt>
                <c:pt idx="4">
                  <c:v>0.53705217288245877</c:v>
                </c:pt>
                <c:pt idx="5">
                  <c:v>0.16883293814676834</c:v>
                </c:pt>
                <c:pt idx="6">
                  <c:v>0.13560957623304484</c:v>
                </c:pt>
                <c:pt idx="7">
                  <c:v>0.23239589332210372</c:v>
                </c:pt>
                <c:pt idx="8">
                  <c:v>8.8221474904367186E-2</c:v>
                </c:pt>
                <c:pt idx="9">
                  <c:v>5.3661112304547204E-2</c:v>
                </c:pt>
                <c:pt idx="10">
                  <c:v>0.14669178407366903</c:v>
                </c:pt>
                <c:pt idx="11">
                  <c:v>7.9063746423321313E-2</c:v>
                </c:pt>
                <c:pt idx="12">
                  <c:v>0.12250387622591492</c:v>
                </c:pt>
                <c:pt idx="13">
                  <c:v>5.7382192559234713E-2</c:v>
                </c:pt>
                <c:pt idx="14">
                  <c:v>8.9832225562104569E-3</c:v>
                </c:pt>
                <c:pt idx="15">
                  <c:v>0.15221146973767513</c:v>
                </c:pt>
                <c:pt idx="16">
                  <c:v>0.21537463500037804</c:v>
                </c:pt>
                <c:pt idx="17">
                  <c:v>0.19879293529027303</c:v>
                </c:pt>
                <c:pt idx="18">
                  <c:v>0.59395645780348472</c:v>
                </c:pt>
                <c:pt idx="19">
                  <c:v>5.4658001441935999E-2</c:v>
                </c:pt>
                <c:pt idx="20">
                  <c:v>4.4661339031623004E-2</c:v>
                </c:pt>
                <c:pt idx="21">
                  <c:v>9.034632251546891E-2</c:v>
                </c:pt>
                <c:pt idx="22">
                  <c:v>4.5818446142899788E-2</c:v>
                </c:pt>
                <c:pt idx="23">
                  <c:v>0.13793670292054613</c:v>
                </c:pt>
                <c:pt idx="24">
                  <c:v>0.13670270963346412</c:v>
                </c:pt>
                <c:pt idx="25">
                  <c:v>0.28131312117122487</c:v>
                </c:pt>
                <c:pt idx="26">
                  <c:v>0.41286602641343872</c:v>
                </c:pt>
                <c:pt idx="27">
                  <c:v>4.7060129619167813E-2</c:v>
                </c:pt>
                <c:pt idx="28">
                  <c:v>1.2304485167271091E-2</c:v>
                </c:pt>
                <c:pt idx="29">
                  <c:v>1.2449012961838173</c:v>
                </c:pt>
                <c:pt idx="30">
                  <c:v>0.12014006326859469</c:v>
                </c:pt>
              </c:numCache>
            </c:numRef>
          </c:val>
          <c:extLst>
            <c:ext xmlns:c16="http://schemas.microsoft.com/office/drawing/2014/chart" uri="{C3380CC4-5D6E-409C-BE32-E72D297353CC}">
              <c16:uniqueId val="{00000000-27E8-48FC-AC2F-B5E4108CB1B5}"/>
            </c:ext>
          </c:extLst>
        </c:ser>
        <c:dLbls>
          <c:showLegendKey val="0"/>
          <c:showVal val="0"/>
          <c:showCatName val="0"/>
          <c:showSerName val="0"/>
          <c:showPercent val="0"/>
          <c:showBubbleSize val="0"/>
        </c:dLbls>
        <c:gapWidth val="219"/>
        <c:overlap val="-27"/>
        <c:axId val="2037084112"/>
        <c:axId val="24725536"/>
      </c:barChart>
      <c:catAx>
        <c:axId val="203708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25536"/>
        <c:crosses val="autoZero"/>
        <c:auto val="1"/>
        <c:lblAlgn val="ctr"/>
        <c:lblOffset val="100"/>
        <c:noMultiLvlLbl val="0"/>
      </c:catAx>
      <c:valAx>
        <c:axId val="2472553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70841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[Open Book 2021 - home support and supported living care cost report - March 2022 - accessible.xlsx]Report!cost categories</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Hourly Cost - Cost Categories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Report!$CH$40</c:f>
              <c:strCache>
                <c:ptCount val="1"/>
                <c:pt idx="0">
                  <c:v>Total</c:v>
                </c:pt>
              </c:strCache>
            </c:strRef>
          </c:tx>
          <c:spPr>
            <a:solidFill>
              <a:schemeClr val="accent1"/>
            </a:solidFill>
            <a:ln>
              <a:noFill/>
            </a:ln>
            <a:effectLst/>
          </c:spPr>
          <c:invertIfNegative val="0"/>
          <c:cat>
            <c:strRef>
              <c:f>Report!$CG$41:$CG$44</c:f>
              <c:strCache>
                <c:ptCount val="4"/>
                <c:pt idx="0">
                  <c:v>Direct Staffing</c:v>
                </c:pt>
                <c:pt idx="1">
                  <c:v>Non-direct staffing</c:v>
                </c:pt>
                <c:pt idx="2">
                  <c:v>Indirect</c:v>
                </c:pt>
                <c:pt idx="3">
                  <c:v>Overheads</c:v>
                </c:pt>
              </c:strCache>
            </c:strRef>
          </c:cat>
          <c:val>
            <c:numRef>
              <c:f>Report!$CH$41:$CH$44</c:f>
              <c:numCache>
                <c:formatCode>"£"#,##0.00</c:formatCode>
                <c:ptCount val="4"/>
                <c:pt idx="0">
                  <c:v>11.808724059392686</c:v>
                </c:pt>
                <c:pt idx="1">
                  <c:v>0.55650740904726481</c:v>
                </c:pt>
                <c:pt idx="2">
                  <c:v>1.6704590195177489</c:v>
                </c:pt>
                <c:pt idx="3">
                  <c:v>0.75354376237110254</c:v>
                </c:pt>
              </c:numCache>
            </c:numRef>
          </c:val>
          <c:extLst>
            <c:ext xmlns:c16="http://schemas.microsoft.com/office/drawing/2014/chart" uri="{C3380CC4-5D6E-409C-BE32-E72D297353CC}">
              <c16:uniqueId val="{00000000-9D56-4C9B-BAF6-32D2071B92B4}"/>
            </c:ext>
          </c:extLst>
        </c:ser>
        <c:dLbls>
          <c:showLegendKey val="0"/>
          <c:showVal val="0"/>
          <c:showCatName val="0"/>
          <c:showSerName val="0"/>
          <c:showPercent val="0"/>
          <c:showBubbleSize val="0"/>
        </c:dLbls>
        <c:gapWidth val="219"/>
        <c:overlap val="-27"/>
        <c:axId val="2037100112"/>
        <c:axId val="1772050528"/>
      </c:barChart>
      <c:catAx>
        <c:axId val="203710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050528"/>
        <c:crosses val="autoZero"/>
        <c:auto val="1"/>
        <c:lblAlgn val="ctr"/>
        <c:lblOffset val="100"/>
        <c:noMultiLvlLbl val="0"/>
      </c:catAx>
      <c:valAx>
        <c:axId val="17720505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71001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[Open Book 2021 - home support and supported living care cost report - March 2022 - accessible.xlsx]Report!Average charges to other organisations</c:name>
    <c:fmtId val="0"/>
  </c:pivotSource>
  <c:chart>
    <c:autoTitleDeleted val="1"/>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Report!$CD$4</c:f>
              <c:strCache>
                <c:ptCount val="1"/>
                <c:pt idx="0">
                  <c:v>Total</c:v>
                </c:pt>
              </c:strCache>
            </c:strRef>
          </c:tx>
          <c:spPr>
            <a:solidFill>
              <a:schemeClr val="accent1"/>
            </a:solidFill>
            <a:ln>
              <a:noFill/>
            </a:ln>
            <a:effectLst/>
          </c:spPr>
          <c:invertIfNegative val="0"/>
          <c:cat>
            <c:strRef>
              <c:f>Report!$CC$5:$CC$7</c:f>
              <c:strCache>
                <c:ptCount val="3"/>
                <c:pt idx="0">
                  <c:v> Average hourly charge to other local authorities</c:v>
                </c:pt>
                <c:pt idx="1">
                  <c:v> Average hourly charge to self-funders</c:v>
                </c:pt>
                <c:pt idx="2">
                  <c:v> Average hourly charge to NHS</c:v>
                </c:pt>
              </c:strCache>
            </c:strRef>
          </c:cat>
          <c:val>
            <c:numRef>
              <c:f>Report!$CD$5:$CD$7</c:f>
              <c:numCache>
                <c:formatCode>"£"#,##0.00</c:formatCode>
                <c:ptCount val="3"/>
                <c:pt idx="0">
                  <c:v>12.020864197530869</c:v>
                </c:pt>
                <c:pt idx="1">
                  <c:v>9.7296296296296347</c:v>
                </c:pt>
                <c:pt idx="2">
                  <c:v>10.887616049382716</c:v>
                </c:pt>
              </c:numCache>
            </c:numRef>
          </c:val>
          <c:extLst>
            <c:ext xmlns:c16="http://schemas.microsoft.com/office/drawing/2014/chart" uri="{C3380CC4-5D6E-409C-BE32-E72D297353CC}">
              <c16:uniqueId val="{00000000-088B-473B-9784-5C7CB22EF153}"/>
            </c:ext>
          </c:extLst>
        </c:ser>
        <c:dLbls>
          <c:showLegendKey val="0"/>
          <c:showVal val="0"/>
          <c:showCatName val="0"/>
          <c:showSerName val="0"/>
          <c:showPercent val="0"/>
          <c:showBubbleSize val="0"/>
        </c:dLbls>
        <c:gapWidth val="219"/>
        <c:overlap val="-27"/>
        <c:axId val="1598311807"/>
        <c:axId val="1240701103"/>
      </c:barChart>
      <c:catAx>
        <c:axId val="1598311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01103"/>
        <c:crosses val="autoZero"/>
        <c:auto val="1"/>
        <c:lblAlgn val="ctr"/>
        <c:lblOffset val="100"/>
        <c:noMultiLvlLbl val="0"/>
      </c:catAx>
      <c:valAx>
        <c:axId val="124070110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831180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a:t>FTE staff</a:t>
            </a:r>
            <a:r>
              <a:rPr lang="en-GB" sz="1100" baseline="0"/>
              <a:t> below RLW</a:t>
            </a:r>
            <a:endParaRPr lang="en-GB"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490576764547032"/>
          <c:y val="0.15405529953917052"/>
          <c:w val="0.72214597724020957"/>
          <c:h val="0.62390181066076411"/>
        </c:manualLayout>
      </c:layout>
      <c:barChart>
        <c:barDir val="col"/>
        <c:grouping val="clustered"/>
        <c:varyColors val="0"/>
        <c:ser>
          <c:idx val="0"/>
          <c:order val="0"/>
          <c:spPr>
            <a:solidFill>
              <a:schemeClr val="accent1"/>
            </a:solidFill>
            <a:ln>
              <a:noFill/>
            </a:ln>
            <a:effectLst/>
          </c:spPr>
          <c:invertIfNegative val="0"/>
          <c:cat>
            <c:strRef>
              <c:f>Report!$BE$23:$BE$26</c:f>
              <c:strCache>
                <c:ptCount val="4"/>
                <c:pt idx="0">
                  <c:v>Managers</c:v>
                </c:pt>
                <c:pt idx="1">
                  <c:v>Care</c:v>
                </c:pt>
                <c:pt idx="2">
                  <c:v>Administrative</c:v>
                </c:pt>
                <c:pt idx="3">
                  <c:v>Other</c:v>
                </c:pt>
              </c:strCache>
            </c:strRef>
          </c:cat>
          <c:val>
            <c:numRef>
              <c:f>Report!$BK$23:$BK$26</c:f>
              <c:numCache>
                <c:formatCode>#,##0.00</c:formatCode>
                <c:ptCount val="4"/>
                <c:pt idx="0">
                  <c:v>22</c:v>
                </c:pt>
                <c:pt idx="1">
                  <c:v>2436.6029163449161</c:v>
                </c:pt>
                <c:pt idx="2">
                  <c:v>93.13</c:v>
                </c:pt>
                <c:pt idx="3">
                  <c:v>36.43</c:v>
                </c:pt>
              </c:numCache>
            </c:numRef>
          </c:val>
          <c:extLst>
            <c:ext xmlns:c16="http://schemas.microsoft.com/office/drawing/2014/chart" uri="{C3380CC4-5D6E-409C-BE32-E72D297353CC}">
              <c16:uniqueId val="{00000000-3419-41CC-AE9D-06823270FBBD}"/>
            </c:ext>
          </c:extLst>
        </c:ser>
        <c:dLbls>
          <c:showLegendKey val="0"/>
          <c:showVal val="0"/>
          <c:showCatName val="0"/>
          <c:showSerName val="0"/>
          <c:showPercent val="0"/>
          <c:showBubbleSize val="0"/>
        </c:dLbls>
        <c:gapWidth val="219"/>
        <c:overlap val="-27"/>
        <c:axId val="854505984"/>
        <c:axId val="766383184"/>
      </c:barChart>
      <c:catAx>
        <c:axId val="85450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383184"/>
        <c:crosses val="autoZero"/>
        <c:auto val="1"/>
        <c:lblAlgn val="ctr"/>
        <c:lblOffset val="100"/>
        <c:noMultiLvlLbl val="0"/>
      </c:catAx>
      <c:valAx>
        <c:axId val="7663831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5059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a:t>Average hourly uplift</a:t>
            </a:r>
            <a:r>
              <a:rPr lang="en-GB" sz="1100" baseline="0"/>
              <a:t> per FTE to reach NLW</a:t>
            </a:r>
            <a:endParaRPr lang="en-GB"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Report!$BE$23:$BE$26</c:f>
              <c:strCache>
                <c:ptCount val="4"/>
                <c:pt idx="0">
                  <c:v>Managers</c:v>
                </c:pt>
                <c:pt idx="1">
                  <c:v>Care</c:v>
                </c:pt>
                <c:pt idx="2">
                  <c:v>Administrative</c:v>
                </c:pt>
                <c:pt idx="3">
                  <c:v>Other</c:v>
                </c:pt>
              </c:strCache>
            </c:strRef>
          </c:cat>
          <c:val>
            <c:numRef>
              <c:f>Report!$BI$23:$BI$26</c:f>
            </c:numRef>
          </c:val>
          <c:extLst>
            <c:ext xmlns:c16="http://schemas.microsoft.com/office/drawing/2014/chart" uri="{C3380CC4-5D6E-409C-BE32-E72D297353CC}">
              <c16:uniqueId val="{00000000-8ED1-443F-9AC7-2885306A25D3}"/>
            </c:ext>
          </c:extLst>
        </c:ser>
        <c:dLbls>
          <c:showLegendKey val="0"/>
          <c:showVal val="0"/>
          <c:showCatName val="0"/>
          <c:showSerName val="0"/>
          <c:showPercent val="0"/>
          <c:showBubbleSize val="0"/>
        </c:dLbls>
        <c:gapWidth val="219"/>
        <c:overlap val="-27"/>
        <c:axId val="854521184"/>
        <c:axId val="758833168"/>
      </c:barChart>
      <c:catAx>
        <c:axId val="85452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33168"/>
        <c:crosses val="autoZero"/>
        <c:auto val="1"/>
        <c:lblAlgn val="ctr"/>
        <c:lblOffset val="100"/>
        <c:noMultiLvlLbl val="0"/>
      </c:catAx>
      <c:valAx>
        <c:axId val="758833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5211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0" i="0" baseline="0">
                <a:effectLst/>
              </a:rPr>
              <a:t>Average hourly uplift per FTE to reach RLW</a:t>
            </a:r>
            <a:endParaRPr lang="en-GB" sz="1000">
              <a:effectLst/>
            </a:endParaRPr>
          </a:p>
        </c:rich>
      </c:tx>
      <c:overlay val="0"/>
      <c:spPr>
        <a:solidFill>
          <a:schemeClr val="bg1">
            <a:lumMod val="95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Report!$BE$23:$BE$26</c:f>
              <c:strCache>
                <c:ptCount val="4"/>
                <c:pt idx="0">
                  <c:v>Managers</c:v>
                </c:pt>
                <c:pt idx="1">
                  <c:v>Care</c:v>
                </c:pt>
                <c:pt idx="2">
                  <c:v>Administrative</c:v>
                </c:pt>
                <c:pt idx="3">
                  <c:v>Other</c:v>
                </c:pt>
              </c:strCache>
            </c:strRef>
          </c:cat>
          <c:val>
            <c:numRef>
              <c:f>Report!$BN$23:$BN$26</c:f>
            </c:numRef>
          </c:val>
          <c:extLst>
            <c:ext xmlns:c16="http://schemas.microsoft.com/office/drawing/2014/chart" uri="{C3380CC4-5D6E-409C-BE32-E72D297353CC}">
              <c16:uniqueId val="{00000000-5FE1-461D-B8C8-734C160E1365}"/>
            </c:ext>
          </c:extLst>
        </c:ser>
        <c:dLbls>
          <c:showLegendKey val="0"/>
          <c:showVal val="0"/>
          <c:showCatName val="0"/>
          <c:showSerName val="0"/>
          <c:showPercent val="0"/>
          <c:showBubbleSize val="0"/>
        </c:dLbls>
        <c:gapWidth val="219"/>
        <c:overlap val="-27"/>
        <c:axId val="1152223904"/>
        <c:axId val="832000528"/>
      </c:barChart>
      <c:catAx>
        <c:axId val="115222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000528"/>
        <c:crosses val="autoZero"/>
        <c:auto val="1"/>
        <c:lblAlgn val="ctr"/>
        <c:lblOffset val="100"/>
        <c:noMultiLvlLbl val="0"/>
      </c:catAx>
      <c:valAx>
        <c:axId val="8320005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22239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Report!$AY$25</c:f>
              <c:strCache>
                <c:ptCount val="1"/>
                <c:pt idx="0">
                  <c:v>Managers</c:v>
                </c:pt>
              </c:strCache>
            </c:strRef>
          </c:tx>
          <c:spPr>
            <a:solidFill>
              <a:schemeClr val="accent1"/>
            </a:solidFill>
            <a:ln>
              <a:noFill/>
            </a:ln>
            <a:effectLst/>
          </c:spPr>
          <c:invertIfNegative val="0"/>
          <c:cat>
            <c:strRef>
              <c:f>Report!$AZ$24:$BC$24</c:f>
              <c:strCache>
                <c:ptCount val="4"/>
                <c:pt idx="0">
                  <c:v>Mininum
2020/21</c:v>
                </c:pt>
                <c:pt idx="1">
                  <c:v>Maximum
2020/21</c:v>
                </c:pt>
                <c:pt idx="2">
                  <c:v>Minimum
2021/22</c:v>
                </c:pt>
                <c:pt idx="3">
                  <c:v>Maximum
2021/22</c:v>
                </c:pt>
              </c:strCache>
            </c:strRef>
          </c:cat>
          <c:val>
            <c:numRef>
              <c:f>Report!$AZ$25:$BC$25</c:f>
              <c:numCache>
                <c:formatCode>"£"#,##0.00</c:formatCode>
                <c:ptCount val="4"/>
                <c:pt idx="0">
                  <c:v>14.368021986171462</c:v>
                </c:pt>
                <c:pt idx="1">
                  <c:v>14.64657301405985</c:v>
                </c:pt>
                <c:pt idx="2">
                  <c:v>14.967950815442702</c:v>
                </c:pt>
                <c:pt idx="3">
                  <c:v>15.220091517118421</c:v>
                </c:pt>
              </c:numCache>
            </c:numRef>
          </c:val>
          <c:extLst>
            <c:ext xmlns:c16="http://schemas.microsoft.com/office/drawing/2014/chart" uri="{C3380CC4-5D6E-409C-BE32-E72D297353CC}">
              <c16:uniqueId val="{00000000-2779-405D-B383-7DE65618D5BB}"/>
            </c:ext>
          </c:extLst>
        </c:ser>
        <c:ser>
          <c:idx val="1"/>
          <c:order val="1"/>
          <c:tx>
            <c:strRef>
              <c:f>Report!$AY$26</c:f>
              <c:strCache>
                <c:ptCount val="1"/>
                <c:pt idx="0">
                  <c:v>Care</c:v>
                </c:pt>
              </c:strCache>
            </c:strRef>
          </c:tx>
          <c:spPr>
            <a:solidFill>
              <a:schemeClr val="accent2"/>
            </a:solidFill>
            <a:ln>
              <a:noFill/>
            </a:ln>
            <a:effectLst/>
          </c:spPr>
          <c:invertIfNegative val="0"/>
          <c:cat>
            <c:strRef>
              <c:f>Report!$AZ$24:$BC$24</c:f>
              <c:strCache>
                <c:ptCount val="4"/>
                <c:pt idx="0">
                  <c:v>Mininum
2020/21</c:v>
                </c:pt>
                <c:pt idx="1">
                  <c:v>Maximum
2020/21</c:v>
                </c:pt>
                <c:pt idx="2">
                  <c:v>Minimum
2021/22</c:v>
                </c:pt>
                <c:pt idx="3">
                  <c:v>Maximum
2021/22</c:v>
                </c:pt>
              </c:strCache>
            </c:strRef>
          </c:cat>
          <c:val>
            <c:numRef>
              <c:f>Report!$AZ$26:$BC$26</c:f>
              <c:numCache>
                <c:formatCode>"£"#,##0.00</c:formatCode>
                <c:ptCount val="4"/>
                <c:pt idx="0">
                  <c:v>9.5073306563536164</c:v>
                </c:pt>
                <c:pt idx="1">
                  <c:v>10.052795494930461</c:v>
                </c:pt>
                <c:pt idx="2">
                  <c:v>9.7842723774275822</c:v>
                </c:pt>
                <c:pt idx="3">
                  <c:v>10.409952103403652</c:v>
                </c:pt>
              </c:numCache>
            </c:numRef>
          </c:val>
          <c:extLst>
            <c:ext xmlns:c16="http://schemas.microsoft.com/office/drawing/2014/chart" uri="{C3380CC4-5D6E-409C-BE32-E72D297353CC}">
              <c16:uniqueId val="{00000001-2779-405D-B383-7DE65618D5BB}"/>
            </c:ext>
          </c:extLst>
        </c:ser>
        <c:ser>
          <c:idx val="2"/>
          <c:order val="2"/>
          <c:tx>
            <c:strRef>
              <c:f>Report!$AY$27</c:f>
              <c:strCache>
                <c:ptCount val="1"/>
                <c:pt idx="0">
                  <c:v>Administrative</c:v>
                </c:pt>
              </c:strCache>
            </c:strRef>
          </c:tx>
          <c:spPr>
            <a:solidFill>
              <a:schemeClr val="bg1">
                <a:lumMod val="50000"/>
              </a:schemeClr>
            </a:solidFill>
            <a:ln>
              <a:noFill/>
            </a:ln>
            <a:effectLst/>
          </c:spPr>
          <c:invertIfNegative val="0"/>
          <c:cat>
            <c:strRef>
              <c:f>Report!$AZ$24:$BC$24</c:f>
              <c:strCache>
                <c:ptCount val="4"/>
                <c:pt idx="0">
                  <c:v>Mininum
2020/21</c:v>
                </c:pt>
                <c:pt idx="1">
                  <c:v>Maximum
2020/21</c:v>
                </c:pt>
                <c:pt idx="2">
                  <c:v>Minimum
2021/22</c:v>
                </c:pt>
                <c:pt idx="3">
                  <c:v>Maximum
2021/22</c:v>
                </c:pt>
              </c:strCache>
            </c:strRef>
          </c:cat>
          <c:val>
            <c:numRef>
              <c:f>Report!$AZ$27:$BC$27</c:f>
              <c:numCache>
                <c:formatCode>"£"#,##0.00</c:formatCode>
                <c:ptCount val="4"/>
                <c:pt idx="0">
                  <c:v>10.301088128320494</c:v>
                </c:pt>
                <c:pt idx="1">
                  <c:v>10.882385377973009</c:v>
                </c:pt>
                <c:pt idx="2">
                  <c:v>10.613516350821456</c:v>
                </c:pt>
                <c:pt idx="3">
                  <c:v>11.26396957618787</c:v>
                </c:pt>
              </c:numCache>
            </c:numRef>
          </c:val>
          <c:extLst>
            <c:ext xmlns:c16="http://schemas.microsoft.com/office/drawing/2014/chart" uri="{C3380CC4-5D6E-409C-BE32-E72D297353CC}">
              <c16:uniqueId val="{00000002-2779-405D-B383-7DE65618D5BB}"/>
            </c:ext>
          </c:extLst>
        </c:ser>
        <c:ser>
          <c:idx val="3"/>
          <c:order val="3"/>
          <c:tx>
            <c:strRef>
              <c:f>Report!$AY$28</c:f>
              <c:strCache>
                <c:ptCount val="1"/>
                <c:pt idx="0">
                  <c:v>Other</c:v>
                </c:pt>
              </c:strCache>
            </c:strRef>
          </c:tx>
          <c:spPr>
            <a:solidFill>
              <a:schemeClr val="accent4"/>
            </a:solidFill>
            <a:ln>
              <a:noFill/>
            </a:ln>
            <a:effectLst/>
          </c:spPr>
          <c:invertIfNegative val="0"/>
          <c:cat>
            <c:strRef>
              <c:f>Report!$AZ$24:$BC$24</c:f>
              <c:strCache>
                <c:ptCount val="4"/>
                <c:pt idx="0">
                  <c:v>Mininum
2020/21</c:v>
                </c:pt>
                <c:pt idx="1">
                  <c:v>Maximum
2020/21</c:v>
                </c:pt>
                <c:pt idx="2">
                  <c:v>Minimum
2021/22</c:v>
                </c:pt>
                <c:pt idx="3">
                  <c:v>Maximum
2021/22</c:v>
                </c:pt>
              </c:strCache>
            </c:strRef>
          </c:cat>
          <c:val>
            <c:numRef>
              <c:f>Report!$AZ$28:$BC$28</c:f>
              <c:numCache>
                <c:formatCode>"£"#,##0.00</c:formatCode>
                <c:ptCount val="4"/>
                <c:pt idx="0">
                  <c:v>10.745695153941734</c:v>
                </c:pt>
                <c:pt idx="1">
                  <c:v>11.168033963827142</c:v>
                </c:pt>
                <c:pt idx="2">
                  <c:v>11.16880574347646</c:v>
                </c:pt>
                <c:pt idx="3">
                  <c:v>11.635463205853927</c:v>
                </c:pt>
              </c:numCache>
            </c:numRef>
          </c:val>
          <c:extLst>
            <c:ext xmlns:c16="http://schemas.microsoft.com/office/drawing/2014/chart" uri="{C3380CC4-5D6E-409C-BE32-E72D297353CC}">
              <c16:uniqueId val="{00000003-2779-405D-B383-7DE65618D5BB}"/>
            </c:ext>
          </c:extLst>
        </c:ser>
        <c:dLbls>
          <c:showLegendKey val="0"/>
          <c:showVal val="0"/>
          <c:showCatName val="0"/>
          <c:showSerName val="0"/>
          <c:showPercent val="0"/>
          <c:showBubbleSize val="0"/>
        </c:dLbls>
        <c:gapWidth val="219"/>
        <c:overlap val="-27"/>
        <c:axId val="1960955072"/>
        <c:axId val="103443440"/>
      </c:barChart>
      <c:catAx>
        <c:axId val="196095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43440"/>
        <c:crosses val="autoZero"/>
        <c:auto val="1"/>
        <c:lblAlgn val="ctr"/>
        <c:lblOffset val="100"/>
        <c:noMultiLvlLbl val="0"/>
      </c:catAx>
      <c:valAx>
        <c:axId val="1034434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095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7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[Open Book 2021 - home support and supported living care cost report - March 2022 - accessible.xlsx]Report!responses regions</c:name>
    <c:fmtId val="1"/>
  </c:pivotSource>
  <c:chart>
    <c:autoTitleDeleted val="0"/>
    <c:pivotFmts>
      <c:pivotFmt>
        <c:idx val="0"/>
        <c:spPr>
          <a:noFill/>
          <a:ln>
            <a:noFill/>
          </a:ln>
          <a:effectLst/>
        </c:spPr>
        <c:marker>
          <c:symbol val="none"/>
        </c:marker>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pivotFmt>
    </c:pivotFmts>
    <c:plotArea>
      <c:layout/>
      <c:barChart>
        <c:barDir val="col"/>
        <c:grouping val="clustered"/>
        <c:varyColors val="0"/>
        <c:ser>
          <c:idx val="0"/>
          <c:order val="0"/>
          <c:tx>
            <c:strRef>
              <c:f>Report!$X$32</c:f>
              <c:strCache>
                <c:ptCount val="1"/>
                <c:pt idx="0">
                  <c:v>Locations</c:v>
                </c:pt>
              </c:strCache>
            </c:strRef>
          </c:tx>
          <c:spPr>
            <a:solidFill>
              <a:schemeClr val="accent1"/>
            </a:solidFill>
            <a:ln>
              <a:noFill/>
            </a:ln>
            <a:effectLst/>
          </c:spPr>
          <c:invertIfNegative val="0"/>
          <c:cat>
            <c:strRef>
              <c:f>Report!$W$33:$W$36</c:f>
              <c:strCache>
                <c:ptCount val="3"/>
                <c:pt idx="0">
                  <c:v>Birmingham</c:v>
                </c:pt>
                <c:pt idx="1">
                  <c:v>West Midlands</c:v>
                </c:pt>
                <c:pt idx="2">
                  <c:v>Outside of West Midlands</c:v>
                </c:pt>
              </c:strCache>
            </c:strRef>
          </c:cat>
          <c:val>
            <c:numRef>
              <c:f>Report!$X$33:$X$36</c:f>
              <c:numCache>
                <c:formatCode>General</c:formatCode>
                <c:ptCount val="3"/>
                <c:pt idx="0">
                  <c:v>62</c:v>
                </c:pt>
                <c:pt idx="1">
                  <c:v>18</c:v>
                </c:pt>
                <c:pt idx="2">
                  <c:v>2</c:v>
                </c:pt>
              </c:numCache>
            </c:numRef>
          </c:val>
          <c:extLst>
            <c:ext xmlns:c16="http://schemas.microsoft.com/office/drawing/2014/chart" uri="{C3380CC4-5D6E-409C-BE32-E72D297353CC}">
              <c16:uniqueId val="{00000000-7B98-42C8-9E7D-B6B7F6F6D8FF}"/>
            </c:ext>
          </c:extLst>
        </c:ser>
        <c:ser>
          <c:idx val="1"/>
          <c:order val="1"/>
          <c:tx>
            <c:strRef>
              <c:f>Report!$Y$32</c:f>
              <c:strCache>
                <c:ptCount val="1"/>
                <c:pt idx="0">
                  <c:v>Percentage</c:v>
                </c:pt>
              </c:strCache>
            </c:strRef>
          </c:tx>
          <c:spPr>
            <a:noFill/>
            <a:ln>
              <a:noFill/>
            </a:ln>
            <a:effectLst/>
          </c:spPr>
          <c:invertIfNegative val="0"/>
          <c:cat>
            <c:strRef>
              <c:f>Report!$W$33:$W$36</c:f>
              <c:strCache>
                <c:ptCount val="3"/>
                <c:pt idx="0">
                  <c:v>Birmingham</c:v>
                </c:pt>
                <c:pt idx="1">
                  <c:v>West Midlands</c:v>
                </c:pt>
                <c:pt idx="2">
                  <c:v>Outside of West Midlands</c:v>
                </c:pt>
              </c:strCache>
            </c:strRef>
          </c:cat>
          <c:val>
            <c:numRef>
              <c:f>Report!$Y$33:$Y$36</c:f>
              <c:numCache>
                <c:formatCode>0.00%</c:formatCode>
                <c:ptCount val="3"/>
                <c:pt idx="0">
                  <c:v>0.75609756097560976</c:v>
                </c:pt>
                <c:pt idx="1">
                  <c:v>0.21951219512195122</c:v>
                </c:pt>
                <c:pt idx="2">
                  <c:v>2.4390243902439025E-2</c:v>
                </c:pt>
              </c:numCache>
            </c:numRef>
          </c:val>
          <c:extLst>
            <c:ext xmlns:c16="http://schemas.microsoft.com/office/drawing/2014/chart" uri="{C3380CC4-5D6E-409C-BE32-E72D297353CC}">
              <c16:uniqueId val="{00000001-7B98-42C8-9E7D-B6B7F6F6D8FF}"/>
            </c:ext>
          </c:extLst>
        </c:ser>
        <c:dLbls>
          <c:showLegendKey val="0"/>
          <c:showVal val="0"/>
          <c:showCatName val="0"/>
          <c:showSerName val="0"/>
          <c:showPercent val="0"/>
          <c:showBubbleSize val="0"/>
        </c:dLbls>
        <c:gapWidth val="219"/>
        <c:overlap val="-27"/>
        <c:axId val="763026367"/>
        <c:axId val="830880431"/>
      </c:barChart>
      <c:catAx>
        <c:axId val="763026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0880431"/>
        <c:crosses val="autoZero"/>
        <c:auto val="1"/>
        <c:lblAlgn val="ctr"/>
        <c:lblOffset val="100"/>
        <c:noMultiLvlLbl val="0"/>
      </c:catAx>
      <c:valAx>
        <c:axId val="8308804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02636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a:t>Total Clients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Report!$AJ$3</c:f>
              <c:strCache>
                <c:ptCount val="1"/>
                <c:pt idx="0">
                  <c:v>Total</c:v>
                </c:pt>
              </c:strCache>
            </c:strRef>
          </c:tx>
          <c:spPr>
            <a:solidFill>
              <a:schemeClr val="accent1"/>
            </a:solidFill>
            <a:ln>
              <a:noFill/>
            </a:ln>
            <a:effectLst/>
          </c:spPr>
          <c:invertIfNegative val="0"/>
          <c:cat>
            <c:strRef>
              <c:f>Report!$AI$4:$AI$5</c:f>
              <c:strCache>
                <c:ptCount val="2"/>
                <c:pt idx="0">
                  <c:v>Home Support</c:v>
                </c:pt>
                <c:pt idx="1">
                  <c:v>Supported Living</c:v>
                </c:pt>
              </c:strCache>
            </c:strRef>
          </c:cat>
          <c:val>
            <c:numRef>
              <c:f>Report!$AJ$4:$AJ$5</c:f>
              <c:numCache>
                <c:formatCode>0</c:formatCode>
                <c:ptCount val="2"/>
                <c:pt idx="0">
                  <c:v>2284</c:v>
                </c:pt>
                <c:pt idx="1">
                  <c:v>826</c:v>
                </c:pt>
              </c:numCache>
            </c:numRef>
          </c:val>
          <c:extLst>
            <c:ext xmlns:c16="http://schemas.microsoft.com/office/drawing/2014/chart" uri="{C3380CC4-5D6E-409C-BE32-E72D297353CC}">
              <c16:uniqueId val="{00000000-1959-4B61-8C2F-96F3972AAD48}"/>
            </c:ext>
          </c:extLst>
        </c:ser>
        <c:dLbls>
          <c:showLegendKey val="0"/>
          <c:showVal val="0"/>
          <c:showCatName val="0"/>
          <c:showSerName val="0"/>
          <c:showPercent val="0"/>
          <c:showBubbleSize val="0"/>
        </c:dLbls>
        <c:gapWidth val="219"/>
        <c:overlap val="-27"/>
        <c:axId val="1940887184"/>
        <c:axId val="1988549968"/>
      </c:barChart>
      <c:catAx>
        <c:axId val="194088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549968"/>
        <c:crosses val="autoZero"/>
        <c:auto val="1"/>
        <c:lblAlgn val="ctr"/>
        <c:lblOffset val="100"/>
        <c:noMultiLvlLbl val="0"/>
      </c:catAx>
      <c:valAx>
        <c:axId val="198854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08871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Clients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Report!$AK$3</c:f>
              <c:strCache>
                <c:ptCount val="1"/>
                <c:pt idx="0">
                  <c:v>Average</c:v>
                </c:pt>
              </c:strCache>
            </c:strRef>
          </c:tx>
          <c:spPr>
            <a:solidFill>
              <a:schemeClr val="accent1"/>
            </a:solidFill>
            <a:ln>
              <a:noFill/>
            </a:ln>
            <a:effectLst/>
          </c:spPr>
          <c:invertIfNegative val="0"/>
          <c:cat>
            <c:strRef>
              <c:f>Report!$AI$4:$AI$5</c:f>
              <c:strCache>
                <c:ptCount val="2"/>
                <c:pt idx="0">
                  <c:v>Home Support</c:v>
                </c:pt>
                <c:pt idx="1">
                  <c:v>Supported Living</c:v>
                </c:pt>
              </c:strCache>
            </c:strRef>
          </c:cat>
          <c:val>
            <c:numRef>
              <c:f>Report!$AK$4:$AK$5</c:f>
              <c:numCache>
                <c:formatCode>0</c:formatCode>
                <c:ptCount val="2"/>
                <c:pt idx="0">
                  <c:v>44.784313725490193</c:v>
                </c:pt>
                <c:pt idx="1">
                  <c:v>19.209302325581394</c:v>
                </c:pt>
              </c:numCache>
            </c:numRef>
          </c:val>
          <c:extLst>
            <c:ext xmlns:c16="http://schemas.microsoft.com/office/drawing/2014/chart" uri="{C3380CC4-5D6E-409C-BE32-E72D297353CC}">
              <c16:uniqueId val="{00000000-04CE-434D-8E73-26B39DC72093}"/>
            </c:ext>
          </c:extLst>
        </c:ser>
        <c:dLbls>
          <c:showLegendKey val="0"/>
          <c:showVal val="0"/>
          <c:showCatName val="0"/>
          <c:showSerName val="0"/>
          <c:showPercent val="0"/>
          <c:showBubbleSize val="0"/>
        </c:dLbls>
        <c:gapWidth val="219"/>
        <c:overlap val="-27"/>
        <c:axId val="1955542496"/>
        <c:axId val="1994039504"/>
      </c:barChart>
      <c:catAx>
        <c:axId val="19555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4039504"/>
        <c:crosses val="autoZero"/>
        <c:auto val="1"/>
        <c:lblAlgn val="ctr"/>
        <c:lblOffset val="100"/>
        <c:noMultiLvlLbl val="0"/>
      </c:catAx>
      <c:valAx>
        <c:axId val="199403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554249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a:t>Total Care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Report!$AJ$9</c:f>
              <c:strCache>
                <c:ptCount val="1"/>
                <c:pt idx="0">
                  <c:v>Total</c:v>
                </c:pt>
              </c:strCache>
            </c:strRef>
          </c:tx>
          <c:spPr>
            <a:solidFill>
              <a:schemeClr val="accent1"/>
            </a:solidFill>
            <a:ln>
              <a:noFill/>
            </a:ln>
            <a:effectLst/>
          </c:spPr>
          <c:invertIfNegative val="0"/>
          <c:cat>
            <c:strRef>
              <c:f>Report!$AI$10:$AI$11</c:f>
              <c:strCache>
                <c:ptCount val="2"/>
                <c:pt idx="0">
                  <c:v>Home Support</c:v>
                </c:pt>
                <c:pt idx="1">
                  <c:v>Supported Living</c:v>
                </c:pt>
              </c:strCache>
            </c:strRef>
          </c:cat>
          <c:val>
            <c:numRef>
              <c:f>Report!$AJ$10:$AJ$11</c:f>
              <c:numCache>
                <c:formatCode>0</c:formatCode>
                <c:ptCount val="2"/>
                <c:pt idx="0">
                  <c:v>55959.5</c:v>
                </c:pt>
                <c:pt idx="1">
                  <c:v>66248.070000000007</c:v>
                </c:pt>
              </c:numCache>
            </c:numRef>
          </c:val>
          <c:extLst>
            <c:ext xmlns:c16="http://schemas.microsoft.com/office/drawing/2014/chart" uri="{C3380CC4-5D6E-409C-BE32-E72D297353CC}">
              <c16:uniqueId val="{00000000-557C-47BD-84EE-D72354B3E4D3}"/>
            </c:ext>
          </c:extLst>
        </c:ser>
        <c:dLbls>
          <c:showLegendKey val="0"/>
          <c:showVal val="0"/>
          <c:showCatName val="0"/>
          <c:showSerName val="0"/>
          <c:showPercent val="0"/>
          <c:showBubbleSize val="0"/>
        </c:dLbls>
        <c:gapWidth val="219"/>
        <c:overlap val="-27"/>
        <c:axId val="2068841104"/>
        <c:axId val="2062345168"/>
      </c:barChart>
      <c:catAx>
        <c:axId val="206884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2345168"/>
        <c:crosses val="autoZero"/>
        <c:auto val="1"/>
        <c:lblAlgn val="ctr"/>
        <c:lblOffset val="100"/>
        <c:noMultiLvlLbl val="0"/>
      </c:catAx>
      <c:valAx>
        <c:axId val="2062345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88411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Care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Report!$AK$9</c:f>
              <c:strCache>
                <c:ptCount val="1"/>
                <c:pt idx="0">
                  <c:v>Average</c:v>
                </c:pt>
              </c:strCache>
            </c:strRef>
          </c:tx>
          <c:spPr>
            <a:solidFill>
              <a:schemeClr val="accent1"/>
            </a:solidFill>
            <a:ln>
              <a:noFill/>
            </a:ln>
            <a:effectLst/>
          </c:spPr>
          <c:invertIfNegative val="0"/>
          <c:cat>
            <c:strRef>
              <c:f>Report!$AI$10:$AI$11</c:f>
              <c:strCache>
                <c:ptCount val="2"/>
                <c:pt idx="0">
                  <c:v>Home Support</c:v>
                </c:pt>
                <c:pt idx="1">
                  <c:v>Supported Living</c:v>
                </c:pt>
              </c:strCache>
            </c:strRef>
          </c:cat>
          <c:val>
            <c:numRef>
              <c:f>Report!$AK$10:$AK$11</c:f>
              <c:numCache>
                <c:formatCode>0</c:formatCode>
                <c:ptCount val="2"/>
                <c:pt idx="0">
                  <c:v>1165.8229166666667</c:v>
                </c:pt>
                <c:pt idx="1">
                  <c:v>1743.3702631578949</c:v>
                </c:pt>
              </c:numCache>
            </c:numRef>
          </c:val>
          <c:extLst>
            <c:ext xmlns:c16="http://schemas.microsoft.com/office/drawing/2014/chart" uri="{C3380CC4-5D6E-409C-BE32-E72D297353CC}">
              <c16:uniqueId val="{00000000-558B-4A04-A65B-A741450C43A6}"/>
            </c:ext>
          </c:extLst>
        </c:ser>
        <c:dLbls>
          <c:showLegendKey val="0"/>
          <c:showVal val="0"/>
          <c:showCatName val="0"/>
          <c:showSerName val="0"/>
          <c:showPercent val="0"/>
          <c:showBubbleSize val="0"/>
        </c:dLbls>
        <c:gapWidth val="219"/>
        <c:overlap val="-27"/>
        <c:axId val="1963830928"/>
        <c:axId val="1963841328"/>
      </c:barChart>
      <c:catAx>
        <c:axId val="196383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841328"/>
        <c:crosses val="autoZero"/>
        <c:auto val="1"/>
        <c:lblAlgn val="ctr"/>
        <c:lblOffset val="100"/>
        <c:noMultiLvlLbl val="0"/>
      </c:catAx>
      <c:valAx>
        <c:axId val="196384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8309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FTE staff below NLW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059427094303198"/>
          <c:y val="0.15337200870195791"/>
          <c:w val="0.71511826273890178"/>
          <c:h val="0.63496235182327787"/>
        </c:manualLayout>
      </c:layout>
      <c:barChart>
        <c:barDir val="col"/>
        <c:grouping val="clustered"/>
        <c:varyColors val="0"/>
        <c:ser>
          <c:idx val="0"/>
          <c:order val="0"/>
          <c:tx>
            <c:strRef>
              <c:f>Report!$BF$21</c:f>
              <c:strCache>
                <c:ptCount val="1"/>
                <c:pt idx="0">
                  <c:v>FTE staff below NLW</c:v>
                </c:pt>
              </c:strCache>
            </c:strRef>
          </c:tx>
          <c:spPr>
            <a:solidFill>
              <a:schemeClr val="accent1"/>
            </a:solidFill>
            <a:ln>
              <a:noFill/>
            </a:ln>
            <a:effectLst/>
          </c:spPr>
          <c:invertIfNegative val="0"/>
          <c:cat>
            <c:strRef>
              <c:f>Report!$BE$23:$BE$26</c:f>
              <c:strCache>
                <c:ptCount val="4"/>
                <c:pt idx="0">
                  <c:v>Managers</c:v>
                </c:pt>
                <c:pt idx="1">
                  <c:v>Care</c:v>
                </c:pt>
                <c:pt idx="2">
                  <c:v>Administrative</c:v>
                </c:pt>
                <c:pt idx="3">
                  <c:v>Other</c:v>
                </c:pt>
              </c:strCache>
            </c:strRef>
          </c:cat>
          <c:val>
            <c:numRef>
              <c:f>Report!$BF$23:$BF$26</c:f>
              <c:numCache>
                <c:formatCode>#,##0.00</c:formatCode>
                <c:ptCount val="4"/>
                <c:pt idx="0">
                  <c:v>15</c:v>
                </c:pt>
                <c:pt idx="1">
                  <c:v>2037.2654388674389</c:v>
                </c:pt>
                <c:pt idx="2">
                  <c:v>74.930000000000007</c:v>
                </c:pt>
                <c:pt idx="3">
                  <c:v>34.43</c:v>
                </c:pt>
              </c:numCache>
            </c:numRef>
          </c:val>
          <c:extLst>
            <c:ext xmlns:c16="http://schemas.microsoft.com/office/drawing/2014/chart" uri="{C3380CC4-5D6E-409C-BE32-E72D297353CC}">
              <c16:uniqueId val="{00000000-ACCA-4C8C-91D8-2A046397BF45}"/>
            </c:ext>
          </c:extLst>
        </c:ser>
        <c:dLbls>
          <c:showLegendKey val="0"/>
          <c:showVal val="0"/>
          <c:showCatName val="0"/>
          <c:showSerName val="0"/>
          <c:showPercent val="0"/>
          <c:showBubbleSize val="0"/>
        </c:dLbls>
        <c:gapWidth val="219"/>
        <c:overlap val="-27"/>
        <c:axId val="1984896304"/>
        <c:axId val="215293008"/>
      </c:barChart>
      <c:catAx>
        <c:axId val="198489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293008"/>
        <c:crosses val="autoZero"/>
        <c:auto val="1"/>
        <c:lblAlgn val="ctr"/>
        <c:lblOffset val="100"/>
        <c:noMultiLvlLbl val="0"/>
      </c:catAx>
      <c:valAx>
        <c:axId val="215293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8963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[Open Book 2021 - home support and supported living care cost report - March 2022 - accessible.xlsx]Report!Employees</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Total Employees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Report!$BQ$4</c:f>
              <c:strCache>
                <c:ptCount val="1"/>
                <c:pt idx="0">
                  <c:v>Total</c:v>
                </c:pt>
              </c:strCache>
            </c:strRef>
          </c:tx>
          <c:spPr>
            <a:solidFill>
              <a:schemeClr val="accent1"/>
            </a:solidFill>
            <a:ln>
              <a:noFill/>
            </a:ln>
            <a:effectLst/>
          </c:spPr>
          <c:invertIfNegative val="0"/>
          <c:cat>
            <c:strRef>
              <c:f>Report!$BP$5:$BP$9</c:f>
              <c:strCache>
                <c:ptCount val="5"/>
                <c:pt idx="0">
                  <c:v>Managers</c:v>
                </c:pt>
                <c:pt idx="1">
                  <c:v>Care</c:v>
                </c:pt>
                <c:pt idx="2">
                  <c:v>Administrative</c:v>
                </c:pt>
                <c:pt idx="3">
                  <c:v>Other</c:v>
                </c:pt>
                <c:pt idx="4">
                  <c:v>Total</c:v>
                </c:pt>
              </c:strCache>
            </c:strRef>
          </c:cat>
          <c:val>
            <c:numRef>
              <c:f>Report!$BQ$5:$BQ$9</c:f>
              <c:numCache>
                <c:formatCode>0.00</c:formatCode>
                <c:ptCount val="5"/>
                <c:pt idx="0">
                  <c:v>310.13117117117105</c:v>
                </c:pt>
                <c:pt idx="1">
                  <c:v>3280.7029163449165</c:v>
                </c:pt>
                <c:pt idx="2">
                  <c:v>160.42081081081079</c:v>
                </c:pt>
                <c:pt idx="3">
                  <c:v>77.930000000000007</c:v>
                </c:pt>
                <c:pt idx="4">
                  <c:v>3829.1848983268987</c:v>
                </c:pt>
              </c:numCache>
            </c:numRef>
          </c:val>
          <c:extLst>
            <c:ext xmlns:c16="http://schemas.microsoft.com/office/drawing/2014/chart" uri="{C3380CC4-5D6E-409C-BE32-E72D297353CC}">
              <c16:uniqueId val="{00000000-9034-4EBE-AB82-0C47894F3E21}"/>
            </c:ext>
          </c:extLst>
        </c:ser>
        <c:dLbls>
          <c:showLegendKey val="0"/>
          <c:showVal val="0"/>
          <c:showCatName val="0"/>
          <c:showSerName val="0"/>
          <c:showPercent val="0"/>
          <c:showBubbleSize val="0"/>
        </c:dLbls>
        <c:gapWidth val="219"/>
        <c:overlap val="-27"/>
        <c:axId val="2057735696"/>
        <c:axId val="215285520"/>
      </c:barChart>
      <c:catAx>
        <c:axId val="205773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285520"/>
        <c:crosses val="autoZero"/>
        <c:auto val="1"/>
        <c:lblAlgn val="ctr"/>
        <c:lblOffset val="100"/>
        <c:noMultiLvlLbl val="0"/>
      </c:catAx>
      <c:valAx>
        <c:axId val="215285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773569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[Open Book 2021 - home support and supported living care cost report - March 2022 - accessible.xlsx]Report!Employees</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a:t>Average Employees per 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Report!$BQ$4</c:f>
              <c:strCache>
                <c:ptCount val="1"/>
                <c:pt idx="0">
                  <c:v>Total</c:v>
                </c:pt>
              </c:strCache>
            </c:strRef>
          </c:tx>
          <c:spPr>
            <a:solidFill>
              <a:schemeClr val="accent1"/>
            </a:solidFill>
            <a:ln>
              <a:noFill/>
            </a:ln>
            <a:effectLst/>
          </c:spPr>
          <c:invertIfNegative val="0"/>
          <c:cat>
            <c:strRef>
              <c:f>Report!$BP$5:$BP$9</c:f>
              <c:strCache>
                <c:ptCount val="5"/>
                <c:pt idx="0">
                  <c:v>Managers</c:v>
                </c:pt>
                <c:pt idx="1">
                  <c:v>Care</c:v>
                </c:pt>
                <c:pt idx="2">
                  <c:v>Administrative</c:v>
                </c:pt>
                <c:pt idx="3">
                  <c:v>Other</c:v>
                </c:pt>
                <c:pt idx="4">
                  <c:v>Total</c:v>
                </c:pt>
              </c:strCache>
            </c:strRef>
          </c:cat>
          <c:val>
            <c:numRef>
              <c:f>Report!$BQ$5:$BQ$9</c:f>
              <c:numCache>
                <c:formatCode>0.00</c:formatCode>
                <c:ptCount val="5"/>
                <c:pt idx="0">
                  <c:v>310.13117117117105</c:v>
                </c:pt>
                <c:pt idx="1">
                  <c:v>3280.7029163449165</c:v>
                </c:pt>
                <c:pt idx="2">
                  <c:v>160.42081081081079</c:v>
                </c:pt>
                <c:pt idx="3">
                  <c:v>77.930000000000007</c:v>
                </c:pt>
                <c:pt idx="4">
                  <c:v>3829.1848983268987</c:v>
                </c:pt>
              </c:numCache>
            </c:numRef>
          </c:val>
          <c:extLst>
            <c:ext xmlns:c16="http://schemas.microsoft.com/office/drawing/2014/chart" uri="{C3380CC4-5D6E-409C-BE32-E72D297353CC}">
              <c16:uniqueId val="{00000000-4A3A-4272-A440-605F57C932E4}"/>
            </c:ext>
          </c:extLst>
        </c:ser>
        <c:dLbls>
          <c:showLegendKey val="0"/>
          <c:showVal val="0"/>
          <c:showCatName val="0"/>
          <c:showSerName val="0"/>
          <c:showPercent val="0"/>
          <c:showBubbleSize val="0"/>
        </c:dLbls>
        <c:gapWidth val="219"/>
        <c:overlap val="-27"/>
        <c:axId val="2057738896"/>
        <c:axId val="215241424"/>
      </c:barChart>
      <c:catAx>
        <c:axId val="205773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241424"/>
        <c:crosses val="autoZero"/>
        <c:auto val="1"/>
        <c:lblAlgn val="ctr"/>
        <c:lblOffset val="100"/>
        <c:noMultiLvlLbl val="0"/>
      </c:catAx>
      <c:valAx>
        <c:axId val="215241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773889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hyperlink" Target="#HOME_DMAL"/><Relationship Id="rId26" Type="http://schemas.openxmlformats.org/officeDocument/2006/relationships/hyperlink" Target="#HOME_MENU"/><Relationship Id="rId3" Type="http://schemas.openxmlformats.org/officeDocument/2006/relationships/chart" Target="../charts/chart3.xml"/><Relationship Id="rId21" Type="http://schemas.openxmlformats.org/officeDocument/2006/relationships/hyperlink" Target="#HOME_WAGE_RATES"/><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hyperlink" Target="#HOME_COSTS"/><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hyperlink" Target="#HOME_CLIENTS"/><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hyperlink" Target="#HOME_CHARGES"/><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hyperlink" Target="#HOME_OCCUPANCY"/><Relationship Id="rId10" Type="http://schemas.openxmlformats.org/officeDocument/2006/relationships/chart" Target="../charts/chart10.xml"/><Relationship Id="rId19" Type="http://schemas.openxmlformats.org/officeDocument/2006/relationships/hyperlink" Target="#HOME_RESPONSES"/><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hyperlink" Target="#HOME_EMPLOYEES"/><Relationship Id="rId27"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22</xdr:col>
      <xdr:colOff>28575</xdr:colOff>
      <xdr:row>12</xdr:row>
      <xdr:rowOff>25400</xdr:rowOff>
    </xdr:from>
    <xdr:to>
      <xdr:col>25</xdr:col>
      <xdr:colOff>1009650</xdr:colOff>
      <xdr:row>27</xdr:row>
      <xdr:rowOff>57150</xdr:rowOff>
    </xdr:to>
    <xdr:graphicFrame macro="">
      <xdr:nvGraphicFramePr>
        <xdr:cNvPr id="2" name="Chart 1" descr="Chart showing response rates and local authorities of care homes">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xdr:colOff>
      <xdr:row>36</xdr:row>
      <xdr:rowOff>0</xdr:rowOff>
    </xdr:from>
    <xdr:to>
      <xdr:col>25</xdr:col>
      <xdr:colOff>1009650</xdr:colOff>
      <xdr:row>48</xdr:row>
      <xdr:rowOff>133350</xdr:rowOff>
    </xdr:to>
    <xdr:graphicFrame macro="">
      <xdr:nvGraphicFramePr>
        <xdr:cNvPr id="3" name="Chart 2" descr="Chart showing response rates and regions of care provider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38</xdr:col>
      <xdr:colOff>844550</xdr:colOff>
      <xdr:row>1</xdr:row>
      <xdr:rowOff>177801</xdr:rowOff>
    </xdr:from>
    <xdr:to>
      <xdr:col>39</xdr:col>
      <xdr:colOff>1295400</xdr:colOff>
      <xdr:row>8</xdr:row>
      <xdr:rowOff>9526</xdr:rowOff>
    </xdr:to>
    <mc:AlternateContent xmlns:mc="http://schemas.openxmlformats.org/markup-compatibility/2006">
      <mc:Choice xmlns:a14="http://schemas.microsoft.com/office/drawing/2010/main" Requires="a14">
        <xdr:graphicFrame macro="">
          <xdr:nvGraphicFramePr>
            <xdr:cNvPr id="4" name="Region Clients and Hours" descr="Region">
              <a:extLst>
                <a:ext uri="{FF2B5EF4-FFF2-40B4-BE49-F238E27FC236}">
                  <a16:creationId xmlns:a16="http://schemas.microsoft.com/office/drawing/2014/main" id="{00000000-0008-0000-0000-000004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gion Clients and Hours"/>
            </a:graphicData>
          </a:graphic>
        </xdr:graphicFrame>
      </mc:Choice>
      <mc:Fallback>
        <xdr:sp macro="" textlink="">
          <xdr:nvSpPr>
            <xdr:cNvPr id="0" name=""/>
            <xdr:cNvSpPr>
              <a:spLocks noTextEdit="1"/>
            </xdr:cNvSpPr>
          </xdr:nvSpPr>
          <xdr:spPr>
            <a:xfrm>
              <a:off x="23180675" y="377826"/>
              <a:ext cx="1746250" cy="1308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38</xdr:col>
      <xdr:colOff>854075</xdr:colOff>
      <xdr:row>8</xdr:row>
      <xdr:rowOff>38100</xdr:rowOff>
    </xdr:from>
    <xdr:to>
      <xdr:col>39</xdr:col>
      <xdr:colOff>1301750</xdr:colOff>
      <xdr:row>14</xdr:row>
      <xdr:rowOff>104775</xdr:rowOff>
    </xdr:to>
    <mc:AlternateContent xmlns:mc="http://schemas.openxmlformats.org/markup-compatibility/2006">
      <mc:Choice xmlns:a14="http://schemas.microsoft.com/office/drawing/2010/main" Requires="a14">
        <xdr:graphicFrame macro="">
          <xdr:nvGraphicFramePr>
            <xdr:cNvPr id="7" name="Majority Service Type Clients and Hours" descr="Majority service type">
              <a:extLst>
                <a:ext uri="{FF2B5EF4-FFF2-40B4-BE49-F238E27FC236}">
                  <a16:creationId xmlns:a16="http://schemas.microsoft.com/office/drawing/2014/main" id="{00000000-0008-0000-0000-000007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ajority Service Type Clients and Hours"/>
            </a:graphicData>
          </a:graphic>
        </xdr:graphicFrame>
      </mc:Choice>
      <mc:Fallback>
        <xdr:sp macro="" textlink="">
          <xdr:nvSpPr>
            <xdr:cNvPr id="0" name=""/>
            <xdr:cNvSpPr>
              <a:spLocks noTextEdit="1"/>
            </xdr:cNvSpPr>
          </xdr:nvSpPr>
          <xdr:spPr>
            <a:xfrm>
              <a:off x="23190200" y="1714500"/>
              <a:ext cx="1733550" cy="13430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38</xdr:col>
      <xdr:colOff>847725</xdr:colOff>
      <xdr:row>14</xdr:row>
      <xdr:rowOff>152400</xdr:rowOff>
    </xdr:from>
    <xdr:to>
      <xdr:col>39</xdr:col>
      <xdr:colOff>1292225</xdr:colOff>
      <xdr:row>37</xdr:row>
      <xdr:rowOff>6350</xdr:rowOff>
    </xdr:to>
    <mc:AlternateContent xmlns:mc="http://schemas.openxmlformats.org/markup-compatibility/2006">
      <mc:Choice xmlns:a14="http://schemas.microsoft.com/office/drawing/2010/main" Requires="a14">
        <xdr:graphicFrame macro="">
          <xdr:nvGraphicFramePr>
            <xdr:cNvPr id="5" name="Number of clients Clients and Hours" descr="Number of clients">
              <a:extLst>
                <a:ext uri="{FF2B5EF4-FFF2-40B4-BE49-F238E27FC236}">
                  <a16:creationId xmlns:a16="http://schemas.microsoft.com/office/drawing/2014/main" id="{00000000-0008-0000-0000-00000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umber of clients Clients and Hours"/>
            </a:graphicData>
          </a:graphic>
        </xdr:graphicFrame>
      </mc:Choice>
      <mc:Fallback>
        <xdr:sp macro="" textlink="">
          <xdr:nvSpPr>
            <xdr:cNvPr id="0" name=""/>
            <xdr:cNvSpPr>
              <a:spLocks noTextEdit="1"/>
            </xdr:cNvSpPr>
          </xdr:nvSpPr>
          <xdr:spPr>
            <a:xfrm>
              <a:off x="23183850" y="3105150"/>
              <a:ext cx="1739900" cy="47593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28</xdr:col>
      <xdr:colOff>68262</xdr:colOff>
      <xdr:row>11</xdr:row>
      <xdr:rowOff>76200</xdr:rowOff>
    </xdr:from>
    <xdr:to>
      <xdr:col>38</xdr:col>
      <xdr:colOff>552450</xdr:colOff>
      <xdr:row>20</xdr:row>
      <xdr:rowOff>96528</xdr:rowOff>
    </xdr:to>
    <xdr:graphicFrame macro="">
      <xdr:nvGraphicFramePr>
        <xdr:cNvPr id="6" name="Chart 5" descr="Chart showing the number of clients per support category">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58738</xdr:colOff>
      <xdr:row>20</xdr:row>
      <xdr:rowOff>161925</xdr:rowOff>
    </xdr:from>
    <xdr:to>
      <xdr:col>38</xdr:col>
      <xdr:colOff>545329</xdr:colOff>
      <xdr:row>29</xdr:row>
      <xdr:rowOff>159117</xdr:rowOff>
    </xdr:to>
    <xdr:graphicFrame macro="">
      <xdr:nvGraphicFramePr>
        <xdr:cNvPr id="9" name="Chart 8" descr="Chart showing the average number of clients per support category">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49212</xdr:colOff>
      <xdr:row>30</xdr:row>
      <xdr:rowOff>15875</xdr:rowOff>
    </xdr:from>
    <xdr:to>
      <xdr:col>38</xdr:col>
      <xdr:colOff>530225</xdr:colOff>
      <xdr:row>39</xdr:row>
      <xdr:rowOff>28575</xdr:rowOff>
    </xdr:to>
    <xdr:graphicFrame macro="">
      <xdr:nvGraphicFramePr>
        <xdr:cNvPr id="10" name="Chart 9" descr="Chart showing the total care hours per support category">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46036</xdr:colOff>
      <xdr:row>39</xdr:row>
      <xdr:rowOff>57150</xdr:rowOff>
    </xdr:from>
    <xdr:to>
      <xdr:col>38</xdr:col>
      <xdr:colOff>533354</xdr:colOff>
      <xdr:row>48</xdr:row>
      <xdr:rowOff>66675</xdr:rowOff>
    </xdr:to>
    <xdr:graphicFrame macro="">
      <xdr:nvGraphicFramePr>
        <xdr:cNvPr id="11" name="Chart 10" descr="Chart showing the average number of care hours per support category">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11110</xdr:colOff>
      <xdr:row>27</xdr:row>
      <xdr:rowOff>58737</xdr:rowOff>
    </xdr:from>
    <xdr:to>
      <xdr:col>60</xdr:col>
      <xdr:colOff>590550</xdr:colOff>
      <xdr:row>40</xdr:row>
      <xdr:rowOff>66675</xdr:rowOff>
    </xdr:to>
    <xdr:graphicFrame macro="">
      <xdr:nvGraphicFramePr>
        <xdr:cNvPr id="16" name="Chart 15" descr="Chart showing the number of FTE staff below the National Living Wage">
          <a:extLst>
            <a:ext uri="{FF2B5EF4-FFF2-40B4-BE49-F238E27FC236}">
              <a16:creationId xmlns:a16="http://schemas.microsoft.com/office/drawing/2014/main"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66</xdr:col>
      <xdr:colOff>892175</xdr:colOff>
      <xdr:row>2</xdr:row>
      <xdr:rowOff>180976</xdr:rowOff>
    </xdr:from>
    <xdr:to>
      <xdr:col>66</xdr:col>
      <xdr:colOff>2559050</xdr:colOff>
      <xdr:row>9</xdr:row>
      <xdr:rowOff>6351</xdr:rowOff>
    </xdr:to>
    <mc:AlternateContent xmlns:mc="http://schemas.openxmlformats.org/markup-compatibility/2006">
      <mc:Choice xmlns:a14="http://schemas.microsoft.com/office/drawing/2010/main" Requires="a14">
        <xdr:graphicFrame macro="">
          <xdr:nvGraphicFramePr>
            <xdr:cNvPr id="19" name="Region NLW" descr="Region">
              <a:extLst>
                <a:ext uri="{FF2B5EF4-FFF2-40B4-BE49-F238E27FC236}">
                  <a16:creationId xmlns:a16="http://schemas.microsoft.com/office/drawing/2014/main" id="{00000000-0008-0000-0000-00001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gion NLW"/>
            </a:graphicData>
          </a:graphic>
        </xdr:graphicFrame>
      </mc:Choice>
      <mc:Fallback>
        <xdr:sp macro="" textlink="">
          <xdr:nvSpPr>
            <xdr:cNvPr id="0" name=""/>
            <xdr:cNvSpPr>
              <a:spLocks noTextEdit="1"/>
            </xdr:cNvSpPr>
          </xdr:nvSpPr>
          <xdr:spPr>
            <a:xfrm>
              <a:off x="35248850" y="600076"/>
              <a:ext cx="1562100" cy="13017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66</xdr:col>
      <xdr:colOff>911226</xdr:colOff>
      <xdr:row>8</xdr:row>
      <xdr:rowOff>158751</xdr:rowOff>
    </xdr:from>
    <xdr:to>
      <xdr:col>66</xdr:col>
      <xdr:colOff>2559050</xdr:colOff>
      <xdr:row>15</xdr:row>
      <xdr:rowOff>28575</xdr:rowOff>
    </xdr:to>
    <mc:AlternateContent xmlns:mc="http://schemas.openxmlformats.org/markup-compatibility/2006">
      <mc:Choice xmlns:a14="http://schemas.microsoft.com/office/drawing/2010/main" Requires="a14">
        <xdr:graphicFrame macro="">
          <xdr:nvGraphicFramePr>
            <xdr:cNvPr id="20" name="Majority Service Type NLW" descr="Majority service type">
              <a:extLst>
                <a:ext uri="{FF2B5EF4-FFF2-40B4-BE49-F238E27FC236}">
                  <a16:creationId xmlns:a16="http://schemas.microsoft.com/office/drawing/2014/main" id="{00000000-0008-0000-0000-000014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ajority Service Type NLW"/>
            </a:graphicData>
          </a:graphic>
        </xdr:graphicFrame>
      </mc:Choice>
      <mc:Fallback>
        <xdr:sp macro="" textlink="">
          <xdr:nvSpPr>
            <xdr:cNvPr id="0" name=""/>
            <xdr:cNvSpPr>
              <a:spLocks noTextEdit="1"/>
            </xdr:cNvSpPr>
          </xdr:nvSpPr>
          <xdr:spPr>
            <a:xfrm>
              <a:off x="35267901" y="1835151"/>
              <a:ext cx="1543049" cy="13557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66</xdr:col>
      <xdr:colOff>958850</xdr:colOff>
      <xdr:row>14</xdr:row>
      <xdr:rowOff>171450</xdr:rowOff>
    </xdr:from>
    <xdr:to>
      <xdr:col>67</xdr:col>
      <xdr:colOff>0</xdr:colOff>
      <xdr:row>37</xdr:row>
      <xdr:rowOff>85725</xdr:rowOff>
    </xdr:to>
    <mc:AlternateContent xmlns:mc="http://schemas.openxmlformats.org/markup-compatibility/2006">
      <mc:Choice xmlns:a14="http://schemas.microsoft.com/office/drawing/2010/main" Requires="a14">
        <xdr:graphicFrame macro="">
          <xdr:nvGraphicFramePr>
            <xdr:cNvPr id="21" name="Number of clients NLW" descr="Number of clients">
              <a:extLst>
                <a:ext uri="{FF2B5EF4-FFF2-40B4-BE49-F238E27FC236}">
                  <a16:creationId xmlns:a16="http://schemas.microsoft.com/office/drawing/2014/main" id="{00000000-0008-0000-0000-00001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umber of clients NLW"/>
            </a:graphicData>
          </a:graphic>
        </xdr:graphicFrame>
      </mc:Choice>
      <mc:Fallback>
        <xdr:sp macro="" textlink="">
          <xdr:nvSpPr>
            <xdr:cNvPr id="0" name=""/>
            <xdr:cNvSpPr>
              <a:spLocks noTextEdit="1"/>
            </xdr:cNvSpPr>
          </xdr:nvSpPr>
          <xdr:spPr>
            <a:xfrm>
              <a:off x="35315525" y="3124200"/>
              <a:ext cx="1498600" cy="48196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67</xdr:col>
      <xdr:colOff>19050</xdr:colOff>
      <xdr:row>9</xdr:row>
      <xdr:rowOff>55562</xdr:rowOff>
    </xdr:from>
    <xdr:to>
      <xdr:col>70</xdr:col>
      <xdr:colOff>695325</xdr:colOff>
      <xdr:row>24</xdr:row>
      <xdr:rowOff>20637</xdr:rowOff>
    </xdr:to>
    <xdr:graphicFrame macro="">
      <xdr:nvGraphicFramePr>
        <xdr:cNvPr id="22" name="Chart 21" descr="Chart showing the total number of employees per job category">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36512</xdr:colOff>
      <xdr:row>24</xdr:row>
      <xdr:rowOff>17462</xdr:rowOff>
    </xdr:from>
    <xdr:to>
      <xdr:col>70</xdr:col>
      <xdr:colOff>695325</xdr:colOff>
      <xdr:row>39</xdr:row>
      <xdr:rowOff>30162</xdr:rowOff>
    </xdr:to>
    <xdr:graphicFrame macro="">
      <xdr:nvGraphicFramePr>
        <xdr:cNvPr id="23" name="Chart 22" descr="Chart showing the average number of employees per location">
          <a:extLst>
            <a:ext uri="{FF2B5EF4-FFF2-40B4-BE49-F238E27FC236}">
              <a16:creationId xmlns:a16="http://schemas.microsoft.com/office/drawing/2014/main" id="{00000000-0008-0000-00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71</xdr:col>
      <xdr:colOff>476250</xdr:colOff>
      <xdr:row>2</xdr:row>
      <xdr:rowOff>38101</xdr:rowOff>
    </xdr:from>
    <xdr:to>
      <xdr:col>72</xdr:col>
      <xdr:colOff>1130301</xdr:colOff>
      <xdr:row>8</xdr:row>
      <xdr:rowOff>95251</xdr:rowOff>
    </xdr:to>
    <mc:AlternateContent xmlns:mc="http://schemas.openxmlformats.org/markup-compatibility/2006">
      <mc:Choice xmlns:a14="http://schemas.microsoft.com/office/drawing/2010/main" Requires="a14">
        <xdr:graphicFrame macro="">
          <xdr:nvGraphicFramePr>
            <xdr:cNvPr id="24" name="Region Employees" descr="Region">
              <a:extLst>
                <a:ext uri="{FF2B5EF4-FFF2-40B4-BE49-F238E27FC236}">
                  <a16:creationId xmlns:a16="http://schemas.microsoft.com/office/drawing/2014/main" id="{00000000-0008-0000-0000-00001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gion Employees"/>
            </a:graphicData>
          </a:graphic>
        </xdr:graphicFrame>
      </mc:Choice>
      <mc:Fallback>
        <xdr:sp macro="" textlink="">
          <xdr:nvSpPr>
            <xdr:cNvPr id="0" name=""/>
            <xdr:cNvSpPr>
              <a:spLocks noTextEdit="1"/>
            </xdr:cNvSpPr>
          </xdr:nvSpPr>
          <xdr:spPr>
            <a:xfrm>
              <a:off x="40024050" y="457201"/>
              <a:ext cx="1577976" cy="1314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71</xdr:col>
      <xdr:colOff>476250</xdr:colOff>
      <xdr:row>8</xdr:row>
      <xdr:rowOff>177801</xdr:rowOff>
    </xdr:from>
    <xdr:to>
      <xdr:col>72</xdr:col>
      <xdr:colOff>1149351</xdr:colOff>
      <xdr:row>15</xdr:row>
      <xdr:rowOff>76201</xdr:rowOff>
    </xdr:to>
    <mc:AlternateContent xmlns:mc="http://schemas.openxmlformats.org/markup-compatibility/2006">
      <mc:Choice xmlns:a14="http://schemas.microsoft.com/office/drawing/2010/main" Requires="a14">
        <xdr:graphicFrame macro="">
          <xdr:nvGraphicFramePr>
            <xdr:cNvPr id="25" name="Majority Service Type Employees" descr="Majority service type">
              <a:extLst>
                <a:ext uri="{FF2B5EF4-FFF2-40B4-BE49-F238E27FC236}">
                  <a16:creationId xmlns:a16="http://schemas.microsoft.com/office/drawing/2014/main" id="{00000000-0008-0000-0000-000019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ajority Service Type Employees"/>
            </a:graphicData>
          </a:graphic>
        </xdr:graphicFrame>
      </mc:Choice>
      <mc:Fallback>
        <xdr:sp macro="" textlink="">
          <xdr:nvSpPr>
            <xdr:cNvPr id="0" name=""/>
            <xdr:cNvSpPr>
              <a:spLocks noTextEdit="1"/>
            </xdr:cNvSpPr>
          </xdr:nvSpPr>
          <xdr:spPr>
            <a:xfrm>
              <a:off x="40024050" y="1854201"/>
              <a:ext cx="1577976" cy="1384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71</xdr:col>
      <xdr:colOff>542924</xdr:colOff>
      <xdr:row>15</xdr:row>
      <xdr:rowOff>174623</xdr:rowOff>
    </xdr:from>
    <xdr:to>
      <xdr:col>72</xdr:col>
      <xdr:colOff>1143001</xdr:colOff>
      <xdr:row>38</xdr:row>
      <xdr:rowOff>101600</xdr:rowOff>
    </xdr:to>
    <mc:AlternateContent xmlns:mc="http://schemas.openxmlformats.org/markup-compatibility/2006">
      <mc:Choice xmlns:a14="http://schemas.microsoft.com/office/drawing/2010/main" Requires="a14">
        <xdr:graphicFrame macro="">
          <xdr:nvGraphicFramePr>
            <xdr:cNvPr id="26" name="Number of clients Employees" descr="Number of clients">
              <a:extLst>
                <a:ext uri="{FF2B5EF4-FFF2-40B4-BE49-F238E27FC236}">
                  <a16:creationId xmlns:a16="http://schemas.microsoft.com/office/drawing/2014/main" id="{00000000-0008-0000-0000-00001A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umber of clients Employees"/>
            </a:graphicData>
          </a:graphic>
        </xdr:graphicFrame>
      </mc:Choice>
      <mc:Fallback>
        <xdr:sp macro="" textlink="">
          <xdr:nvSpPr>
            <xdr:cNvPr id="0" name=""/>
            <xdr:cNvSpPr>
              <a:spLocks noTextEdit="1"/>
            </xdr:cNvSpPr>
          </xdr:nvSpPr>
          <xdr:spPr>
            <a:xfrm>
              <a:off x="40090724" y="3336923"/>
              <a:ext cx="1514477" cy="48228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75</xdr:col>
      <xdr:colOff>30162</xdr:colOff>
      <xdr:row>17</xdr:row>
      <xdr:rowOff>46037</xdr:rowOff>
    </xdr:from>
    <xdr:to>
      <xdr:col>77</xdr:col>
      <xdr:colOff>523875</xdr:colOff>
      <xdr:row>32</xdr:row>
      <xdr:rowOff>171450</xdr:rowOff>
    </xdr:to>
    <xdr:graphicFrame macro="">
      <xdr:nvGraphicFramePr>
        <xdr:cNvPr id="27" name="Chart 26" descr="Chart showing the total number of care hours per funding source">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75</xdr:col>
      <xdr:colOff>30162</xdr:colOff>
      <xdr:row>32</xdr:row>
      <xdr:rowOff>95251</xdr:rowOff>
    </xdr:from>
    <xdr:to>
      <xdr:col>77</xdr:col>
      <xdr:colOff>520700</xdr:colOff>
      <xdr:row>48</xdr:row>
      <xdr:rowOff>133351</xdr:rowOff>
    </xdr:to>
    <xdr:graphicFrame macro="">
      <xdr:nvGraphicFramePr>
        <xdr:cNvPr id="28" name="Chart 27" descr="Pie chart showing the total number of care hours per funding source">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78</xdr:col>
      <xdr:colOff>44451</xdr:colOff>
      <xdr:row>2</xdr:row>
      <xdr:rowOff>6350</xdr:rowOff>
    </xdr:from>
    <xdr:to>
      <xdr:col>79</xdr:col>
      <xdr:colOff>1485903</xdr:colOff>
      <xdr:row>8</xdr:row>
      <xdr:rowOff>15875</xdr:rowOff>
    </xdr:to>
    <mc:AlternateContent xmlns:mc="http://schemas.openxmlformats.org/markup-compatibility/2006">
      <mc:Choice xmlns:a14="http://schemas.microsoft.com/office/drawing/2010/main" Requires="a14">
        <xdr:graphicFrame macro="">
          <xdr:nvGraphicFramePr>
            <xdr:cNvPr id="29" name="Region" descr="region">
              <a:extLst>
                <a:ext uri="{FF2B5EF4-FFF2-40B4-BE49-F238E27FC236}">
                  <a16:creationId xmlns:a16="http://schemas.microsoft.com/office/drawing/2014/main" id="{00000000-0008-0000-0000-00001D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dr:sp macro="" textlink="">
          <xdr:nvSpPr>
            <xdr:cNvPr id="0" name=""/>
            <xdr:cNvSpPr>
              <a:spLocks noTextEdit="1"/>
            </xdr:cNvSpPr>
          </xdr:nvSpPr>
          <xdr:spPr>
            <a:xfrm>
              <a:off x="46488351" y="425450"/>
              <a:ext cx="1660527" cy="12668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78</xdr:col>
      <xdr:colOff>41274</xdr:colOff>
      <xdr:row>14</xdr:row>
      <xdr:rowOff>76199</xdr:rowOff>
    </xdr:from>
    <xdr:to>
      <xdr:col>79</xdr:col>
      <xdr:colOff>1485901</xdr:colOff>
      <xdr:row>36</xdr:row>
      <xdr:rowOff>161924</xdr:rowOff>
    </xdr:to>
    <mc:AlternateContent xmlns:mc="http://schemas.openxmlformats.org/markup-compatibility/2006">
      <mc:Choice xmlns:a14="http://schemas.microsoft.com/office/drawing/2010/main" Requires="a14">
        <xdr:graphicFrame macro="">
          <xdr:nvGraphicFramePr>
            <xdr:cNvPr id="30" name="Occupancy Number of Cleints" descr="Occupancy">
              <a:extLst>
                <a:ext uri="{FF2B5EF4-FFF2-40B4-BE49-F238E27FC236}">
                  <a16:creationId xmlns:a16="http://schemas.microsoft.com/office/drawing/2014/main" id="{00000000-0008-0000-0000-00001E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Occupancy Number of Cleints"/>
            </a:graphicData>
          </a:graphic>
        </xdr:graphicFrame>
      </mc:Choice>
      <mc:Fallback>
        <xdr:sp macro="" textlink="">
          <xdr:nvSpPr>
            <xdr:cNvPr id="0" name=""/>
            <xdr:cNvSpPr>
              <a:spLocks noTextEdit="1"/>
            </xdr:cNvSpPr>
          </xdr:nvSpPr>
          <xdr:spPr>
            <a:xfrm>
              <a:off x="46485174" y="3028949"/>
              <a:ext cx="1663702" cy="47910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78</xdr:col>
      <xdr:colOff>31749</xdr:colOff>
      <xdr:row>8</xdr:row>
      <xdr:rowOff>15876</xdr:rowOff>
    </xdr:from>
    <xdr:to>
      <xdr:col>79</xdr:col>
      <xdr:colOff>1466851</xdr:colOff>
      <xdr:row>14</xdr:row>
      <xdr:rowOff>34926</xdr:rowOff>
    </xdr:to>
    <mc:AlternateContent xmlns:mc="http://schemas.openxmlformats.org/markup-compatibility/2006">
      <mc:Choice xmlns:a14="http://schemas.microsoft.com/office/drawing/2010/main" Requires="a14">
        <xdr:graphicFrame macro="">
          <xdr:nvGraphicFramePr>
            <xdr:cNvPr id="31" name="Majority Service Type Occupancy" descr="Majority service type">
              <a:extLst>
                <a:ext uri="{FF2B5EF4-FFF2-40B4-BE49-F238E27FC236}">
                  <a16:creationId xmlns:a16="http://schemas.microsoft.com/office/drawing/2014/main" id="{00000000-0008-0000-0000-00001F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ajority Service Type Occupancy"/>
            </a:graphicData>
          </a:graphic>
        </xdr:graphicFrame>
      </mc:Choice>
      <mc:Fallback>
        <xdr:sp macro="" textlink="">
          <xdr:nvSpPr>
            <xdr:cNvPr id="0" name=""/>
            <xdr:cNvSpPr>
              <a:spLocks noTextEdit="1"/>
            </xdr:cNvSpPr>
          </xdr:nvSpPr>
          <xdr:spPr>
            <a:xfrm>
              <a:off x="46475649" y="1692276"/>
              <a:ext cx="1673227" cy="1295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244475</xdr:colOff>
      <xdr:row>2</xdr:row>
      <xdr:rowOff>104775</xdr:rowOff>
    </xdr:from>
    <xdr:to>
      <xdr:col>27</xdr:col>
      <xdr:colOff>1025525</xdr:colOff>
      <xdr:row>8</xdr:row>
      <xdr:rowOff>139700</xdr:rowOff>
    </xdr:to>
    <mc:AlternateContent xmlns:mc="http://schemas.openxmlformats.org/markup-compatibility/2006">
      <mc:Choice xmlns:a14="http://schemas.microsoft.com/office/drawing/2010/main" Requires="a14">
        <xdr:graphicFrame macro="">
          <xdr:nvGraphicFramePr>
            <xdr:cNvPr id="8" name="Region 1" descr="Region">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dr:sp macro="" textlink="">
          <xdr:nvSpPr>
            <xdr:cNvPr id="0" name=""/>
            <xdr:cNvSpPr>
              <a:spLocks noTextEdit="1"/>
            </xdr:cNvSpPr>
          </xdr:nvSpPr>
          <xdr:spPr>
            <a:xfrm>
              <a:off x="17446625" y="523875"/>
              <a:ext cx="1752600" cy="12922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257175</xdr:colOff>
      <xdr:row>8</xdr:row>
      <xdr:rowOff>152400</xdr:rowOff>
    </xdr:from>
    <xdr:to>
      <xdr:col>27</xdr:col>
      <xdr:colOff>1035050</xdr:colOff>
      <xdr:row>14</xdr:row>
      <xdr:rowOff>171450</xdr:rowOff>
    </xdr:to>
    <mc:AlternateContent xmlns:mc="http://schemas.openxmlformats.org/markup-compatibility/2006">
      <mc:Choice xmlns:a14="http://schemas.microsoft.com/office/drawing/2010/main" Requires="a14">
        <xdr:graphicFrame macro="">
          <xdr:nvGraphicFramePr>
            <xdr:cNvPr id="18" name="Majority Service Type" descr="Majority service type">
              <a:extLst>
                <a:ext uri="{FF2B5EF4-FFF2-40B4-BE49-F238E27FC236}">
                  <a16:creationId xmlns:a16="http://schemas.microsoft.com/office/drawing/2014/main" id="{00000000-0008-0000-0000-000012000000}"/>
                </a:ext>
              </a:extLst>
            </xdr:cNvPr>
            <xdr:cNvGraphicFramePr/>
          </xdr:nvGraphicFramePr>
          <xdr:xfrm>
            <a:off x="0" y="0"/>
            <a:ext cx="0" cy="0"/>
          </xdr:xfrm>
          <a:graphic>
            <a:graphicData uri="http://schemas.microsoft.com/office/drawing/2010/slicer">
              <sle:slicer xmlns:sle="http://schemas.microsoft.com/office/drawing/2010/slicer" name="Majority Service Type"/>
            </a:graphicData>
          </a:graphic>
        </xdr:graphicFrame>
      </mc:Choice>
      <mc:Fallback>
        <xdr:sp macro="" textlink="">
          <xdr:nvSpPr>
            <xdr:cNvPr id="0" name=""/>
            <xdr:cNvSpPr>
              <a:spLocks noTextEdit="1"/>
            </xdr:cNvSpPr>
          </xdr:nvSpPr>
          <xdr:spPr>
            <a:xfrm>
              <a:off x="17459325" y="1828800"/>
              <a:ext cx="1739900" cy="1295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234950</xdr:colOff>
      <xdr:row>15</xdr:row>
      <xdr:rowOff>57149</xdr:rowOff>
    </xdr:from>
    <xdr:to>
      <xdr:col>27</xdr:col>
      <xdr:colOff>1016000</xdr:colOff>
      <xdr:row>37</xdr:row>
      <xdr:rowOff>44450</xdr:rowOff>
    </xdr:to>
    <mc:AlternateContent xmlns:mc="http://schemas.openxmlformats.org/markup-compatibility/2006">
      <mc:Choice xmlns:a14="http://schemas.microsoft.com/office/drawing/2010/main" Requires="a14">
        <xdr:graphicFrame macro="">
          <xdr:nvGraphicFramePr>
            <xdr:cNvPr id="32" name="Number of clients (banded)" descr="Number of clients">
              <a:extLst>
                <a:ext uri="{FF2B5EF4-FFF2-40B4-BE49-F238E27FC236}">
                  <a16:creationId xmlns:a16="http://schemas.microsoft.com/office/drawing/2014/main" id="{00000000-0008-0000-0000-000020000000}"/>
                </a:ext>
              </a:extLst>
            </xdr:cNvPr>
            <xdr:cNvGraphicFramePr/>
          </xdr:nvGraphicFramePr>
          <xdr:xfrm>
            <a:off x="0" y="0"/>
            <a:ext cx="0" cy="0"/>
          </xdr:xfrm>
          <a:graphic>
            <a:graphicData uri="http://schemas.microsoft.com/office/drawing/2010/slicer">
              <sle:slicer xmlns:sle="http://schemas.microsoft.com/office/drawing/2010/slicer" name="Number of clients (banded)"/>
            </a:graphicData>
          </a:graphic>
        </xdr:graphicFrame>
      </mc:Choice>
      <mc:Fallback>
        <xdr:sp macro="" textlink="">
          <xdr:nvSpPr>
            <xdr:cNvPr id="0" name=""/>
            <xdr:cNvSpPr>
              <a:spLocks noTextEdit="1"/>
            </xdr:cNvSpPr>
          </xdr:nvSpPr>
          <xdr:spPr>
            <a:xfrm>
              <a:off x="17437100" y="3219449"/>
              <a:ext cx="1762125" cy="468312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225425</xdr:colOff>
      <xdr:row>38</xdr:row>
      <xdr:rowOff>120650</xdr:rowOff>
    </xdr:from>
    <xdr:to>
      <xdr:col>27</xdr:col>
      <xdr:colOff>1006475</xdr:colOff>
      <xdr:row>46</xdr:row>
      <xdr:rowOff>53975</xdr:rowOff>
    </xdr:to>
    <mc:AlternateContent xmlns:mc="http://schemas.openxmlformats.org/markup-compatibility/2006">
      <mc:Choice xmlns:a14="http://schemas.microsoft.com/office/drawing/2010/main" Requires="a14">
        <xdr:graphicFrame macro="">
          <xdr:nvGraphicFramePr>
            <xdr:cNvPr id="33" name="Contract Status" descr="Contract status">
              <a:extLst>
                <a:ext uri="{FF2B5EF4-FFF2-40B4-BE49-F238E27FC236}">
                  <a16:creationId xmlns:a16="http://schemas.microsoft.com/office/drawing/2014/main" id="{00000000-0008-0000-0000-000021000000}"/>
                </a:ext>
              </a:extLst>
            </xdr:cNvPr>
            <xdr:cNvGraphicFramePr/>
          </xdr:nvGraphicFramePr>
          <xdr:xfrm>
            <a:off x="0" y="0"/>
            <a:ext cx="0" cy="0"/>
          </xdr:xfrm>
          <a:graphic>
            <a:graphicData uri="http://schemas.microsoft.com/office/drawing/2010/slicer">
              <sle:slicer xmlns:sle="http://schemas.microsoft.com/office/drawing/2010/slicer" name="Contract Status"/>
            </a:graphicData>
          </a:graphic>
        </xdr:graphicFrame>
      </mc:Choice>
      <mc:Fallback>
        <xdr:sp macro="" textlink="">
          <xdr:nvSpPr>
            <xdr:cNvPr id="0" name=""/>
            <xdr:cNvSpPr>
              <a:spLocks noTextEdit="1"/>
            </xdr:cNvSpPr>
          </xdr:nvSpPr>
          <xdr:spPr>
            <a:xfrm>
              <a:off x="17427575" y="8178800"/>
              <a:ext cx="1771650" cy="15144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38</xdr:col>
      <xdr:colOff>835025</xdr:colOff>
      <xdr:row>37</xdr:row>
      <xdr:rowOff>177800</xdr:rowOff>
    </xdr:from>
    <xdr:to>
      <xdr:col>39</xdr:col>
      <xdr:colOff>1285875</xdr:colOff>
      <xdr:row>45</xdr:row>
      <xdr:rowOff>111125</xdr:rowOff>
    </xdr:to>
    <mc:AlternateContent xmlns:mc="http://schemas.openxmlformats.org/markup-compatibility/2006">
      <mc:Choice xmlns:a14="http://schemas.microsoft.com/office/drawing/2010/main" Requires="a14">
        <xdr:graphicFrame macro="">
          <xdr:nvGraphicFramePr>
            <xdr:cNvPr id="34" name="Contract Status 1" descr="Contract status">
              <a:extLst>
                <a:ext uri="{FF2B5EF4-FFF2-40B4-BE49-F238E27FC236}">
                  <a16:creationId xmlns:a16="http://schemas.microsoft.com/office/drawing/2014/main" id="{00000000-0008-0000-0000-00002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ntract Status 1"/>
            </a:graphicData>
          </a:graphic>
        </xdr:graphicFrame>
      </mc:Choice>
      <mc:Fallback>
        <xdr:sp macro="" textlink="">
          <xdr:nvSpPr>
            <xdr:cNvPr id="0" name=""/>
            <xdr:cNvSpPr>
              <a:spLocks noTextEdit="1"/>
            </xdr:cNvSpPr>
          </xdr:nvSpPr>
          <xdr:spPr>
            <a:xfrm>
              <a:off x="23171150" y="8035925"/>
              <a:ext cx="1755775" cy="15144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66</xdr:col>
      <xdr:colOff>952501</xdr:colOff>
      <xdr:row>36</xdr:row>
      <xdr:rowOff>158750</xdr:rowOff>
    </xdr:from>
    <xdr:to>
      <xdr:col>66</xdr:col>
      <xdr:colOff>2540001</xdr:colOff>
      <xdr:row>44</xdr:row>
      <xdr:rowOff>111125</xdr:rowOff>
    </xdr:to>
    <mc:AlternateContent xmlns:mc="http://schemas.openxmlformats.org/markup-compatibility/2006">
      <mc:Choice xmlns:a14="http://schemas.microsoft.com/office/drawing/2010/main" Requires="a14">
        <xdr:graphicFrame macro="">
          <xdr:nvGraphicFramePr>
            <xdr:cNvPr id="39" name="Contract Status 3" descr="Contract status">
              <a:extLst>
                <a:ext uri="{FF2B5EF4-FFF2-40B4-BE49-F238E27FC236}">
                  <a16:creationId xmlns:a16="http://schemas.microsoft.com/office/drawing/2014/main" id="{00000000-0008-0000-0000-000027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ntract Status 3"/>
            </a:graphicData>
          </a:graphic>
        </xdr:graphicFrame>
      </mc:Choice>
      <mc:Fallback>
        <xdr:sp macro="" textlink="">
          <xdr:nvSpPr>
            <xdr:cNvPr id="0" name=""/>
            <xdr:cNvSpPr>
              <a:spLocks noTextEdit="1"/>
            </xdr:cNvSpPr>
          </xdr:nvSpPr>
          <xdr:spPr>
            <a:xfrm>
              <a:off x="35309176" y="7816850"/>
              <a:ext cx="1501775" cy="15335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71</xdr:col>
      <xdr:colOff>542925</xdr:colOff>
      <xdr:row>39</xdr:row>
      <xdr:rowOff>38100</xdr:rowOff>
    </xdr:from>
    <xdr:to>
      <xdr:col>72</xdr:col>
      <xdr:colOff>1143001</xdr:colOff>
      <xdr:row>46</xdr:row>
      <xdr:rowOff>101600</xdr:rowOff>
    </xdr:to>
    <mc:AlternateContent xmlns:mc="http://schemas.openxmlformats.org/markup-compatibility/2006">
      <mc:Choice xmlns:a14="http://schemas.microsoft.com/office/drawing/2010/main" Requires="a14">
        <xdr:graphicFrame macro="">
          <xdr:nvGraphicFramePr>
            <xdr:cNvPr id="40" name="Contract Status 4" descr="Contract status">
              <a:extLst>
                <a:ext uri="{FF2B5EF4-FFF2-40B4-BE49-F238E27FC236}">
                  <a16:creationId xmlns:a16="http://schemas.microsoft.com/office/drawing/2014/main" id="{00000000-0008-0000-0000-00002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ntract Status 4"/>
            </a:graphicData>
          </a:graphic>
        </xdr:graphicFrame>
      </mc:Choice>
      <mc:Fallback>
        <xdr:sp macro="" textlink="">
          <xdr:nvSpPr>
            <xdr:cNvPr id="0" name=""/>
            <xdr:cNvSpPr>
              <a:spLocks noTextEdit="1"/>
            </xdr:cNvSpPr>
          </xdr:nvSpPr>
          <xdr:spPr>
            <a:xfrm>
              <a:off x="40090725" y="8296275"/>
              <a:ext cx="1514476" cy="1444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78</xdr:col>
      <xdr:colOff>57149</xdr:colOff>
      <xdr:row>37</xdr:row>
      <xdr:rowOff>133351</xdr:rowOff>
    </xdr:from>
    <xdr:to>
      <xdr:col>79</xdr:col>
      <xdr:colOff>1504951</xdr:colOff>
      <xdr:row>45</xdr:row>
      <xdr:rowOff>34926</xdr:rowOff>
    </xdr:to>
    <mc:AlternateContent xmlns:mc="http://schemas.openxmlformats.org/markup-compatibility/2006">
      <mc:Choice xmlns:a14="http://schemas.microsoft.com/office/drawing/2010/main" Requires="a14">
        <xdr:graphicFrame macro="">
          <xdr:nvGraphicFramePr>
            <xdr:cNvPr id="41" name="Contract Status 5" descr="Contract status">
              <a:extLst>
                <a:ext uri="{FF2B5EF4-FFF2-40B4-BE49-F238E27FC236}">
                  <a16:creationId xmlns:a16="http://schemas.microsoft.com/office/drawing/2014/main" id="{00000000-0008-0000-0000-000029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ntract Status 5"/>
            </a:graphicData>
          </a:graphic>
        </xdr:graphicFrame>
      </mc:Choice>
      <mc:Fallback>
        <xdr:sp macro="" textlink="">
          <xdr:nvSpPr>
            <xdr:cNvPr id="0" name=""/>
            <xdr:cNvSpPr>
              <a:spLocks noTextEdit="1"/>
            </xdr:cNvSpPr>
          </xdr:nvSpPr>
          <xdr:spPr>
            <a:xfrm>
              <a:off x="46501049" y="7991476"/>
              <a:ext cx="1647827" cy="14827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86</xdr:col>
      <xdr:colOff>44450</xdr:colOff>
      <xdr:row>1</xdr:row>
      <xdr:rowOff>161925</xdr:rowOff>
    </xdr:from>
    <xdr:to>
      <xdr:col>87</xdr:col>
      <xdr:colOff>866775</xdr:colOff>
      <xdr:row>7</xdr:row>
      <xdr:rowOff>168275</xdr:rowOff>
    </xdr:to>
    <mc:AlternateContent xmlns:mc="http://schemas.openxmlformats.org/markup-compatibility/2006">
      <mc:Choice xmlns:a14="http://schemas.microsoft.com/office/drawing/2010/main" Requires="a14">
        <xdr:graphicFrame macro="">
          <xdr:nvGraphicFramePr>
            <xdr:cNvPr id="42" name="Region 3" descr="Region">
              <a:extLst>
                <a:ext uri="{FF2B5EF4-FFF2-40B4-BE49-F238E27FC236}">
                  <a16:creationId xmlns:a16="http://schemas.microsoft.com/office/drawing/2014/main" id="{00000000-0008-0000-0000-00002A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gion 3"/>
            </a:graphicData>
          </a:graphic>
        </xdr:graphicFrame>
      </mc:Choice>
      <mc:Fallback>
        <xdr:sp macro="" textlink="">
          <xdr:nvSpPr>
            <xdr:cNvPr id="0" name=""/>
            <xdr:cNvSpPr>
              <a:spLocks noTextEdit="1"/>
            </xdr:cNvSpPr>
          </xdr:nvSpPr>
          <xdr:spPr>
            <a:xfrm>
              <a:off x="58118375" y="361950"/>
              <a:ext cx="1774825" cy="12636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86</xdr:col>
      <xdr:colOff>53975</xdr:colOff>
      <xdr:row>7</xdr:row>
      <xdr:rowOff>152401</xdr:rowOff>
    </xdr:from>
    <xdr:to>
      <xdr:col>87</xdr:col>
      <xdr:colOff>885825</xdr:colOff>
      <xdr:row>13</xdr:row>
      <xdr:rowOff>158751</xdr:rowOff>
    </xdr:to>
    <mc:AlternateContent xmlns:mc="http://schemas.openxmlformats.org/markup-compatibility/2006">
      <mc:Choice xmlns:a14="http://schemas.microsoft.com/office/drawing/2010/main" Requires="a14">
        <xdr:graphicFrame macro="">
          <xdr:nvGraphicFramePr>
            <xdr:cNvPr id="43" name="Majority Service Type Hourly Costs" descr="Majority service type">
              <a:extLst>
                <a:ext uri="{FF2B5EF4-FFF2-40B4-BE49-F238E27FC236}">
                  <a16:creationId xmlns:a16="http://schemas.microsoft.com/office/drawing/2014/main" id="{00000000-0008-0000-0000-00002B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ajority Service Type Hourly Costs"/>
            </a:graphicData>
          </a:graphic>
        </xdr:graphicFrame>
      </mc:Choice>
      <mc:Fallback>
        <xdr:sp macro="" textlink="">
          <xdr:nvSpPr>
            <xdr:cNvPr id="0" name=""/>
            <xdr:cNvSpPr>
              <a:spLocks noTextEdit="1"/>
            </xdr:cNvSpPr>
          </xdr:nvSpPr>
          <xdr:spPr>
            <a:xfrm>
              <a:off x="58127900" y="1609726"/>
              <a:ext cx="1765300" cy="12922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86</xdr:col>
      <xdr:colOff>25400</xdr:colOff>
      <xdr:row>14</xdr:row>
      <xdr:rowOff>3173</xdr:rowOff>
    </xdr:from>
    <xdr:to>
      <xdr:col>87</xdr:col>
      <xdr:colOff>857250</xdr:colOff>
      <xdr:row>36</xdr:row>
      <xdr:rowOff>101600</xdr:rowOff>
    </xdr:to>
    <mc:AlternateContent xmlns:mc="http://schemas.openxmlformats.org/markup-compatibility/2006">
      <mc:Choice xmlns:a14="http://schemas.microsoft.com/office/drawing/2010/main" Requires="a14">
        <xdr:graphicFrame macro="">
          <xdr:nvGraphicFramePr>
            <xdr:cNvPr id="44" name="Number of clients costs" descr="Number of records">
              <a:extLst>
                <a:ext uri="{FF2B5EF4-FFF2-40B4-BE49-F238E27FC236}">
                  <a16:creationId xmlns:a16="http://schemas.microsoft.com/office/drawing/2014/main" id="{00000000-0008-0000-0000-00002C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umber of clients costs"/>
            </a:graphicData>
          </a:graphic>
        </xdr:graphicFrame>
      </mc:Choice>
      <mc:Fallback>
        <xdr:sp macro="" textlink="">
          <xdr:nvSpPr>
            <xdr:cNvPr id="0" name=""/>
            <xdr:cNvSpPr>
              <a:spLocks noTextEdit="1"/>
            </xdr:cNvSpPr>
          </xdr:nvSpPr>
          <xdr:spPr>
            <a:xfrm>
              <a:off x="58099325" y="2955923"/>
              <a:ext cx="1793875" cy="480377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86</xdr:col>
      <xdr:colOff>44450</xdr:colOff>
      <xdr:row>37</xdr:row>
      <xdr:rowOff>79375</xdr:rowOff>
    </xdr:from>
    <xdr:to>
      <xdr:col>87</xdr:col>
      <xdr:colOff>866775</xdr:colOff>
      <xdr:row>44</xdr:row>
      <xdr:rowOff>177800</xdr:rowOff>
    </xdr:to>
    <mc:AlternateContent xmlns:mc="http://schemas.openxmlformats.org/markup-compatibility/2006">
      <mc:Choice xmlns:a14="http://schemas.microsoft.com/office/drawing/2010/main" Requires="a14">
        <xdr:graphicFrame macro="">
          <xdr:nvGraphicFramePr>
            <xdr:cNvPr id="45" name="Contract Status 6" descr="Contract status">
              <a:extLst>
                <a:ext uri="{FF2B5EF4-FFF2-40B4-BE49-F238E27FC236}">
                  <a16:creationId xmlns:a16="http://schemas.microsoft.com/office/drawing/2014/main" id="{00000000-0008-0000-0000-00002D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ntract Status 6"/>
            </a:graphicData>
          </a:graphic>
        </xdr:graphicFrame>
      </mc:Choice>
      <mc:Fallback>
        <xdr:sp macro="" textlink="">
          <xdr:nvSpPr>
            <xdr:cNvPr id="0" name=""/>
            <xdr:cNvSpPr>
              <a:spLocks noTextEdit="1"/>
            </xdr:cNvSpPr>
          </xdr:nvSpPr>
          <xdr:spPr>
            <a:xfrm>
              <a:off x="58118375" y="7937500"/>
              <a:ext cx="1774825" cy="14795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84</xdr:col>
      <xdr:colOff>9525</xdr:colOff>
      <xdr:row>1</xdr:row>
      <xdr:rowOff>15876</xdr:rowOff>
    </xdr:from>
    <xdr:to>
      <xdr:col>84</xdr:col>
      <xdr:colOff>3673475</xdr:colOff>
      <xdr:row>1</xdr:row>
      <xdr:rowOff>180975</xdr:rowOff>
    </xdr:to>
    <xdr:sp macro="" textlink="">
      <xdr:nvSpPr>
        <xdr:cNvPr id="46" name="TextBox 45" title="Decorative">
          <a:extLst>
            <a:ext uri="{FF2B5EF4-FFF2-40B4-BE49-F238E27FC236}">
              <a16:creationId xmlns:a16="http://schemas.microsoft.com/office/drawing/2014/main" id="{00000000-0008-0000-0000-00002E000000}"/>
            </a:ext>
            <a:ext uri="{C183D7F6-B498-43B3-948B-1728B52AA6E4}">
              <adec:decorative xmlns:adec="http://schemas.microsoft.com/office/drawing/2017/decorative" xmlns="" val="1"/>
            </a:ext>
          </a:extLst>
        </xdr:cNvPr>
        <xdr:cNvSpPr txBox="1"/>
      </xdr:nvSpPr>
      <xdr:spPr>
        <a:xfrm>
          <a:off x="58512075" y="206376"/>
          <a:ext cx="3663950" cy="165099"/>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100" b="1"/>
        </a:p>
      </xdr:txBody>
    </xdr:sp>
    <xdr:clientData/>
  </xdr:twoCellAnchor>
  <xdr:twoCellAnchor>
    <xdr:from>
      <xdr:col>85</xdr:col>
      <xdr:colOff>9526</xdr:colOff>
      <xdr:row>1</xdr:row>
      <xdr:rowOff>25401</xdr:rowOff>
    </xdr:from>
    <xdr:to>
      <xdr:col>85</xdr:col>
      <xdr:colOff>819150</xdr:colOff>
      <xdr:row>1</xdr:row>
      <xdr:rowOff>161925</xdr:rowOff>
    </xdr:to>
    <xdr:sp macro="" textlink="">
      <xdr:nvSpPr>
        <xdr:cNvPr id="47" name="TextBox 46" title="Decorative">
          <a:extLst>
            <a:ext uri="{FF2B5EF4-FFF2-40B4-BE49-F238E27FC236}">
              <a16:creationId xmlns:a16="http://schemas.microsoft.com/office/drawing/2014/main" id="{00000000-0008-0000-0000-00002F000000}"/>
            </a:ext>
            <a:ext uri="{C183D7F6-B498-43B3-948B-1728B52AA6E4}">
              <adec:decorative xmlns:adec="http://schemas.microsoft.com/office/drawing/2017/decorative" xmlns="" val="1"/>
            </a:ext>
          </a:extLst>
        </xdr:cNvPr>
        <xdr:cNvSpPr txBox="1"/>
      </xdr:nvSpPr>
      <xdr:spPr>
        <a:xfrm>
          <a:off x="42252901" y="215901"/>
          <a:ext cx="809624" cy="136524"/>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100" b="1"/>
        </a:p>
      </xdr:txBody>
    </xdr:sp>
    <xdr:clientData/>
  </xdr:twoCellAnchor>
  <xdr:twoCellAnchor>
    <xdr:from>
      <xdr:col>88</xdr:col>
      <xdr:colOff>25401</xdr:colOff>
      <xdr:row>0</xdr:row>
      <xdr:rowOff>39687</xdr:rowOff>
    </xdr:from>
    <xdr:to>
      <xdr:col>90</xdr:col>
      <xdr:colOff>2749550</xdr:colOff>
      <xdr:row>24</xdr:row>
      <xdr:rowOff>104775</xdr:rowOff>
    </xdr:to>
    <xdr:graphicFrame macro="">
      <xdr:nvGraphicFramePr>
        <xdr:cNvPr id="48" name="Chart 47" descr="Chart showing the hourly cost of individual cost items">
          <a:extLst>
            <a:ext uri="{FF2B5EF4-FFF2-40B4-BE49-F238E27FC236}">
              <a16:creationId xmlns:a16="http://schemas.microsoft.com/office/drawing/2014/main" id="{00000000-0008-0000-00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88</xdr:col>
      <xdr:colOff>46038</xdr:colOff>
      <xdr:row>24</xdr:row>
      <xdr:rowOff>163512</xdr:rowOff>
    </xdr:from>
    <xdr:to>
      <xdr:col>90</xdr:col>
      <xdr:colOff>2783595</xdr:colOff>
      <xdr:row>39</xdr:row>
      <xdr:rowOff>106362</xdr:rowOff>
    </xdr:to>
    <xdr:graphicFrame macro="">
      <xdr:nvGraphicFramePr>
        <xdr:cNvPr id="49" name="Chart 48" descr="Chart showing the hourly cost per cost category">
          <a:extLst>
            <a:ext uri="{FF2B5EF4-FFF2-40B4-BE49-F238E27FC236}">
              <a16:creationId xmlns:a16="http://schemas.microsoft.com/office/drawing/2014/main" id="{00000000-0008-0000-00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82</xdr:col>
      <xdr:colOff>619125</xdr:colOff>
      <xdr:row>2</xdr:row>
      <xdr:rowOff>28576</xdr:rowOff>
    </xdr:from>
    <xdr:to>
      <xdr:col>83</xdr:col>
      <xdr:colOff>1019176</xdr:colOff>
      <xdr:row>8</xdr:row>
      <xdr:rowOff>57151</xdr:rowOff>
    </xdr:to>
    <mc:AlternateContent xmlns:mc="http://schemas.openxmlformats.org/markup-compatibility/2006">
      <mc:Choice xmlns:a14="http://schemas.microsoft.com/office/drawing/2010/main" Requires="a14">
        <xdr:graphicFrame macro="">
          <xdr:nvGraphicFramePr>
            <xdr:cNvPr id="12" name="Region 4" descr="Region">
              <a:extLst>
                <a:ext uri="{FF2B5EF4-FFF2-40B4-BE49-F238E27FC236}">
                  <a16:creationId xmlns:a16="http://schemas.microsoft.com/office/drawing/2014/main" id="{00000000-0008-0000-0000-00000C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gion 4"/>
            </a:graphicData>
          </a:graphic>
        </xdr:graphicFrame>
      </mc:Choice>
      <mc:Fallback>
        <xdr:sp macro="" textlink="">
          <xdr:nvSpPr>
            <xdr:cNvPr id="0" name=""/>
            <xdr:cNvSpPr>
              <a:spLocks noTextEdit="1"/>
            </xdr:cNvSpPr>
          </xdr:nvSpPr>
          <xdr:spPr>
            <a:xfrm>
              <a:off x="51958875" y="447676"/>
              <a:ext cx="1762126" cy="12858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82</xdr:col>
      <xdr:colOff>619125</xdr:colOff>
      <xdr:row>8</xdr:row>
      <xdr:rowOff>38101</xdr:rowOff>
    </xdr:from>
    <xdr:to>
      <xdr:col>83</xdr:col>
      <xdr:colOff>1019176</xdr:colOff>
      <xdr:row>14</xdr:row>
      <xdr:rowOff>95251</xdr:rowOff>
    </xdr:to>
    <mc:AlternateContent xmlns:mc="http://schemas.openxmlformats.org/markup-compatibility/2006">
      <mc:Choice xmlns:a14="http://schemas.microsoft.com/office/drawing/2010/main" Requires="a14">
        <xdr:graphicFrame macro="">
          <xdr:nvGraphicFramePr>
            <xdr:cNvPr id="13" name="Majority Service Type average charges" descr="Majority service type">
              <a:extLst>
                <a:ext uri="{FF2B5EF4-FFF2-40B4-BE49-F238E27FC236}">
                  <a16:creationId xmlns:a16="http://schemas.microsoft.com/office/drawing/2014/main" id="{00000000-0008-0000-0000-00000D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ajority Service Type average charges"/>
            </a:graphicData>
          </a:graphic>
        </xdr:graphicFrame>
      </mc:Choice>
      <mc:Fallback>
        <xdr:sp macro="" textlink="">
          <xdr:nvSpPr>
            <xdr:cNvPr id="0" name=""/>
            <xdr:cNvSpPr>
              <a:spLocks noTextEdit="1"/>
            </xdr:cNvSpPr>
          </xdr:nvSpPr>
          <xdr:spPr>
            <a:xfrm>
              <a:off x="51958875" y="1714501"/>
              <a:ext cx="1762126" cy="1333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82</xdr:col>
      <xdr:colOff>609600</xdr:colOff>
      <xdr:row>15</xdr:row>
      <xdr:rowOff>28575</xdr:rowOff>
    </xdr:from>
    <xdr:to>
      <xdr:col>83</xdr:col>
      <xdr:colOff>1009651</xdr:colOff>
      <xdr:row>37</xdr:row>
      <xdr:rowOff>82550</xdr:rowOff>
    </xdr:to>
    <mc:AlternateContent xmlns:mc="http://schemas.openxmlformats.org/markup-compatibility/2006">
      <mc:Choice xmlns:a14="http://schemas.microsoft.com/office/drawing/2010/main" Requires="a14">
        <xdr:graphicFrame macro="">
          <xdr:nvGraphicFramePr>
            <xdr:cNvPr id="14" name="Number of clients average charges" descr="Number of clients">
              <a:extLst>
                <a:ext uri="{FF2B5EF4-FFF2-40B4-BE49-F238E27FC236}">
                  <a16:creationId xmlns:a16="http://schemas.microsoft.com/office/drawing/2014/main" id="{00000000-0008-0000-0000-00000E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umber of clients average charges"/>
            </a:graphicData>
          </a:graphic>
        </xdr:graphicFrame>
      </mc:Choice>
      <mc:Fallback>
        <xdr:sp macro="" textlink="">
          <xdr:nvSpPr>
            <xdr:cNvPr id="0" name=""/>
            <xdr:cNvSpPr>
              <a:spLocks noTextEdit="1"/>
            </xdr:cNvSpPr>
          </xdr:nvSpPr>
          <xdr:spPr>
            <a:xfrm>
              <a:off x="51949350" y="3190875"/>
              <a:ext cx="1762126" cy="4749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82</xdr:col>
      <xdr:colOff>619125</xdr:colOff>
      <xdr:row>38</xdr:row>
      <xdr:rowOff>104776</xdr:rowOff>
    </xdr:from>
    <xdr:to>
      <xdr:col>83</xdr:col>
      <xdr:colOff>1019176</xdr:colOff>
      <xdr:row>46</xdr:row>
      <xdr:rowOff>15876</xdr:rowOff>
    </xdr:to>
    <mc:AlternateContent xmlns:mc="http://schemas.openxmlformats.org/markup-compatibility/2006">
      <mc:Choice xmlns:a14="http://schemas.microsoft.com/office/drawing/2010/main" Requires="a14">
        <xdr:graphicFrame macro="">
          <xdr:nvGraphicFramePr>
            <xdr:cNvPr id="51" name="Contract Status 7" descr="Contract status">
              <a:extLst>
                <a:ext uri="{FF2B5EF4-FFF2-40B4-BE49-F238E27FC236}">
                  <a16:creationId xmlns:a16="http://schemas.microsoft.com/office/drawing/2014/main" id="{00000000-0008-0000-0000-00003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ntract Status 7"/>
            </a:graphicData>
          </a:graphic>
        </xdr:graphicFrame>
      </mc:Choice>
      <mc:Fallback>
        <xdr:sp macro="" textlink="">
          <xdr:nvSpPr>
            <xdr:cNvPr id="0" name=""/>
            <xdr:cNvSpPr>
              <a:spLocks noTextEdit="1"/>
            </xdr:cNvSpPr>
          </xdr:nvSpPr>
          <xdr:spPr>
            <a:xfrm>
              <a:off x="51958875" y="8162926"/>
              <a:ext cx="1762126" cy="1492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80</xdr:col>
      <xdr:colOff>57150</xdr:colOff>
      <xdr:row>7</xdr:row>
      <xdr:rowOff>98425</xdr:rowOff>
    </xdr:from>
    <xdr:to>
      <xdr:col>82</xdr:col>
      <xdr:colOff>438150</xdr:colOff>
      <xdr:row>22</xdr:row>
      <xdr:rowOff>15875</xdr:rowOff>
    </xdr:to>
    <xdr:graphicFrame macro="">
      <xdr:nvGraphicFramePr>
        <xdr:cNvPr id="52" name="Chart 51" descr="Chart showing the average charges to other organisations">
          <a:extLst>
            <a:ext uri="{FF2B5EF4-FFF2-40B4-BE49-F238E27FC236}">
              <a16:creationId xmlns:a16="http://schemas.microsoft.com/office/drawing/2014/main" id="{00000000-0008-0000-00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58</xdr:col>
      <xdr:colOff>0</xdr:colOff>
      <xdr:row>27</xdr:row>
      <xdr:rowOff>26986</xdr:rowOff>
    </xdr:from>
    <xdr:to>
      <xdr:col>66</xdr:col>
      <xdr:colOff>971550</xdr:colOff>
      <xdr:row>40</xdr:row>
      <xdr:rowOff>30080</xdr:rowOff>
    </xdr:to>
    <xdr:graphicFrame macro="">
      <xdr:nvGraphicFramePr>
        <xdr:cNvPr id="50" name="Chart 49" descr="Chart showing the number of FTE staff below the Real Living Wage">
          <a:extLst>
            <a:ext uri="{FF2B5EF4-FFF2-40B4-BE49-F238E27FC236}">
              <a16:creationId xmlns:a16="http://schemas.microsoft.com/office/drawing/2014/main" id="{00000000-0008-0000-00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56</xdr:col>
      <xdr:colOff>17462</xdr:colOff>
      <xdr:row>40</xdr:row>
      <xdr:rowOff>38100</xdr:rowOff>
    </xdr:from>
    <xdr:to>
      <xdr:col>60</xdr:col>
      <xdr:colOff>685800</xdr:colOff>
      <xdr:row>53</xdr:row>
      <xdr:rowOff>142875</xdr:rowOff>
    </xdr:to>
    <xdr:graphicFrame macro="">
      <xdr:nvGraphicFramePr>
        <xdr:cNvPr id="53" name="Chart 52" title="Decorative">
          <a:extLst>
            <a:ext uri="{FF2B5EF4-FFF2-40B4-BE49-F238E27FC236}">
              <a16:creationId xmlns:a16="http://schemas.microsoft.com/office/drawing/2014/main" id="{00000000-0008-0000-0000-000035000000}"/>
            </a:ext>
            <a:ext uri="{C183D7F6-B498-43B3-948B-1728B52AA6E4}">
              <adec:decorative xmlns:adec="http://schemas.microsoft.com/office/drawing/2017/decorative" xmlns=""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60</xdr:col>
      <xdr:colOff>658812</xdr:colOff>
      <xdr:row>39</xdr:row>
      <xdr:rowOff>152400</xdr:rowOff>
    </xdr:from>
    <xdr:to>
      <xdr:col>65</xdr:col>
      <xdr:colOff>1073150</xdr:colOff>
      <xdr:row>53</xdr:row>
      <xdr:rowOff>152400</xdr:rowOff>
    </xdr:to>
    <xdr:graphicFrame macro="">
      <xdr:nvGraphicFramePr>
        <xdr:cNvPr id="54" name="Chart 53" title="Decorative">
          <a:extLst>
            <a:ext uri="{FF2B5EF4-FFF2-40B4-BE49-F238E27FC236}">
              <a16:creationId xmlns:a16="http://schemas.microsoft.com/office/drawing/2014/main" id="{00000000-0008-0000-0000-000036000000}"/>
            </a:ext>
            <a:ext uri="{C183D7F6-B498-43B3-948B-1728B52AA6E4}">
              <adec:decorative xmlns:adec="http://schemas.microsoft.com/office/drawing/2017/decorative" xmlns=""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57150</xdr:colOff>
      <xdr:row>0</xdr:row>
      <xdr:rowOff>104775</xdr:rowOff>
    </xdr:from>
    <xdr:to>
      <xdr:col>21</xdr:col>
      <xdr:colOff>533400</xdr:colOff>
      <xdr:row>47</xdr:row>
      <xdr:rowOff>15875</xdr:rowOff>
    </xdr:to>
    <xdr:sp macro="" textlink="">
      <xdr:nvSpPr>
        <xdr:cNvPr id="55" name="TextBox 54" descr="Open Book Exercise - Community Care Report">
          <a:extLst>
            <a:ext uri="{FF2B5EF4-FFF2-40B4-BE49-F238E27FC236}">
              <a16:creationId xmlns:a16="http://schemas.microsoft.com/office/drawing/2014/main" id="{00000000-0008-0000-0000-000037000000}"/>
            </a:ext>
          </a:extLst>
        </xdr:cNvPr>
        <xdr:cNvSpPr txBox="1"/>
      </xdr:nvSpPr>
      <xdr:spPr>
        <a:xfrm>
          <a:off x="6762750" y="104775"/>
          <a:ext cx="6572250" cy="9201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Open Book Exercise 2021</a:t>
          </a:r>
        </a:p>
        <a:p>
          <a:endParaRPr lang="en-GB" sz="1100" b="1"/>
        </a:p>
        <a:p>
          <a:r>
            <a:rPr lang="en-GB" sz="1100" b="1"/>
            <a:t>Community Care </a:t>
          </a:r>
          <a:r>
            <a:rPr lang="en-GB" sz="1100" b="1" baseline="0"/>
            <a:t>Report</a:t>
          </a:r>
        </a:p>
        <a:p>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t>Date: 04/03/22</a:t>
          </a:r>
        </a:p>
        <a:p>
          <a:endParaRPr lang="en-GB" sz="1100" baseline="0"/>
        </a:p>
        <a:p>
          <a:r>
            <a:rPr lang="en-GB" sz="1100" baseline="0"/>
            <a:t>Version: 0.31</a:t>
          </a:r>
        </a:p>
        <a:p>
          <a:endParaRPr lang="en-GB" sz="1100" baseline="0"/>
        </a:p>
        <a:p>
          <a:r>
            <a:rPr lang="en-GB" sz="1100" baseline="0"/>
            <a:t>Author: John Greenwood</a:t>
          </a:r>
        </a:p>
        <a:p>
          <a:endParaRPr lang="en-GB" sz="1100" baseline="0"/>
        </a:p>
        <a:p>
          <a:r>
            <a:rPr lang="en-GB" sz="1100" b="1" u="sng" baseline="0"/>
            <a:t>Data</a:t>
          </a:r>
        </a:p>
        <a:p>
          <a:endParaRPr lang="en-GB" sz="1100" baseline="0"/>
        </a:p>
        <a:p>
          <a:r>
            <a:rPr lang="en-GB" sz="1100" baseline="0"/>
            <a:t>Data was supplied by Care Homes and Community Care locations between September and October 2021.</a:t>
          </a:r>
        </a:p>
        <a:p>
          <a:endParaRPr lang="en-GB" sz="1100" baseline="0"/>
        </a:p>
        <a:p>
          <a:r>
            <a:rPr lang="en-GB" sz="1100" baseline="0"/>
            <a:t>Where data was obviously missing or flawed, we made attempts to contact providers in order that they should be able to supply amended versions of the data. Where providers responded, the amended data was included. Some providers did not respond to queries, or responded too late, and in these cases their data had to be partially excluded from the analysis. Details of this are given below.</a:t>
          </a:r>
        </a:p>
        <a:p>
          <a:endParaRPr lang="en-GB" sz="1100" baseline="0"/>
        </a:p>
        <a:p>
          <a:r>
            <a:rPr lang="en-GB" sz="1100" b="1" u="sng" baseline="0"/>
            <a:t>Methodology</a:t>
          </a:r>
        </a:p>
        <a:p>
          <a:endParaRPr lang="en-GB" sz="1100" baseline="0"/>
        </a:p>
        <a:p>
          <a:r>
            <a:rPr lang="en-GB" sz="1100" baseline="0"/>
            <a:t>Maximum and minimum wages that are either below the minimum apprentice wage level, or above £50 per hour, have been excluded from the analysis.</a:t>
          </a:r>
        </a:p>
        <a:p>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If providers submitted data with no costs, then their costs have been excluded.</a:t>
          </a: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a:effectLst/>
            </a:rPr>
            <a:t>Some</a:t>
          </a:r>
          <a:r>
            <a:rPr lang="en-GB" baseline="0">
              <a:effectLst/>
            </a:rPr>
            <a:t> providers completed the "average occupancy" field with the average number of beds filled, others incorrectly completed it with the percentage of beds filled. Where it is obvious that a percentage has been used then these figures have been adjusted.</a:t>
          </a:r>
          <a:endParaRPr lang="en-GB">
            <a:effectLst/>
          </a:endParaRPr>
        </a:p>
        <a:p>
          <a:endParaRPr lang="en-GB" sz="1100" baseline="0"/>
        </a:p>
        <a:p>
          <a:r>
            <a:rPr lang="en-GB" sz="1100" b="1" u="sng" baseline="0"/>
            <a:t>Assumptions</a:t>
          </a:r>
        </a:p>
        <a:p>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Where providers failed to supply either a minimum or maximum pay rate for a specific role, it is assumed that the minimum and maximum pay rates are equal.</a:t>
          </a:r>
          <a:endParaRPr lang="en-GB">
            <a:effectLst/>
          </a:endParaRPr>
        </a:p>
        <a:p>
          <a:endParaRPr lang="en-GB" sz="1100" baseline="0"/>
        </a:p>
        <a:p>
          <a:r>
            <a:rPr lang="en-GB" sz="1100" b="1" u="sng" baseline="0"/>
            <a:t>Limitations</a:t>
          </a:r>
        </a:p>
        <a:p>
          <a:endParaRPr lang="en-GB" sz="1100" baseline="0"/>
        </a:p>
        <a:p>
          <a:r>
            <a:rPr lang="en-GB" sz="1100"/>
            <a:t>It has not</a:t>
          </a:r>
          <a:r>
            <a:rPr lang="en-GB" sz="1100" baseline="0"/>
            <a:t> been possible to take into account all data supplied by providers in the form of additional notes about their data. For instance, where providers have put their Net Operating Profit as zero, it has not been possible to decide whether this indicates a zero profit, or merely that the provider has not filled in this field. Therefore, data about Net Operating Profits only includes providers who declared a profit of more than zero. The same rule applies to data about Return on Capital Employed. For the Original Amount of Capital Employed, only those who declared an amount of over £100 are included.</a:t>
          </a:r>
          <a:endParaRPr lang="en-GB" sz="1100"/>
        </a:p>
      </xdr:txBody>
    </xdr:sp>
    <xdr:clientData/>
  </xdr:twoCellAnchor>
  <xdr:twoCellAnchor>
    <xdr:from>
      <xdr:col>1</xdr:col>
      <xdr:colOff>9525</xdr:colOff>
      <xdr:row>7</xdr:row>
      <xdr:rowOff>19050</xdr:rowOff>
    </xdr:from>
    <xdr:to>
      <xdr:col>6</xdr:col>
      <xdr:colOff>447675</xdr:colOff>
      <xdr:row>8</xdr:row>
      <xdr:rowOff>123825</xdr:rowOff>
    </xdr:to>
    <xdr:sp macro="" textlink="">
      <xdr:nvSpPr>
        <xdr:cNvPr id="17" name="Rectangle: Rounded Corners 16" descr="Data, methodology, assumptions and limitations&#10;">
          <a:hlinkClick xmlns:r="http://schemas.openxmlformats.org/officeDocument/2006/relationships" r:id="rId18"/>
          <a:extLst>
            <a:ext uri="{FF2B5EF4-FFF2-40B4-BE49-F238E27FC236}">
              <a16:creationId xmlns:a16="http://schemas.microsoft.com/office/drawing/2014/main" id="{00000000-0008-0000-0000-000011000000}"/>
            </a:ext>
          </a:extLst>
        </xdr:cNvPr>
        <xdr:cNvSpPr/>
      </xdr:nvSpPr>
      <xdr:spPr>
        <a:xfrm>
          <a:off x="619125" y="400050"/>
          <a:ext cx="3486150" cy="29527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Data, methodology, assumptions and limitations</a:t>
          </a:r>
        </a:p>
      </xdr:txBody>
    </xdr:sp>
    <xdr:clientData/>
  </xdr:twoCellAnchor>
  <xdr:twoCellAnchor>
    <xdr:from>
      <xdr:col>1</xdr:col>
      <xdr:colOff>0</xdr:colOff>
      <xdr:row>9</xdr:row>
      <xdr:rowOff>0</xdr:rowOff>
    </xdr:from>
    <xdr:to>
      <xdr:col>6</xdr:col>
      <xdr:colOff>438150</xdr:colOff>
      <xdr:row>10</xdr:row>
      <xdr:rowOff>107950</xdr:rowOff>
    </xdr:to>
    <xdr:sp macro="" textlink="">
      <xdr:nvSpPr>
        <xdr:cNvPr id="57" name="Rectangle: Rounded Corners 56" descr="Response rates and local authorities of care homes&#10;">
          <a:hlinkClick xmlns:r="http://schemas.openxmlformats.org/officeDocument/2006/relationships" r:id="rId19"/>
          <a:extLst>
            <a:ext uri="{FF2B5EF4-FFF2-40B4-BE49-F238E27FC236}">
              <a16:creationId xmlns:a16="http://schemas.microsoft.com/office/drawing/2014/main" id="{00000000-0008-0000-0000-000039000000}"/>
            </a:ext>
          </a:extLst>
        </xdr:cNvPr>
        <xdr:cNvSpPr/>
      </xdr:nvSpPr>
      <xdr:spPr>
        <a:xfrm>
          <a:off x="609600" y="762000"/>
          <a:ext cx="3486150" cy="2984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Response rates and local authorities of care homes</a:t>
          </a:r>
          <a:endParaRPr lang="en-GB">
            <a:solidFill>
              <a:sysClr val="windowText" lastClr="000000"/>
            </a:solidFill>
            <a:effectLst/>
          </a:endParaRPr>
        </a:p>
        <a:p>
          <a:pPr algn="l"/>
          <a:endParaRPr lang="en-GB" sz="1100">
            <a:solidFill>
              <a:sysClr val="windowText" lastClr="000000"/>
            </a:solidFill>
          </a:endParaRPr>
        </a:p>
      </xdr:txBody>
    </xdr:sp>
    <xdr:clientData/>
  </xdr:twoCellAnchor>
  <xdr:twoCellAnchor>
    <xdr:from>
      <xdr:col>1</xdr:col>
      <xdr:colOff>0</xdr:colOff>
      <xdr:row>11</xdr:row>
      <xdr:rowOff>0</xdr:rowOff>
    </xdr:from>
    <xdr:to>
      <xdr:col>6</xdr:col>
      <xdr:colOff>438150</xdr:colOff>
      <xdr:row>12</xdr:row>
      <xdr:rowOff>111125</xdr:rowOff>
    </xdr:to>
    <xdr:sp macro="" textlink="">
      <xdr:nvSpPr>
        <xdr:cNvPr id="58" name="Rectangle: Rounded Corners 57" descr="Number of clients&#10;">
          <a:hlinkClick xmlns:r="http://schemas.openxmlformats.org/officeDocument/2006/relationships" r:id="rId20"/>
          <a:extLst>
            <a:ext uri="{FF2B5EF4-FFF2-40B4-BE49-F238E27FC236}">
              <a16:creationId xmlns:a16="http://schemas.microsoft.com/office/drawing/2014/main" id="{00000000-0008-0000-0000-00003A000000}"/>
            </a:ext>
          </a:extLst>
        </xdr:cNvPr>
        <xdr:cNvSpPr/>
      </xdr:nvSpPr>
      <xdr:spPr>
        <a:xfrm>
          <a:off x="609600" y="1133475"/>
          <a:ext cx="3486150" cy="29210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Number of</a:t>
          </a:r>
          <a:r>
            <a:rPr lang="en-GB" sz="1100" baseline="0">
              <a:solidFill>
                <a:sysClr val="windowText" lastClr="000000"/>
              </a:solidFill>
            </a:rPr>
            <a:t> clients</a:t>
          </a:r>
          <a:endParaRPr lang="en-GB" sz="1100">
            <a:solidFill>
              <a:sysClr val="windowText" lastClr="000000"/>
            </a:solidFill>
          </a:endParaRPr>
        </a:p>
      </xdr:txBody>
    </xdr:sp>
    <xdr:clientData/>
  </xdr:twoCellAnchor>
  <xdr:twoCellAnchor>
    <xdr:from>
      <xdr:col>1</xdr:col>
      <xdr:colOff>0</xdr:colOff>
      <xdr:row>13</xdr:row>
      <xdr:rowOff>0</xdr:rowOff>
    </xdr:from>
    <xdr:to>
      <xdr:col>6</xdr:col>
      <xdr:colOff>438150</xdr:colOff>
      <xdr:row>14</xdr:row>
      <xdr:rowOff>101600</xdr:rowOff>
    </xdr:to>
    <xdr:sp macro="" textlink="">
      <xdr:nvSpPr>
        <xdr:cNvPr id="59" name="Rectangle: Rounded Corners 58" descr="Average Hourly Wage Rates&#10;">
          <a:hlinkClick xmlns:r="http://schemas.openxmlformats.org/officeDocument/2006/relationships" r:id="rId21"/>
          <a:extLst>
            <a:ext uri="{FF2B5EF4-FFF2-40B4-BE49-F238E27FC236}">
              <a16:creationId xmlns:a16="http://schemas.microsoft.com/office/drawing/2014/main" id="{00000000-0008-0000-0000-00003B000000}"/>
            </a:ext>
          </a:extLst>
        </xdr:cNvPr>
        <xdr:cNvSpPr/>
      </xdr:nvSpPr>
      <xdr:spPr>
        <a:xfrm>
          <a:off x="609600" y="1504950"/>
          <a:ext cx="3486150" cy="29210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Average Hourly Wage Rates</a:t>
          </a:r>
        </a:p>
      </xdr:txBody>
    </xdr:sp>
    <xdr:clientData/>
  </xdr:twoCellAnchor>
  <xdr:twoCellAnchor>
    <xdr:from>
      <xdr:col>1</xdr:col>
      <xdr:colOff>0</xdr:colOff>
      <xdr:row>15</xdr:row>
      <xdr:rowOff>0</xdr:rowOff>
    </xdr:from>
    <xdr:to>
      <xdr:col>6</xdr:col>
      <xdr:colOff>438150</xdr:colOff>
      <xdr:row>16</xdr:row>
      <xdr:rowOff>101600</xdr:rowOff>
    </xdr:to>
    <xdr:sp macro="" textlink="">
      <xdr:nvSpPr>
        <xdr:cNvPr id="60" name="Rectangle: Rounded Corners 59" descr="Employees">
          <a:hlinkClick xmlns:r="http://schemas.openxmlformats.org/officeDocument/2006/relationships" r:id="rId22"/>
          <a:extLst>
            <a:ext uri="{FF2B5EF4-FFF2-40B4-BE49-F238E27FC236}">
              <a16:creationId xmlns:a16="http://schemas.microsoft.com/office/drawing/2014/main" id="{00000000-0008-0000-0000-00003C000000}"/>
            </a:ext>
          </a:extLst>
        </xdr:cNvPr>
        <xdr:cNvSpPr/>
      </xdr:nvSpPr>
      <xdr:spPr>
        <a:xfrm>
          <a:off x="609600" y="1876425"/>
          <a:ext cx="3486150" cy="29210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Employees</a:t>
          </a:r>
        </a:p>
      </xdr:txBody>
    </xdr:sp>
    <xdr:clientData/>
  </xdr:twoCellAnchor>
  <xdr:twoCellAnchor>
    <xdr:from>
      <xdr:col>1</xdr:col>
      <xdr:colOff>0</xdr:colOff>
      <xdr:row>17</xdr:row>
      <xdr:rowOff>0</xdr:rowOff>
    </xdr:from>
    <xdr:to>
      <xdr:col>6</xdr:col>
      <xdr:colOff>438150</xdr:colOff>
      <xdr:row>18</xdr:row>
      <xdr:rowOff>111125</xdr:rowOff>
    </xdr:to>
    <xdr:sp macro="" textlink="">
      <xdr:nvSpPr>
        <xdr:cNvPr id="61" name="Rectangle: Rounded Corners 60" descr="Occupancy and Funding&#10;">
          <a:hlinkClick xmlns:r="http://schemas.openxmlformats.org/officeDocument/2006/relationships" r:id="rId23"/>
          <a:extLst>
            <a:ext uri="{FF2B5EF4-FFF2-40B4-BE49-F238E27FC236}">
              <a16:creationId xmlns:a16="http://schemas.microsoft.com/office/drawing/2014/main" id="{00000000-0008-0000-0000-00003D000000}"/>
            </a:ext>
          </a:extLst>
        </xdr:cNvPr>
        <xdr:cNvSpPr/>
      </xdr:nvSpPr>
      <xdr:spPr>
        <a:xfrm>
          <a:off x="609600" y="2247900"/>
          <a:ext cx="3486150" cy="29210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Occupancy and Funding</a:t>
          </a:r>
        </a:p>
      </xdr:txBody>
    </xdr:sp>
    <xdr:clientData/>
  </xdr:twoCellAnchor>
  <xdr:twoCellAnchor>
    <xdr:from>
      <xdr:col>1</xdr:col>
      <xdr:colOff>0</xdr:colOff>
      <xdr:row>19</xdr:row>
      <xdr:rowOff>0</xdr:rowOff>
    </xdr:from>
    <xdr:to>
      <xdr:col>6</xdr:col>
      <xdr:colOff>438150</xdr:colOff>
      <xdr:row>20</xdr:row>
      <xdr:rowOff>111125</xdr:rowOff>
    </xdr:to>
    <xdr:sp macro="" textlink="">
      <xdr:nvSpPr>
        <xdr:cNvPr id="62" name="Rectangle: Rounded Corners 61" descr="Average Charges to Other Organisations&#10;">
          <a:hlinkClick xmlns:r="http://schemas.openxmlformats.org/officeDocument/2006/relationships" r:id="rId24"/>
          <a:extLst>
            <a:ext uri="{FF2B5EF4-FFF2-40B4-BE49-F238E27FC236}">
              <a16:creationId xmlns:a16="http://schemas.microsoft.com/office/drawing/2014/main" id="{00000000-0008-0000-0000-00003E000000}"/>
            </a:ext>
          </a:extLst>
        </xdr:cNvPr>
        <xdr:cNvSpPr/>
      </xdr:nvSpPr>
      <xdr:spPr>
        <a:xfrm>
          <a:off x="609600" y="2609850"/>
          <a:ext cx="3486150" cy="29210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Average Charges to Other Organisations</a:t>
          </a:r>
        </a:p>
      </xdr:txBody>
    </xdr:sp>
    <xdr:clientData/>
  </xdr:twoCellAnchor>
  <xdr:twoCellAnchor>
    <xdr:from>
      <xdr:col>1</xdr:col>
      <xdr:colOff>0</xdr:colOff>
      <xdr:row>21</xdr:row>
      <xdr:rowOff>0</xdr:rowOff>
    </xdr:from>
    <xdr:to>
      <xdr:col>6</xdr:col>
      <xdr:colOff>438150</xdr:colOff>
      <xdr:row>22</xdr:row>
      <xdr:rowOff>101600</xdr:rowOff>
    </xdr:to>
    <xdr:sp macro="" textlink="">
      <xdr:nvSpPr>
        <xdr:cNvPr id="63" name="Rectangle: Rounded Corners 62" descr="Hourly Costs&#10;">
          <a:hlinkClick xmlns:r="http://schemas.openxmlformats.org/officeDocument/2006/relationships" r:id="rId25"/>
          <a:extLst>
            <a:ext uri="{FF2B5EF4-FFF2-40B4-BE49-F238E27FC236}">
              <a16:creationId xmlns:a16="http://schemas.microsoft.com/office/drawing/2014/main" id="{00000000-0008-0000-0000-00003F000000}"/>
            </a:ext>
          </a:extLst>
        </xdr:cNvPr>
        <xdr:cNvSpPr/>
      </xdr:nvSpPr>
      <xdr:spPr>
        <a:xfrm>
          <a:off x="609600" y="2981325"/>
          <a:ext cx="3486150" cy="29210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Hourly Costs</a:t>
          </a:r>
        </a:p>
      </xdr:txBody>
    </xdr:sp>
    <xdr:clientData/>
  </xdr:twoCellAnchor>
  <xdr:twoCellAnchor>
    <xdr:from>
      <xdr:col>27</xdr:col>
      <xdr:colOff>466725</xdr:colOff>
      <xdr:row>0</xdr:row>
      <xdr:rowOff>76200</xdr:rowOff>
    </xdr:from>
    <xdr:to>
      <xdr:col>27</xdr:col>
      <xdr:colOff>933450</xdr:colOff>
      <xdr:row>1</xdr:row>
      <xdr:rowOff>133350</xdr:rowOff>
    </xdr:to>
    <xdr:sp macro="" textlink="">
      <xdr:nvSpPr>
        <xdr:cNvPr id="65" name="Rectangle: Rounded Corners 64" descr="menu">
          <a:hlinkClick xmlns:r="http://schemas.openxmlformats.org/officeDocument/2006/relationships" r:id="rId26"/>
          <a:extLst>
            <a:ext uri="{FF2B5EF4-FFF2-40B4-BE49-F238E27FC236}">
              <a16:creationId xmlns:a16="http://schemas.microsoft.com/office/drawing/2014/main" id="{00000000-0008-0000-0000-000041000000}"/>
            </a:ext>
          </a:extLst>
        </xdr:cNvPr>
        <xdr:cNvSpPr/>
      </xdr:nvSpPr>
      <xdr:spPr>
        <a:xfrm>
          <a:off x="19573875" y="76200"/>
          <a:ext cx="466725" cy="2476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solidFill>
                <a:sysClr val="windowText" lastClr="000000"/>
              </a:solidFill>
            </a:rPr>
            <a:t>Menu</a:t>
          </a:r>
        </a:p>
      </xdr:txBody>
    </xdr:sp>
    <xdr:clientData/>
  </xdr:twoCellAnchor>
  <xdr:twoCellAnchor>
    <xdr:from>
      <xdr:col>39</xdr:col>
      <xdr:colOff>742950</xdr:colOff>
      <xdr:row>0</xdr:row>
      <xdr:rowOff>57150</xdr:rowOff>
    </xdr:from>
    <xdr:to>
      <xdr:col>39</xdr:col>
      <xdr:colOff>1206500</xdr:colOff>
      <xdr:row>1</xdr:row>
      <xdr:rowOff>114300</xdr:rowOff>
    </xdr:to>
    <xdr:sp macro="" textlink="">
      <xdr:nvSpPr>
        <xdr:cNvPr id="66" name="Rectangle: Rounded Corners 65" descr="Menu">
          <a:hlinkClick xmlns:r="http://schemas.openxmlformats.org/officeDocument/2006/relationships" r:id="rId26"/>
          <a:extLst>
            <a:ext uri="{FF2B5EF4-FFF2-40B4-BE49-F238E27FC236}">
              <a16:creationId xmlns:a16="http://schemas.microsoft.com/office/drawing/2014/main" id="{00000000-0008-0000-0000-000042000000}"/>
            </a:ext>
          </a:extLst>
        </xdr:cNvPr>
        <xdr:cNvSpPr/>
      </xdr:nvSpPr>
      <xdr:spPr>
        <a:xfrm>
          <a:off x="25584150" y="57150"/>
          <a:ext cx="463550" cy="2476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solidFill>
                <a:sysClr val="windowText" lastClr="000000"/>
              </a:solidFill>
            </a:rPr>
            <a:t>Menu</a:t>
          </a:r>
        </a:p>
      </xdr:txBody>
    </xdr:sp>
    <xdr:clientData/>
  </xdr:twoCellAnchor>
  <xdr:twoCellAnchor>
    <xdr:from>
      <xdr:col>66</xdr:col>
      <xdr:colOff>2003052</xdr:colOff>
      <xdr:row>1</xdr:row>
      <xdr:rowOff>23159</xdr:rowOff>
    </xdr:from>
    <xdr:to>
      <xdr:col>66</xdr:col>
      <xdr:colOff>2472952</xdr:colOff>
      <xdr:row>2</xdr:row>
      <xdr:rowOff>80308</xdr:rowOff>
    </xdr:to>
    <xdr:sp macro="" textlink="">
      <xdr:nvSpPr>
        <xdr:cNvPr id="68" name="Rectangle: Rounded Corners 67" descr="Menu">
          <a:hlinkClick xmlns:r="http://schemas.openxmlformats.org/officeDocument/2006/relationships" r:id="rId26"/>
          <a:extLst>
            <a:ext uri="{FF2B5EF4-FFF2-40B4-BE49-F238E27FC236}">
              <a16:creationId xmlns:a16="http://schemas.microsoft.com/office/drawing/2014/main" id="{00000000-0008-0000-0000-000044000000}"/>
            </a:ext>
          </a:extLst>
        </xdr:cNvPr>
        <xdr:cNvSpPr/>
      </xdr:nvSpPr>
      <xdr:spPr>
        <a:xfrm>
          <a:off x="38100934" y="217394"/>
          <a:ext cx="469900" cy="25138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solidFill>
                <a:sysClr val="windowText" lastClr="000000"/>
              </a:solidFill>
            </a:rPr>
            <a:t>Menu</a:t>
          </a:r>
        </a:p>
      </xdr:txBody>
    </xdr:sp>
    <xdr:clientData/>
  </xdr:twoCellAnchor>
  <xdr:twoCellAnchor>
    <xdr:from>
      <xdr:col>72</xdr:col>
      <xdr:colOff>619125</xdr:colOff>
      <xdr:row>0</xdr:row>
      <xdr:rowOff>47625</xdr:rowOff>
    </xdr:from>
    <xdr:to>
      <xdr:col>72</xdr:col>
      <xdr:colOff>1082675</xdr:colOff>
      <xdr:row>1</xdr:row>
      <xdr:rowOff>104775</xdr:rowOff>
    </xdr:to>
    <xdr:sp macro="" textlink="">
      <xdr:nvSpPr>
        <xdr:cNvPr id="69" name="Rectangle: Rounded Corners 68" descr="Menu">
          <a:hlinkClick xmlns:r="http://schemas.openxmlformats.org/officeDocument/2006/relationships" r:id="rId26"/>
          <a:extLst>
            <a:ext uri="{FF2B5EF4-FFF2-40B4-BE49-F238E27FC236}">
              <a16:creationId xmlns:a16="http://schemas.microsoft.com/office/drawing/2014/main" id="{00000000-0008-0000-0000-000045000000}"/>
            </a:ext>
          </a:extLst>
        </xdr:cNvPr>
        <xdr:cNvSpPr/>
      </xdr:nvSpPr>
      <xdr:spPr>
        <a:xfrm>
          <a:off x="45205650" y="47625"/>
          <a:ext cx="463550" cy="2476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solidFill>
                <a:sysClr val="windowText" lastClr="000000"/>
              </a:solidFill>
            </a:rPr>
            <a:t>Menu</a:t>
          </a:r>
        </a:p>
      </xdr:txBody>
    </xdr:sp>
    <xdr:clientData/>
  </xdr:twoCellAnchor>
  <xdr:twoCellAnchor>
    <xdr:from>
      <xdr:col>79</xdr:col>
      <xdr:colOff>968375</xdr:colOff>
      <xdr:row>0</xdr:row>
      <xdr:rowOff>44450</xdr:rowOff>
    </xdr:from>
    <xdr:to>
      <xdr:col>79</xdr:col>
      <xdr:colOff>1438275</xdr:colOff>
      <xdr:row>1</xdr:row>
      <xdr:rowOff>101600</xdr:rowOff>
    </xdr:to>
    <xdr:sp macro="" textlink="">
      <xdr:nvSpPr>
        <xdr:cNvPr id="70" name="Rectangle: Rounded Corners 69" descr="Menu">
          <a:hlinkClick xmlns:r="http://schemas.openxmlformats.org/officeDocument/2006/relationships" r:id="rId26"/>
          <a:extLst>
            <a:ext uri="{FF2B5EF4-FFF2-40B4-BE49-F238E27FC236}">
              <a16:creationId xmlns:a16="http://schemas.microsoft.com/office/drawing/2014/main" id="{00000000-0008-0000-0000-000046000000}"/>
            </a:ext>
          </a:extLst>
        </xdr:cNvPr>
        <xdr:cNvSpPr/>
      </xdr:nvSpPr>
      <xdr:spPr>
        <a:xfrm>
          <a:off x="52079525" y="44450"/>
          <a:ext cx="469900" cy="2476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solidFill>
                <a:sysClr val="windowText" lastClr="000000"/>
              </a:solidFill>
            </a:rPr>
            <a:t>Menu</a:t>
          </a:r>
        </a:p>
      </xdr:txBody>
    </xdr:sp>
    <xdr:clientData/>
  </xdr:twoCellAnchor>
  <xdr:twoCellAnchor>
    <xdr:from>
      <xdr:col>83</xdr:col>
      <xdr:colOff>533400</xdr:colOff>
      <xdr:row>0</xdr:row>
      <xdr:rowOff>85725</xdr:rowOff>
    </xdr:from>
    <xdr:to>
      <xdr:col>83</xdr:col>
      <xdr:colOff>1000125</xdr:colOff>
      <xdr:row>1</xdr:row>
      <xdr:rowOff>142875</xdr:rowOff>
    </xdr:to>
    <xdr:sp macro="" textlink="">
      <xdr:nvSpPr>
        <xdr:cNvPr id="71" name="Rectangle: Rounded Corners 70" descr="menu">
          <a:hlinkClick xmlns:r="http://schemas.openxmlformats.org/officeDocument/2006/relationships" r:id="rId26"/>
          <a:extLst>
            <a:ext uri="{FF2B5EF4-FFF2-40B4-BE49-F238E27FC236}">
              <a16:creationId xmlns:a16="http://schemas.microsoft.com/office/drawing/2014/main" id="{00000000-0008-0000-0000-000047000000}"/>
            </a:ext>
          </a:extLst>
        </xdr:cNvPr>
        <xdr:cNvSpPr/>
      </xdr:nvSpPr>
      <xdr:spPr>
        <a:xfrm>
          <a:off x="57921525" y="85725"/>
          <a:ext cx="466725" cy="2476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solidFill>
                <a:sysClr val="windowText" lastClr="000000"/>
              </a:solidFill>
            </a:rPr>
            <a:t>Menu</a:t>
          </a:r>
        </a:p>
      </xdr:txBody>
    </xdr:sp>
    <xdr:clientData/>
  </xdr:twoCellAnchor>
  <xdr:twoCellAnchor>
    <xdr:from>
      <xdr:col>87</xdr:col>
      <xdr:colOff>333375</xdr:colOff>
      <xdr:row>0</xdr:row>
      <xdr:rowOff>66675</xdr:rowOff>
    </xdr:from>
    <xdr:to>
      <xdr:col>87</xdr:col>
      <xdr:colOff>796925</xdr:colOff>
      <xdr:row>1</xdr:row>
      <xdr:rowOff>123825</xdr:rowOff>
    </xdr:to>
    <xdr:sp macro="" textlink="">
      <xdr:nvSpPr>
        <xdr:cNvPr id="72" name="Rectangle: Rounded Corners 71" descr="menu">
          <a:hlinkClick xmlns:r="http://schemas.openxmlformats.org/officeDocument/2006/relationships" r:id="rId26"/>
          <a:extLst>
            <a:ext uri="{FF2B5EF4-FFF2-40B4-BE49-F238E27FC236}">
              <a16:creationId xmlns:a16="http://schemas.microsoft.com/office/drawing/2014/main" id="{00000000-0008-0000-0000-000048000000}"/>
            </a:ext>
          </a:extLst>
        </xdr:cNvPr>
        <xdr:cNvSpPr/>
      </xdr:nvSpPr>
      <xdr:spPr>
        <a:xfrm>
          <a:off x="64350900" y="66675"/>
          <a:ext cx="463550" cy="2476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solidFill>
                <a:sysClr val="windowText" lastClr="000000"/>
              </a:solidFill>
            </a:rPr>
            <a:t>Menu</a:t>
          </a:r>
        </a:p>
      </xdr:txBody>
    </xdr:sp>
    <xdr:clientData/>
  </xdr:twoCellAnchor>
  <xdr:twoCellAnchor>
    <xdr:from>
      <xdr:col>84</xdr:col>
      <xdr:colOff>0</xdr:colOff>
      <xdr:row>36</xdr:row>
      <xdr:rowOff>9525</xdr:rowOff>
    </xdr:from>
    <xdr:to>
      <xdr:col>86</xdr:col>
      <xdr:colOff>38100</xdr:colOff>
      <xdr:row>38</xdr:row>
      <xdr:rowOff>76200</xdr:rowOff>
    </xdr:to>
    <xdr:sp macro="" textlink="">
      <xdr:nvSpPr>
        <xdr:cNvPr id="73" name="TextBox 72" title="Decorative">
          <a:extLst>
            <a:ext uri="{FF2B5EF4-FFF2-40B4-BE49-F238E27FC236}">
              <a16:creationId xmlns:a16="http://schemas.microsoft.com/office/drawing/2014/main" id="{00000000-0008-0000-0000-000049000000}"/>
            </a:ext>
            <a:ext uri="{C183D7F6-B498-43B3-948B-1728B52AA6E4}">
              <adec:decorative xmlns:adec="http://schemas.microsoft.com/office/drawing/2017/decorative" xmlns="" val="1"/>
            </a:ext>
          </a:extLst>
        </xdr:cNvPr>
        <xdr:cNvSpPr txBox="1"/>
      </xdr:nvSpPr>
      <xdr:spPr>
        <a:xfrm>
          <a:off x="58502550" y="6753225"/>
          <a:ext cx="4552950" cy="44767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GB" sz="1100" b="1"/>
        </a:p>
      </xdr:txBody>
    </xdr:sp>
    <xdr:clientData/>
  </xdr:twoCellAnchor>
  <xdr:twoCellAnchor>
    <xdr:from>
      <xdr:col>50</xdr:col>
      <xdr:colOff>117929</xdr:colOff>
      <xdr:row>28</xdr:row>
      <xdr:rowOff>115887</xdr:rowOff>
    </xdr:from>
    <xdr:to>
      <xdr:col>54</xdr:col>
      <xdr:colOff>942974</xdr:colOff>
      <xdr:row>46</xdr:row>
      <xdr:rowOff>181428</xdr:rowOff>
    </xdr:to>
    <xdr:graphicFrame macro="">
      <xdr:nvGraphicFramePr>
        <xdr:cNvPr id="56" name="Chart 55" descr="Chart showing the average wages per FTE for overall job categories">
          <a:extLst>
            <a:ext uri="{FF2B5EF4-FFF2-40B4-BE49-F238E27FC236}">
              <a16:creationId xmlns:a16="http://schemas.microsoft.com/office/drawing/2014/main" id="{00000000-0008-0000-00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55</xdr:col>
      <xdr:colOff>46718</xdr:colOff>
      <xdr:row>2</xdr:row>
      <xdr:rowOff>6350</xdr:rowOff>
    </xdr:from>
    <xdr:to>
      <xdr:col>56</xdr:col>
      <xdr:colOff>8617</xdr:colOff>
      <xdr:row>8</xdr:row>
      <xdr:rowOff>57150</xdr:rowOff>
    </xdr:to>
    <mc:AlternateContent xmlns:mc="http://schemas.openxmlformats.org/markup-compatibility/2006">
      <mc:Choice xmlns:a14="http://schemas.microsoft.com/office/drawing/2010/main" Requires="a14">
        <xdr:graphicFrame macro="">
          <xdr:nvGraphicFramePr>
            <xdr:cNvPr id="64" name="average wage per fte region" descr="Region">
              <a:extLst>
                <a:ext uri="{FF2B5EF4-FFF2-40B4-BE49-F238E27FC236}">
                  <a16:creationId xmlns:a16="http://schemas.microsoft.com/office/drawing/2014/main" id="{00000000-0008-0000-0000-000040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verage wage per fte region"/>
            </a:graphicData>
          </a:graphic>
        </xdr:graphicFrame>
      </mc:Choice>
      <mc:Fallback>
        <xdr:sp macro="" textlink="">
          <xdr:nvSpPr>
            <xdr:cNvPr id="0" name=""/>
            <xdr:cNvSpPr>
              <a:spLocks noTextEdit="1"/>
            </xdr:cNvSpPr>
          </xdr:nvSpPr>
          <xdr:spPr>
            <a:xfrm>
              <a:off x="29974268" y="425450"/>
              <a:ext cx="1523999" cy="1308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55</xdr:col>
      <xdr:colOff>11794</xdr:colOff>
      <xdr:row>8</xdr:row>
      <xdr:rowOff>48077</xdr:rowOff>
    </xdr:from>
    <xdr:to>
      <xdr:col>55</xdr:col>
      <xdr:colOff>1612447</xdr:colOff>
      <xdr:row>15</xdr:row>
      <xdr:rowOff>3174</xdr:rowOff>
    </xdr:to>
    <mc:AlternateContent xmlns:mc="http://schemas.openxmlformats.org/markup-compatibility/2006">
      <mc:Choice xmlns:a14="http://schemas.microsoft.com/office/drawing/2010/main" Requires="a14">
        <xdr:graphicFrame macro="">
          <xdr:nvGraphicFramePr>
            <xdr:cNvPr id="74" name="average wage per fte Majority Service Type" descr="Majority service type">
              <a:extLst>
                <a:ext uri="{FF2B5EF4-FFF2-40B4-BE49-F238E27FC236}">
                  <a16:creationId xmlns:a16="http://schemas.microsoft.com/office/drawing/2014/main" id="{00000000-0008-0000-0000-00004A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verage wage per fte Majority Service Type"/>
            </a:graphicData>
          </a:graphic>
        </xdr:graphicFrame>
      </mc:Choice>
      <mc:Fallback>
        <xdr:sp macro="" textlink="">
          <xdr:nvSpPr>
            <xdr:cNvPr id="0" name=""/>
            <xdr:cNvSpPr>
              <a:spLocks noTextEdit="1"/>
            </xdr:cNvSpPr>
          </xdr:nvSpPr>
          <xdr:spPr>
            <a:xfrm>
              <a:off x="29939344" y="1724477"/>
              <a:ext cx="1553028" cy="144099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55</xdr:col>
      <xdr:colOff>17236</xdr:colOff>
      <xdr:row>15</xdr:row>
      <xdr:rowOff>83908</xdr:rowOff>
    </xdr:from>
    <xdr:to>
      <xdr:col>55</xdr:col>
      <xdr:colOff>1619250</xdr:colOff>
      <xdr:row>37</xdr:row>
      <xdr:rowOff>139700</xdr:rowOff>
    </xdr:to>
    <mc:AlternateContent xmlns:mc="http://schemas.openxmlformats.org/markup-compatibility/2006">
      <mc:Choice xmlns:a14="http://schemas.microsoft.com/office/drawing/2010/main" Requires="a14">
        <xdr:graphicFrame macro="">
          <xdr:nvGraphicFramePr>
            <xdr:cNvPr id="75" name="average wage per fte Number of clients (banded)" descr="Average employer pension contribution">
              <a:extLst>
                <a:ext uri="{FF2B5EF4-FFF2-40B4-BE49-F238E27FC236}">
                  <a16:creationId xmlns:a16="http://schemas.microsoft.com/office/drawing/2014/main" id="{00000000-0008-0000-0000-00004B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verage wage per fte Number of clients (banded)"/>
            </a:graphicData>
          </a:graphic>
        </xdr:graphicFrame>
      </mc:Choice>
      <mc:Fallback>
        <xdr:sp macro="" textlink="">
          <xdr:nvSpPr>
            <xdr:cNvPr id="0" name=""/>
            <xdr:cNvSpPr>
              <a:spLocks noTextEdit="1"/>
            </xdr:cNvSpPr>
          </xdr:nvSpPr>
          <xdr:spPr>
            <a:xfrm>
              <a:off x="29944786" y="3246208"/>
              <a:ext cx="1544864" cy="475161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54</xdr:col>
      <xdr:colOff>970642</xdr:colOff>
      <xdr:row>37</xdr:row>
      <xdr:rowOff>58511</xdr:rowOff>
    </xdr:from>
    <xdr:to>
      <xdr:col>55</xdr:col>
      <xdr:colOff>1631496</xdr:colOff>
      <xdr:row>44</xdr:row>
      <xdr:rowOff>149679</xdr:rowOff>
    </xdr:to>
    <mc:AlternateContent xmlns:mc="http://schemas.openxmlformats.org/markup-compatibility/2006">
      <mc:Choice xmlns:a14="http://schemas.microsoft.com/office/drawing/2010/main" Requires="a14">
        <xdr:graphicFrame macro="">
          <xdr:nvGraphicFramePr>
            <xdr:cNvPr id="76" name="average wage per fte Contract Status" descr="Average employer pension contribution">
              <a:extLst>
                <a:ext uri="{FF2B5EF4-FFF2-40B4-BE49-F238E27FC236}">
                  <a16:creationId xmlns:a16="http://schemas.microsoft.com/office/drawing/2014/main" id="{00000000-0008-0000-0000-00004C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verage wage per fte Contract Status"/>
            </a:graphicData>
          </a:graphic>
        </xdr:graphicFrame>
      </mc:Choice>
      <mc:Fallback>
        <xdr:sp macro="" textlink="">
          <xdr:nvSpPr>
            <xdr:cNvPr id="0" name=""/>
            <xdr:cNvSpPr>
              <a:spLocks noTextEdit="1"/>
            </xdr:cNvSpPr>
          </xdr:nvSpPr>
          <xdr:spPr>
            <a:xfrm>
              <a:off x="29926642" y="7916636"/>
              <a:ext cx="1565729" cy="147229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55</xdr:col>
      <xdr:colOff>1085850</xdr:colOff>
      <xdr:row>0</xdr:row>
      <xdr:rowOff>54428</xdr:rowOff>
    </xdr:from>
    <xdr:to>
      <xdr:col>55</xdr:col>
      <xdr:colOff>1552575</xdr:colOff>
      <xdr:row>1</xdr:row>
      <xdr:rowOff>111578</xdr:rowOff>
    </xdr:to>
    <xdr:sp macro="" textlink="">
      <xdr:nvSpPr>
        <xdr:cNvPr id="80" name="Rectangle: Rounded Corners 79" descr="menu">
          <a:hlinkClick xmlns:r="http://schemas.openxmlformats.org/officeDocument/2006/relationships" r:id="rId26"/>
          <a:extLst>
            <a:ext uri="{FF2B5EF4-FFF2-40B4-BE49-F238E27FC236}">
              <a16:creationId xmlns:a16="http://schemas.microsoft.com/office/drawing/2014/main" id="{00000000-0008-0000-0000-000050000000}"/>
            </a:ext>
          </a:extLst>
        </xdr:cNvPr>
        <xdr:cNvSpPr/>
      </xdr:nvSpPr>
      <xdr:spPr>
        <a:xfrm>
          <a:off x="32499300" y="54428"/>
          <a:ext cx="466725" cy="2476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solidFill>
                <a:sysClr val="windowText" lastClr="000000"/>
              </a:solidFill>
            </a:rPr>
            <a:t>Menu</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hn Greenwood" refreshedDate="44585.832970717594" createdVersion="6" refreshedVersion="6" minRefreshableVersion="3" recordCount="82">
  <cacheSource type="worksheet">
    <worksheetSource name="DATA"/>
  </cacheSource>
  <cacheFields count="484">
    <cacheField name="CQC Registered Provider name:" numFmtId="0">
      <sharedItems containsNonDate="0" containsString="0" containsBlank="1"/>
    </cacheField>
    <cacheField name="CQC Registered Location name:" numFmtId="0">
      <sharedItems containsNonDate="0" containsString="0" containsBlank="1"/>
    </cacheField>
    <cacheField name="CQC Registered Location Address:" numFmtId="0">
      <sharedItems containsNonDate="0" containsString="0" containsBlank="1"/>
    </cacheField>
    <cacheField name="CQC Registered Location Address Line 2" numFmtId="0">
      <sharedItems containsNonDate="0" containsString="0" containsBlank="1"/>
    </cacheField>
    <cacheField name="CQC Registered Location Address Line 3" numFmtId="0">
      <sharedItems containsNonDate="0" containsString="0" containsBlank="1"/>
    </cacheField>
    <cacheField name="Postcode:" numFmtId="0">
      <sharedItems containsNonDate="0" containsString="0" containsBlank="1"/>
    </cacheField>
    <cacheField name="CQC Location ID:" numFmtId="0">
      <sharedItems containsSemiMixedTypes="0" containsString="0" containsNumber="1" containsInteger="1" minValue="1" maxValue="82"/>
    </cacheField>
    <cacheField name="Number of Home support clients:" numFmtId="0">
      <sharedItems containsBlank="1" containsMixedTypes="1" containsNumber="1" containsInteger="1" minValue="0" maxValue="300"/>
    </cacheField>
    <cacheField name="Number of supported living clients:" numFmtId="0">
      <sharedItems containsBlank="1" containsMixedTypes="1" containsNumber="1" containsInteger="1" minValue="0" maxValue="97"/>
    </cacheField>
    <cacheField name="Home Support service split percentage (Expenditure):" numFmtId="0">
      <sharedItems containsString="0" containsBlank="1" containsNumber="1" minValue="0" maxValue="1"/>
    </cacheField>
    <cacheField name="Supported Living service split percentage (Expenditure):" numFmtId="0">
      <sharedItems containsString="0" containsBlank="1" containsNumber="1" minValue="0" maxValue="1"/>
    </cacheField>
    <cacheField name="Registered Location Office Accommodation tenure:" numFmtId="0">
      <sharedItems containsBlank="1"/>
    </cacheField>
    <cacheField name="Central / Headquarters Office Accommodation tenure:" numFmtId="0">
      <sharedItems containsBlank="1"/>
    </cacheField>
    <cacheField name="Name of person completing this form:" numFmtId="0">
      <sharedItems containsNonDate="0" containsString="0" containsBlank="1"/>
    </cacheField>
    <cacheField name="Role of person completing this form:" numFmtId="0">
      <sharedItems containsNonDate="0" containsString="0" containsBlank="1"/>
    </cacheField>
    <cacheField name="Email address:" numFmtId="0">
      <sharedItems containsNonDate="0" containsString="0" containsBlank="1"/>
    </cacheField>
    <cacheField name="Telephone number:" numFmtId="0">
      <sharedItems containsNonDate="0" containsString="0" containsBlank="1"/>
    </cacheField>
    <cacheField name="Registered manager: Current 2021/22 Minimum hourly pay rate" numFmtId="0">
      <sharedItems containsString="0" containsBlank="1" containsNumber="1" minValue="0" maxValue="35"/>
    </cacheField>
    <cacheField name="Registered manager: Current 2021/22 Maximum hourly pay rate" numFmtId="0">
      <sharedItems containsString="0" containsBlank="1" containsNumber="1" minValue="0" maxValue="40"/>
    </cacheField>
    <cacheField name="Registered manager: Previous 2020/21 Minimum hourly pay rate" numFmtId="0">
      <sharedItems containsString="0" containsBlank="1" containsNumber="1" minValue="0" maxValue="35"/>
    </cacheField>
    <cacheField name="Registered manager: Previous 2020/21 Maximum hourly pay rate" numFmtId="0">
      <sharedItems containsString="0" containsBlank="1" containsNumber="1" minValue="0" maxValue="39"/>
    </cacheField>
    <cacheField name="Registered manager: Numbers employed (Full Time Equivalent)" numFmtId="0">
      <sharedItems containsString="0" containsBlank="1" containsNumber="1" minValue="0" maxValue="37"/>
    </cacheField>
    <cacheField name="Deputy manager: Current 2021/22 Minimum hourly pay rate" numFmtId="0">
      <sharedItems containsString="0" containsBlank="1" containsNumber="1" minValue="0" maxValue="35"/>
    </cacheField>
    <cacheField name="Deputy manager: Current 2021/22 Maximum hourly pay rate" numFmtId="0">
      <sharedItems containsString="0" containsBlank="1" containsNumber="1" minValue="0" maxValue="35"/>
    </cacheField>
    <cacheField name="Deputy manager: Previous 2020/21 Minimum hourly pay rate" numFmtId="0">
      <sharedItems containsString="0" containsBlank="1" containsNumber="1" minValue="0" maxValue="35"/>
    </cacheField>
    <cacheField name="Deputy manager: Previous 2020/21 Maximum hourly pay rate" numFmtId="0">
      <sharedItems containsString="0" containsBlank="1" containsNumber="1" minValue="0" maxValue="35"/>
    </cacheField>
    <cacheField name="Deputy manager: Numbers employed (Full Time Equivalent)" numFmtId="0">
      <sharedItems containsString="0" containsBlank="1" containsNumber="1" minValue="0" maxValue="4"/>
    </cacheField>
    <cacheField name="Other manager 1: Job Role" numFmtId="0">
      <sharedItems containsBlank="1"/>
    </cacheField>
    <cacheField name="Other manager 1: Current 2021/22 Minimum hourly pay rate" numFmtId="0">
      <sharedItems containsSemiMixedTypes="0" containsString="0" containsNumber="1" minValue="0" maxValue="30"/>
    </cacheField>
    <cacheField name="Other manager 1: Current 2021/22 Maximum hourly pay rate" numFmtId="0">
      <sharedItems containsSemiMixedTypes="0" containsString="0" containsNumber="1" minValue="0" maxValue="33.17"/>
    </cacheField>
    <cacheField name="Other manager 1: Previous 2020/21 Minimum hourly pay rate" numFmtId="0">
      <sharedItems containsSemiMixedTypes="0" containsString="0" containsNumber="1" minValue="0" maxValue="30"/>
    </cacheField>
    <cacheField name="Other manager 1: Previous 2020/21 Maximum hourly pay rate" numFmtId="0">
      <sharedItems containsSemiMixedTypes="0" containsString="0" containsNumber="1" minValue="0" maxValue="32.21"/>
    </cacheField>
    <cacheField name="Other manager 1: Numbers employed (Full Time Equivalent)" numFmtId="0">
      <sharedItems containsSemiMixedTypes="0" containsString="0" containsNumber="1" minValue="0" maxValue="8"/>
    </cacheField>
    <cacheField name="Other manager 2: Job Role" numFmtId="0">
      <sharedItems containsBlank="1"/>
    </cacheField>
    <cacheField name="Other manager 2: Current 2021/22 Minimum hourly pay rate" numFmtId="0">
      <sharedItems containsSemiMixedTypes="0" containsString="0" containsNumber="1" minValue="0" maxValue="31.1"/>
    </cacheField>
    <cacheField name="Other manager 2: Current 2021/22 Maximum hourly pay rate" numFmtId="0">
      <sharedItems containsSemiMixedTypes="0" containsString="0" containsNumber="1" minValue="0" maxValue="31.25"/>
    </cacheField>
    <cacheField name="Other manager 2: Previous 2020/21 Minimum hourly pay rate" numFmtId="0">
      <sharedItems containsSemiMixedTypes="0" containsString="0" containsNumber="1" minValue="0" maxValue="31.1"/>
    </cacheField>
    <cacheField name="Other manager 2: Previous 2020/21 Maximum hourly pay rate" numFmtId="0">
      <sharedItems containsSemiMixedTypes="0" containsString="0" containsNumber="1" minValue="0" maxValue="31.1"/>
    </cacheField>
    <cacheField name="Other manager 2: Numbers employed (Full Time Equivalent)" numFmtId="0">
      <sharedItems containsString="0" containsBlank="1" containsNumber="1" minValue="0" maxValue="8"/>
    </cacheField>
    <cacheField name="Other manager 3: Job Role" numFmtId="0">
      <sharedItems containsBlank="1"/>
    </cacheField>
    <cacheField name="Other manager 3: Current 2021/22 Minimum hourly pay rate" numFmtId="0">
      <sharedItems containsString="0" containsBlank="1" containsNumber="1" minValue="0" maxValue="28.85"/>
    </cacheField>
    <cacheField name="Other manager 3: Current 2021/22 Maximum hourly pay rate" numFmtId="0">
      <sharedItems containsString="0" containsBlank="1" containsNumber="1" minValue="0" maxValue="28.85"/>
    </cacheField>
    <cacheField name="Other manager 3: Previous 2020/21 Minimum hourly pay rate" numFmtId="0">
      <sharedItems containsString="0" containsBlank="1" containsNumber="1" minValue="0" maxValue="28.85"/>
    </cacheField>
    <cacheField name="Other manager 3: Previous 2020/21 Maximum hourly pay rate" numFmtId="0">
      <sharedItems containsString="0" containsBlank="1" containsNumber="1" minValue="0" maxValue="28.85"/>
    </cacheField>
    <cacheField name="Other manager 3: Numbers employed (Full Time Equivalent)" numFmtId="0">
      <sharedItems containsString="0" containsBlank="1" containsNumber="1" minValue="0" maxValue="4"/>
    </cacheField>
    <cacheField name="Care Assistant 1: Job Role" numFmtId="0">
      <sharedItems/>
    </cacheField>
    <cacheField name="Care Assistant 1: Current 2021/22 Minimum hourly pay rate" numFmtId="0">
      <sharedItems containsSemiMixedTypes="0" containsString="0" containsNumber="1" minValue="0" maxValue="14.55"/>
    </cacheField>
    <cacheField name="Care Assistant 1: Current 2021/22 Maximum hourly pay rate" numFmtId="0">
      <sharedItems containsSemiMixedTypes="0" containsString="0" containsNumber="1" minValue="0" maxValue="18.739999999999998"/>
    </cacheField>
    <cacheField name="Care Assistant 1: Previous 2020/21 Minimum hourly pay rate" numFmtId="0">
      <sharedItems containsSemiMixedTypes="0" containsString="0" containsNumber="1" minValue="0" maxValue="13.85"/>
    </cacheField>
    <cacheField name="Care Assistant 1: Previous 2020/21 Maximum hourly pay rate" numFmtId="0">
      <sharedItems containsSemiMixedTypes="0" containsString="0" containsNumber="1" minValue="0" maxValue="18"/>
    </cacheField>
    <cacheField name="Care Assistant 1: Numbers employed (Full Time Equivalent)" numFmtId="0">
      <sharedItems containsString="0" containsBlank="1" containsNumber="1" minValue="0" maxValue="245"/>
    </cacheField>
    <cacheField name="Care Assistant 2: Job Role" numFmtId="0">
      <sharedItems containsBlank="1"/>
    </cacheField>
    <cacheField name="Care Assistant 2: Current 2021/22 Minimum hourly pay rate" numFmtId="0">
      <sharedItems containsString="0" containsBlank="1" containsNumber="1" minValue="0" maxValue="15.55"/>
    </cacheField>
    <cacheField name="Care Assistant 2: Current 2021/22 Maximum hourly pay rate" numFmtId="0">
      <sharedItems containsString="0" containsBlank="1" containsNumber="1" minValue="0" maxValue="18.62"/>
    </cacheField>
    <cacheField name="Care Assistant 2: Previous 2020/21 Minimum hourly pay rate" numFmtId="0">
      <sharedItems containsString="0" containsBlank="1" containsNumber="1" minValue="0" maxValue="14.85"/>
    </cacheField>
    <cacheField name="Care Assistant 2: Previous 2020/21 Maximum hourly pay rate" numFmtId="0">
      <sharedItems containsString="0" containsBlank="1" containsNumber="1" minValue="0" maxValue="18.239999999999998"/>
    </cacheField>
    <cacheField name="Care Assistant 2: Numbers employed (Full Time Equivalent)" numFmtId="0">
      <sharedItems containsString="0" containsBlank="1" containsNumber="1" minValue="0" maxValue="143"/>
    </cacheField>
    <cacheField name="Care Assistant 3: Job Role" numFmtId="0">
      <sharedItems containsBlank="1"/>
    </cacheField>
    <cacheField name="Care Assistant 3: Current 2021/22 Minimum hourly pay rate" numFmtId="0">
      <sharedItems containsString="0" containsBlank="1" containsNumber="1" minValue="0" maxValue="12.5"/>
    </cacheField>
    <cacheField name="Care Assistant 3: Current 2021/22 Maximum hourly pay rate" numFmtId="0">
      <sharedItems containsString="0" containsBlank="1" containsNumber="1" minValue="0" maxValue="12.5"/>
    </cacheField>
    <cacheField name="Care Assistant 3: Previous 2020/21 Minimum hourly pay rate" numFmtId="0">
      <sharedItems containsString="0" containsBlank="1" containsNumber="1" minValue="0" maxValue="12"/>
    </cacheField>
    <cacheField name="Care Assistant 3: Previous 2020/21 Maximum hourly pay rate" numFmtId="0">
      <sharedItems containsString="0" containsBlank="1" containsNumber="1" minValue="0" maxValue="12"/>
    </cacheField>
    <cacheField name="Care Assistant 3: Numbers employed (Full Time Equivalent)" numFmtId="0">
      <sharedItems containsString="0" containsBlank="1" containsNumber="1" minValue="0" maxValue="65"/>
    </cacheField>
    <cacheField name="Care Assistant 4: Job Role" numFmtId="0">
      <sharedItems containsBlank="1"/>
    </cacheField>
    <cacheField name="Care Assistant 4: Current 2021/22 Minimum hourly pay rate" numFmtId="0">
      <sharedItems containsString="0" containsBlank="1" containsNumber="1" minValue="0" maxValue="11"/>
    </cacheField>
    <cacheField name="Care Assistant 4: Current 2021/22 Maximum hourly pay rate" numFmtId="0">
      <sharedItems containsString="0" containsBlank="1" containsNumber="1" minValue="0" maxValue="11.5"/>
    </cacheField>
    <cacheField name="Care Assistant 4: Previous 2020/21 Minimum hourly pay rate" numFmtId="0">
      <sharedItems containsString="0" containsBlank="1" containsNumber="1" minValue="0" maxValue="10.5"/>
    </cacheField>
    <cacheField name="Care Assistant 4: Previous 2020/21 Maximum hourly pay rate" numFmtId="0">
      <sharedItems containsString="0" containsBlank="1" containsNumber="1" minValue="0" maxValue="11"/>
    </cacheField>
    <cacheField name="Care Assistant 4: Numbers employed (Full Time Equivalent)" numFmtId="0">
      <sharedItems containsString="0" containsBlank="1" containsNumber="1" minValue="0" maxValue="44"/>
    </cacheField>
    <cacheField name="Administrative Officer 1: Job Role" numFmtId="0">
      <sharedItems containsBlank="1"/>
    </cacheField>
    <cacheField name="Administrative Officer 1: Current 2021/22 Minimum hourly pay rate" numFmtId="0">
      <sharedItems containsString="0" containsBlank="1" containsNumber="1" minValue="0" maxValue="25"/>
    </cacheField>
    <cacheField name="Administrative Officer 1: Current 2021/22 Maximum hourly pay rate" numFmtId="0">
      <sharedItems containsString="0" containsBlank="1" containsNumber="1" minValue="0" maxValue="130"/>
    </cacheField>
    <cacheField name="Administrative Officer 1: Previous 2020/21 Minimum hourly pay rate" numFmtId="0">
      <sharedItems containsString="0" containsBlank="1" containsNumber="1" minValue="0" maxValue="25"/>
    </cacheField>
    <cacheField name="Administrative Officer 1: Previous 2020/21 Maximum hourly pay rate" numFmtId="0">
      <sharedItems containsString="0" containsBlank="1" containsNumber="1" minValue="0" maxValue="25"/>
    </cacheField>
    <cacheField name="Administrative Officer 1: Numbers employed (Full Time Equivalent)" numFmtId="0">
      <sharedItems containsString="0" containsBlank="1" containsNumber="1" minValue="0" maxValue="37"/>
    </cacheField>
    <cacheField name="Administrative Officer 2: Job Role" numFmtId="0">
      <sharedItems containsBlank="1"/>
    </cacheField>
    <cacheField name="Administrative Officer 2: Current 2021/22 Minimum hourly pay rate" numFmtId="0">
      <sharedItems containsString="0" containsBlank="1" containsNumber="1" minValue="0" maxValue="13.3"/>
    </cacheField>
    <cacheField name="Administrative Officer 2: Current 2021/22 Maximum hourly pay rate" numFmtId="0">
      <sharedItems containsString="0" containsBlank="1" containsNumber="1" minValue="0" maxValue="14"/>
    </cacheField>
    <cacheField name="Administrative Officer 2: Previous 2020/21 Minimum hourly pay rate" numFmtId="0">
      <sharedItems containsString="0" containsBlank="1" containsNumber="1" minValue="0" maxValue="13"/>
    </cacheField>
    <cacheField name="Administrative Officer 2: Previous 2020/21 Maximum hourly pay rate" numFmtId="0">
      <sharedItems containsString="0" containsBlank="1" containsNumber="1" minValue="0" maxValue="13"/>
    </cacheField>
    <cacheField name="Administrative Officer 2: Numbers employed (Full Time Equivalent)" numFmtId="0">
      <sharedItems containsString="0" containsBlank="1" containsNumber="1" minValue="0" maxValue="4"/>
    </cacheField>
    <cacheField name="Administrative Officer 3: Job Role" numFmtId="0">
      <sharedItems containsBlank="1"/>
    </cacheField>
    <cacheField name="Administrative Officer 3: Current 2021/22 Minimum hourly pay rate" numFmtId="0">
      <sharedItems containsString="0" containsBlank="1" containsNumber="1" minValue="0" maxValue="12"/>
    </cacheField>
    <cacheField name="Administrative Officer 3: Current 2021/22 Maximum hourly pay rate" numFmtId="0">
      <sharedItems containsString="0" containsBlank="1" containsNumber="1" minValue="0" maxValue="12"/>
    </cacheField>
    <cacheField name="Administrative Officer 3: Previous 2020/21 Minimum hourly pay rate" numFmtId="0">
      <sharedItems containsString="0" containsBlank="1" containsNumber="1" minValue="0" maxValue="11.5"/>
    </cacheField>
    <cacheField name="Administrative Officer 3: Previous 2020/21 Maximum hourly pay rate" numFmtId="0">
      <sharedItems containsString="0" containsBlank="1" containsNumber="1" minValue="0" maxValue="11.5"/>
    </cacheField>
    <cacheField name="Administrative Officer 3: Numbers employed (Full Time Equivalent)" numFmtId="0">
      <sharedItems containsString="0" containsBlank="1" containsNumber="1" minValue="0" maxValue="2"/>
    </cacheField>
    <cacheField name="Other staff 1: Job Role" numFmtId="0">
      <sharedItems containsBlank="1"/>
    </cacheField>
    <cacheField name="Other staff 1: Current 2021/22 Minimum hourly pay rate" numFmtId="0">
      <sharedItems containsString="0" containsBlank="1" containsNumber="1" minValue="0" maxValue="29.17"/>
    </cacheField>
    <cacheField name="Other staff 1: Current 2021/22 Maximum hourly pay rate" numFmtId="0">
      <sharedItems containsString="0" containsBlank="1" containsNumber="1" minValue="0" maxValue="29.17"/>
    </cacheField>
    <cacheField name="Other staff 1: Previous 2020/21 Minimum hourly pay rate" numFmtId="0">
      <sharedItems containsString="0" containsBlank="1" containsNumber="1" minValue="0" maxValue="23.53"/>
    </cacheField>
    <cacheField name="Other staff 1: Previous 2020/21 Maximum hourly pay rate" numFmtId="0">
      <sharedItems containsString="0" containsBlank="1" containsNumber="1" minValue="0" maxValue="23.53"/>
    </cacheField>
    <cacheField name="Other staff 1: Numbers employed (Full Time Equivalent)" numFmtId="0">
      <sharedItems containsString="0" containsBlank="1" containsNumber="1" minValue="0" maxValue="10"/>
    </cacheField>
    <cacheField name="Other staff 2: Job Role" numFmtId="0">
      <sharedItems containsBlank="1"/>
    </cacheField>
    <cacheField name="Other staff 2: Current 2021/22 Minimum hourly pay rate" numFmtId="0">
      <sharedItems containsString="0" containsBlank="1" containsNumber="1" minValue="0" maxValue="28.13"/>
    </cacheField>
    <cacheField name="Other staff 2: Current 2021/22 Maximum hourly pay rate" numFmtId="0">
      <sharedItems containsString="0" containsBlank="1" containsNumber="1" minValue="0" maxValue="28.13"/>
    </cacheField>
    <cacheField name="Other staff 2: Previous 2020/21 Minimum hourly pay rate" numFmtId="0">
      <sharedItems containsString="0" containsBlank="1" containsNumber="1" minValue="0" maxValue="19.23"/>
    </cacheField>
    <cacheField name="Other staff 2: Previous 2020/21 Maximum hourly pay rate" numFmtId="0">
      <sharedItems containsString="0" containsBlank="1" containsNumber="1" minValue="0" maxValue="20.52"/>
    </cacheField>
    <cacheField name="Other staff 2: Numbers employed (Full Time Equivalent)" numFmtId="0">
      <sharedItems containsString="0" containsBlank="1" containsNumber="1" minValue="0" maxValue="13.4"/>
    </cacheField>
    <cacheField name="Other staff 3: Job Role" numFmtId="0">
      <sharedItems containsBlank="1"/>
    </cacheField>
    <cacheField name="Other staff 3: Current 2021/22 Minimum hourly pay rate" numFmtId="0">
      <sharedItems containsString="0" containsBlank="1" containsNumber="1" minValue="0" maxValue="26.59"/>
    </cacheField>
    <cacheField name="Other staff 3: Current 2021/22 Maximum hourly pay rate" numFmtId="0">
      <sharedItems containsString="0" containsBlank="1" containsNumber="1" minValue="0" maxValue="26.59"/>
    </cacheField>
    <cacheField name="Other staff 3: Previous 2020/21 Minimum hourly pay rate" numFmtId="0">
      <sharedItems containsString="0" containsBlank="1" containsNumber="1" minValue="0" maxValue="26.59"/>
    </cacheField>
    <cacheField name="Other staff 3: Previous 2020/21 Maximum hourly pay rate" numFmtId="0">
      <sharedItems containsString="0" containsBlank="1" containsNumber="1" minValue="0" maxValue="26.59"/>
    </cacheField>
    <cacheField name="Other staff 3: Numbers employed (Full Time Equivalent)" numFmtId="0">
      <sharedItems containsString="0" containsBlank="1" containsNumber="1" containsInteger="1" minValue="0" maxValue="2"/>
    </cacheField>
    <cacheField name="2021/22 Employer pension contribution rate" numFmtId="0">
      <sharedItems containsString="0" containsBlank="1" containsNumber="1" minValue="6.0000000000000001E-3" maxValue="0.83"/>
    </cacheField>
    <cacheField name="Home Support: Birmingham City Council" numFmtId="0">
      <sharedItems containsString="0" containsBlank="1" containsNumber="1" minValue="0" maxValue="6835"/>
    </cacheField>
    <cacheField name="Home Support: Other Local Authority" numFmtId="0">
      <sharedItems containsString="0" containsBlank="1" containsNumber="1" minValue="0" maxValue="3024"/>
    </cacheField>
    <cacheField name="Home Support: NHS" numFmtId="0">
      <sharedItems containsString="0" containsBlank="1" containsNumber="1" minValue="0" maxValue="1570.5"/>
    </cacheField>
    <cacheField name="Home Support: Joint funded (Local Authority and NHS)" numFmtId="0">
      <sharedItems containsString="0" containsBlank="1" containsNumber="1" containsInteger="1" minValue="0" maxValue="286"/>
    </cacheField>
    <cacheField name="Home Support: Direct Payment or Personal Health Budget" numFmtId="0">
      <sharedItems containsString="0" containsBlank="1" containsNumber="1" minValue="0" maxValue="1942"/>
    </cacheField>
    <cacheField name="Home Support: Self-funded" numFmtId="0">
      <sharedItems containsString="0" containsBlank="1" containsNumber="1" minValue="0" maxValue="427"/>
    </cacheField>
    <cacheField name="Supported Living: Birmingham City Council" numFmtId="0">
      <sharedItems containsString="0" containsBlank="1" containsNumber="1" minValue="0" maxValue="3861.25"/>
    </cacheField>
    <cacheField name="Supported Living: Other Local Authority" numFmtId="0">
      <sharedItems containsString="0" containsBlank="1" containsNumber="1" minValue="0" maxValue="10568"/>
    </cacheField>
    <cacheField name="Supported Living: NHS" numFmtId="0">
      <sharedItems containsString="0" containsBlank="1" containsNumber="1" minValue="0" maxValue="1254"/>
    </cacheField>
    <cacheField name="Supported Living: Joint funded (Local Authority and NHS)" numFmtId="0">
      <sharedItems containsString="0" containsBlank="1" containsNumber="1" minValue="0" maxValue="1954"/>
    </cacheField>
    <cacheField name="Supported Living: Direct Payment or Personal Health Budget" numFmtId="0">
      <sharedItems containsString="0" containsBlank="1" containsNumber="1" minValue="0" maxValue="677.5"/>
    </cacheField>
    <cacheField name="Supported Living: Self-funded" numFmtId="0">
      <sharedItems containsString="0" containsBlank="1" containsNumber="1" minValue="0" maxValue="81.5"/>
    </cacheField>
    <cacheField name="Average hourly charge to other local authorities" numFmtId="0">
      <sharedItems containsString="0" containsBlank="1" containsNumber="1" minValue="0" maxValue="22.28"/>
    </cacheField>
    <cacheField name="Average hourly charge to self-funders" numFmtId="0">
      <sharedItems containsString="0" containsBlank="1" containsNumber="1" minValue="0" maxValue="21.87"/>
    </cacheField>
    <cacheField name="Average hourly charge to NHS" numFmtId="0">
      <sharedItems containsString="0" containsBlank="1" containsNumber="1" minValue="0" maxValue="22.62"/>
    </cacheField>
    <cacheField name="Start of last full accounting year" numFmtId="14">
      <sharedItems containsDate="1" containsBlank="1" containsMixedTypes="1" minDate="2018-11-01T00:00:00" maxDate="2021-04-02T00:00:00"/>
    </cacheField>
    <cacheField name="End of last full accounting year" numFmtId="14">
      <sharedItems containsDate="1" containsBlank="1" containsMixedTypes="1" minDate="2002-10-31T00:00:00" maxDate="2021-10-01T00:00:00"/>
    </cacheField>
    <cacheField name="Number of hours of care charged for in last full accounting year" numFmtId="0">
      <sharedItems containsDate="1" containsString="0" containsBlank="1" containsMixedTypes="1" minDate="1899-12-31T00:00:00" maxDate="1927-04-29T00:00:00"/>
    </cacheField>
    <cacheField name="Total annual expenditure: Management staff" numFmtId="0">
      <sharedItems containsString="0" containsBlank="1" containsNumber="1" minValue="0" maxValue="475759"/>
    </cacheField>
    <cacheField name="Total annual expenditure: Care and Support staff" numFmtId="0">
      <sharedItems containsString="0" containsBlank="1" containsNumber="1" minValue="0" maxValue="3305741.51"/>
    </cacheField>
    <cacheField name="Total annual expenditure: Administration" numFmtId="0">
      <sharedItems containsString="0" containsBlank="1" containsNumber="1" minValue="0" maxValue="220752.23"/>
    </cacheField>
    <cacheField name="Total annual expenditure: Other staff" numFmtId="0">
      <sharedItems containsString="0" containsBlank="1" containsNumber="1" minValue="0" maxValue="219797"/>
    </cacheField>
    <cacheField name="Total annual expenditure: Agency staff" numFmtId="0">
      <sharedItems containsString="0" containsBlank="1" containsNumber="1" minValue="0" maxValue="69187"/>
    </cacheField>
    <cacheField name="Total annual expenditure: Travel Cost" numFmtId="0">
      <sharedItems containsString="0" containsBlank="1" containsNumber="1" minValue="0" maxValue="98257"/>
    </cacheField>
    <cacheField name="Total annual expenditure: Travel Time" numFmtId="0">
      <sharedItems containsString="0" containsBlank="1" containsNumber="1" minValue="0" maxValue="179384"/>
    </cacheField>
    <cacheField name="Total annual expenditure: Training and development" numFmtId="0">
      <sharedItems containsString="0" containsBlank="1" containsNumber="1" minValue="0" maxValue="80409.710000000006"/>
    </cacheField>
    <cacheField name="Recruitment &amp; advertising (including DBS checks)" numFmtId="0">
      <sharedItems containsString="0" containsBlank="1" containsNumber="1" minValue="0" maxValue="34067"/>
    </cacheField>
    <cacheField name="Training expenses (fees, facilities, travel and materials)" numFmtId="0">
      <sharedItems containsString="0" containsBlank="1" containsNumber="1" minValue="0" maxValue="72540"/>
    </cacheField>
    <cacheField name="Care consumables &amp; uniforms" numFmtId="0">
      <sharedItems containsString="0" containsBlank="1" containsNumber="1" minValue="0" maxValue="53332"/>
    </cacheField>
    <cacheField name="Electronic call monitoring" numFmtId="0">
      <sharedItems containsString="0" containsBlank="1" containsNumber="1" minValue="0" maxValue="57012.18"/>
    </cacheField>
    <cacheField name="IT Equipment &amp; Telephoney" numFmtId="0">
      <sharedItems containsString="0" containsBlank="1" containsNumber="1" minValue="0" maxValue="149095.10999999999"/>
    </cacheField>
    <cacheField name="Non-Staffing Direct Cost: Other  - please specify (category)" numFmtId="0">
      <sharedItems containsBlank="1"/>
    </cacheField>
    <cacheField name="Non-Staffing Direct Cost: Other  - please specify (amount)" numFmtId="0">
      <sharedItems containsString="0" containsBlank="1" containsNumber="1" minValue="0" maxValue="50997"/>
    </cacheField>
    <cacheField name="Non-Staffing Direct Cost: Other  - please specify (category) 2" numFmtId="0">
      <sharedItems containsBlank="1"/>
    </cacheField>
    <cacheField name="Non-Staffing Direct Cost: Other  - please specify (amount) 2" numFmtId="0">
      <sharedItems containsString="0" containsBlank="1" containsNumber="1" minValue="0" maxValue="18900"/>
    </cacheField>
    <cacheField name="Insurance " numFmtId="0">
      <sharedItems containsString="0" containsBlank="1" containsNumber="1" minValue="0" maxValue="41672"/>
    </cacheField>
    <cacheField name="Utilities (gas, oil, electricity, water, internet, rates)" numFmtId="0">
      <sharedItems containsString="0" containsBlank="1" containsNumber="1" minValue="0" maxValue="80959.679999999993"/>
    </cacheField>
    <cacheField name="Repairs and maintenance" numFmtId="0">
      <sharedItems containsString="0" containsBlank="1" containsNumber="1" minValue="0" maxValue="112129.93"/>
    </cacheField>
    <cacheField name="Property cost relating to  rent/mortgage/lease/loan etc" numFmtId="0">
      <sharedItems containsString="0" containsBlank="1" containsNumber="1" minValue="0" maxValue="135000"/>
    </cacheField>
    <cacheField name="Registration &amp; Inspection fees " numFmtId="0">
      <sharedItems containsString="0" containsBlank="1" containsNumber="1" minValue="0" maxValue="39000"/>
    </cacheField>
    <cacheField name="Subscriptions" numFmtId="0">
      <sharedItems containsString="0" containsBlank="1" containsNumber="1" minValue="0" maxValue="16905.752400000001"/>
    </cacheField>
    <cacheField name="Cost of finance" numFmtId="0">
      <sharedItems containsString="0" containsBlank="1" containsNumber="1" minValue="0" maxValue="48243.078500000003"/>
    </cacheField>
    <cacheField name="Other non-staff current expenses" numFmtId="0">
      <sharedItems containsString="0" containsBlank="1" containsNumber="1" minValue="0" maxValue="64742"/>
    </cacheField>
    <cacheField name="Indirect costs: Other 1 - please specify (category)" numFmtId="0">
      <sharedItems containsBlank="1"/>
    </cacheField>
    <cacheField name="Indirect costs: Other 1 - please specify (amount)" numFmtId="0">
      <sharedItems containsString="0" containsBlank="1" containsNumber="1" minValue="0" maxValue="39789.7143"/>
    </cacheField>
    <cacheField name="Indirect costs: Other 2 - please specify (category)" numFmtId="0">
      <sharedItems containsBlank="1"/>
    </cacheField>
    <cacheField name="Indirect costs: Other 2 - please specify (amount)" numFmtId="0">
      <sharedItems containsString="0" containsBlank="1" containsNumber="1" minValue="0" maxValue="51729.64"/>
    </cacheField>
    <cacheField name="Central / Regional Management" numFmtId="0">
      <sharedItems containsString="0" containsBlank="1" containsNumber="1" minValue="0" maxValue="343630.18170000002"/>
    </cacheField>
    <cacheField name="Support Services (finance / HR / Payroll / legal etc.)" numFmtId="0">
      <sharedItems containsString="0" containsBlank="1" containsNumber="1" minValue="0" maxValue="242204"/>
    </cacheField>
    <cacheField name="Indirect costs: Other  - please specify (category) 1" numFmtId="0">
      <sharedItems containsBlank="1"/>
    </cacheField>
    <cacheField name="Corporate Overheads: Other  - please specify (amount) 1" numFmtId="0">
      <sharedItems containsString="0" containsBlank="1" containsNumber="1" minValue="0" maxValue="95735.818299999999"/>
    </cacheField>
    <cacheField name="Corporate Overheads: Other  - please specify (category) 1" numFmtId="0">
      <sharedItems containsBlank="1"/>
    </cacheField>
    <cacheField name="Corporate Overheads: Other  - please specify (amount) 2" numFmtId="0">
      <sharedItems containsString="0" containsBlank="1" containsNumber="1" minValue="0" maxValue="142023"/>
    </cacheField>
    <cacheField name="Net Operating Profit" numFmtId="0">
      <sharedItems containsString="0" containsBlank="1" containsNumber="1" minValue="719" maxValue="676447"/>
    </cacheField>
    <cacheField name="Return on Capital employed" numFmtId="0">
      <sharedItems containsString="0" containsBlank="1" containsNumber="1" minValue="0" maxValue="130313"/>
    </cacheField>
    <cacheField name="Original amount of Capital employed" numFmtId="0">
      <sharedItems containsString="0" containsBlank="1" containsNumber="1" minValue="0" maxValue="1290930"/>
    </cacheField>
    <cacheField name="Filename" numFmtId="0">
      <sharedItems containsNonDate="0" containsString="0" containsBlank="1"/>
    </cacheField>
    <cacheField name="Date of import" numFmtId="0">
      <sharedItems containsNonDate="0" containsDate="1" containsString="0" containsBlank="1" minDate="2021-10-11T14:57:28" maxDate="2021-10-27T11:50:09"/>
    </cacheField>
    <cacheField name="Local Authority" numFmtId="0">
      <sharedItems containsMixedTypes="1" containsNumber="1" containsInteger="1" minValue="0" maxValue="0" count="9">
        <s v="Birmingham"/>
        <s v="Sandwell"/>
        <s v="Coventry"/>
        <s v="Dudley"/>
        <s v="Solihull"/>
        <s v="Walsall"/>
        <s v="Leicester"/>
        <s v="Berkshire"/>
        <n v="0" u="1"/>
      </sharedItems>
    </cacheField>
    <cacheField name="Total number of clients" numFmtId="0">
      <sharedItems containsSemiMixedTypes="0" containsString="0" containsNumber="1" containsInteger="1" minValue="0" maxValue="300"/>
    </cacheField>
    <cacheField name="Number of clients (banded)" numFmtId="0">
      <sharedItems containsMixedTypes="1" containsNumber="1" minValue="0" maxValue="35" count="69">
        <s v="1-10"/>
        <s v="11-20"/>
        <s v="21-30"/>
        <s v="41-50"/>
        <s v="61-70"/>
        <s v="31-40"/>
        <s v="81-90"/>
        <s v="121-130"/>
        <s v="201+"/>
        <s v="131-140"/>
        <s v="111-120"/>
        <s v="51-60"/>
        <n v="0"/>
        <s v="71-80"/>
        <s v="101-110"/>
        <n v="12.73" u="1"/>
        <n v="18.84" u="1"/>
        <n v="13.5" u="1"/>
        <n v="14.93" u="1"/>
        <n v="13.332800000000001" u="1"/>
        <n v="15.56" u="1"/>
        <n v="21.44" u="1"/>
        <n v="14" u="1"/>
        <n v="14.9" u="1"/>
        <n v="17.190000000000001" u="1"/>
        <n v="19.71" u="1"/>
        <n v="20.51" u="1"/>
        <n v="15" u="1"/>
        <n v="16.9483" u="1"/>
        <n v="15.5" u="1"/>
        <n v="16" u="1"/>
        <n v="20.190000000000001" u="1"/>
        <n v="25.64" u="1"/>
        <n v="17" u="1"/>
        <n v="18.260000000000002" u="1"/>
        <n v="23.98" u="1"/>
        <n v="14.24" u="1"/>
        <n v="18" u="1"/>
        <n v="18.73" u="1"/>
        <n v="19.53" u="1"/>
        <n v="16.41" u="1"/>
        <n v="20" u="1"/>
        <n v="23.59" u="1"/>
        <n v="35" u="1"/>
        <n v="22" u="1"/>
        <n v="1" u="1"/>
        <n v="20.010000000000002" u="1"/>
        <n v="15.38" u="1"/>
        <n v="9" u="1"/>
        <n v="19.149999999999999" u="1"/>
        <n v="26" u="1"/>
        <n v="16.559999999999999" u="1"/>
        <n v="9.1999999999999993" u="1"/>
        <n v="14.32" u="1"/>
        <n v="16.03" u="1"/>
        <n v="10" u="1"/>
        <n v="14.42" u="1"/>
        <n v="19.62" u="1"/>
        <n v="11.795" u="1"/>
        <n v="21.88" u="1"/>
        <n v="15.72" u="1"/>
        <n v="20.82" u="1"/>
        <n v="18.5" u="1"/>
        <n v="19.23" u="1"/>
        <n v="13.33" u="1"/>
        <n v="14.36" u="1"/>
        <n v="19.5" u="1"/>
        <n v="29.67" u="1"/>
        <n v="12" u="1"/>
      </sharedItems>
    </cacheField>
    <cacheField name="Registered manager: Current 2021/22 Minimum hourly pay rate ADJUSTED" numFmtId="0">
      <sharedItems containsMixedTypes="1" containsNumber="1" minValue="9" maxValue="35"/>
    </cacheField>
    <cacheField name="Registered manager: Current 2021/22 Maximum hourly pay rate ADJUSTED" numFmtId="0">
      <sharedItems containsMixedTypes="1" containsNumber="1" minValue="9.1999999999999993" maxValue="40"/>
    </cacheField>
    <cacheField name="Registered manager: Previous 2020/21 Minimum hourly pay rate ADJUSTED" numFmtId="0">
      <sharedItems containsMixedTypes="1" containsNumber="1" minValue="8.2899999999999991" maxValue="35"/>
    </cacheField>
    <cacheField name="Registered manager: Previous 2020/21 Maximum hourly pay rate ADJUSTED" numFmtId="0">
      <sharedItems containsMixedTypes="1" containsNumber="1" minValue="8.9" maxValue="39"/>
    </cacheField>
    <cacheField name="Deputy manager: Current 2021/22 Minimum hourly pay rate ADJUSTED" numFmtId="0">
      <sharedItems containsMixedTypes="1" containsNumber="1" minValue="9" maxValue="35"/>
    </cacheField>
    <cacheField name="Deputy manager: Current 2021/22 Maximum hourly pay rate ADJUSTED" numFmtId="0">
      <sharedItems containsMixedTypes="1" containsNumber="1" minValue="9.1999999999999993" maxValue="35"/>
    </cacheField>
    <cacheField name="Deputy manager: Previous 2020/21 Minimum hourly pay rate ADJUSTED" numFmtId="0">
      <sharedItems containsMixedTypes="1" containsNumber="1" minValue="8.1999999999999993" maxValue="35"/>
    </cacheField>
    <cacheField name="Deputy manager: Previous 2020/21 Maximum hourly pay rate ADJUSTED" numFmtId="0">
      <sharedItems containsMixedTypes="1" containsNumber="1" minValue="8.9" maxValue="35"/>
    </cacheField>
    <cacheField name="Other manager 1: Current 2021/22 Minimum hourly pay rate ADJUSTED" numFmtId="0">
      <sharedItems containsMixedTypes="1" containsNumber="1" minValue="8.91" maxValue="30"/>
    </cacheField>
    <cacheField name="Other manager 1: Current 2021/22 Maximum hourly pay rate ADJUSTED" numFmtId="0">
      <sharedItems containsMixedTypes="1" containsNumber="1" minValue="9" maxValue="33.17"/>
    </cacheField>
    <cacheField name="Other manager 1: Previous 2020/21 Minimum hourly pay rate ADJUSTED" numFmtId="0">
      <sharedItems containsMixedTypes="1" containsNumber="1" minValue="8.7200000000000006" maxValue="30"/>
    </cacheField>
    <cacheField name="Other manager 1: Previous 2020/21 Maximum hourly pay rate ADJUSTED" numFmtId="0">
      <sharedItems containsMixedTypes="1" containsNumber="1" minValue="9" maxValue="32.21"/>
    </cacheField>
    <cacheField name="Other manager 2: Current 2021/22 Minimum hourly pay rate ADJUSTED" numFmtId="0">
      <sharedItems containsMixedTypes="1" containsNumber="1" minValue="9.2100000000000009" maxValue="31.1"/>
    </cacheField>
    <cacheField name="Other manager 2: Current 2021/22 Maximum hourly pay rate ADJUSTED" numFmtId="0">
      <sharedItems containsMixedTypes="1" containsNumber="1" minValue="9.2100000000000009" maxValue="31.25"/>
    </cacheField>
    <cacheField name="Other manager 2: Previous 2020/21 Minimum hourly pay rate ADJUSTED" numFmtId="0">
      <sharedItems containsMixedTypes="1" containsNumber="1" minValue="9" maxValue="31.1"/>
    </cacheField>
    <cacheField name="Other manager 2: Previous 2020/21 Maximum hourly pay rate ADJUSTED" numFmtId="0">
      <sharedItems containsMixedTypes="1" containsNumber="1" minValue="9.5" maxValue="31.1"/>
    </cacheField>
    <cacheField name="Other manager 3: Current 2021/22 Minimum hourly pay rate ADJUSTED" numFmtId="0">
      <sharedItems containsMixedTypes="1" containsNumber="1" minValue="8.91" maxValue="28.85"/>
    </cacheField>
    <cacheField name="Other manager 3: Current 2021/22 Maximum hourly pay rate ADJUSTED" numFmtId="0">
      <sharedItems containsMixedTypes="1" containsNumber="1" minValue="10" maxValue="28.85"/>
    </cacheField>
    <cacheField name="Other manager 3: Previous 2020/21 Minimum hourly pay rate ADJUSTED" numFmtId="0">
      <sharedItems containsMixedTypes="1" containsNumber="1" minValue="8.25" maxValue="28.85"/>
    </cacheField>
    <cacheField name="Other manager 3: Previous 2020/21 Maximum hourly pay rate ADJUSTED" numFmtId="0">
      <sharedItems containsMixedTypes="1" containsNumber="1" minValue="8.25" maxValue="28.85"/>
    </cacheField>
    <cacheField name="Care Assistant 1: Current 2021/22 Minimum hourly pay rate ADJUSTED" numFmtId="0">
      <sharedItems containsMixedTypes="1" containsNumber="1" minValue="8.4" maxValue="14.55"/>
    </cacheField>
    <cacheField name="Care Assistant 1: Current 2021/22 Maximum hourly pay rate ADJUSTED" numFmtId="0">
      <sharedItems containsMixedTypes="1" containsNumber="1" minValue="8.91" maxValue="18.739999999999998"/>
    </cacheField>
    <cacheField name="Care Assistant 1: Previous 2020/21 Minimum hourly pay rate ADJUSTED" numFmtId="0">
      <sharedItems containsMixedTypes="1" containsNumber="1" minValue="8.1" maxValue="13.85"/>
    </cacheField>
    <cacheField name="Care Assistant 1: Previous 2020/21 Maximum hourly pay rate ADJUSTED" numFmtId="0">
      <sharedItems containsMixedTypes="1" containsNumber="1" minValue="8.5" maxValue="18"/>
    </cacheField>
    <cacheField name="Care Assistant 2: Current 2021/22 Minimum hourly pay rate ADJUSTED" numFmtId="0">
      <sharedItems containsMixedTypes="1" containsNumber="1" minValue="8.6300000000000008" maxValue="15.55"/>
    </cacheField>
    <cacheField name="Care Assistant 2: Current 2021/22 Maximum hourly pay rate ADJUSTED" numFmtId="0">
      <sharedItems containsMixedTypes="1" containsNumber="1" minValue="8.7200000000000006" maxValue="18.62"/>
    </cacheField>
    <cacheField name="Care Assistant 2: Previous 2020/21 Minimum hourly pay rate ADJUSTED" numFmtId="0">
      <sharedItems containsMixedTypes="1" containsNumber="1" minValue="8.2100000000000009" maxValue="14.85"/>
    </cacheField>
    <cacheField name="Care Assistant 2: Previous 2020/21 Maximum hourly pay rate ADJUSTED" numFmtId="0">
      <sharedItems containsMixedTypes="1" containsNumber="1" minValue="8.2100000000000009" maxValue="18.239999999999998"/>
    </cacheField>
    <cacheField name="Care Assistant 3: Current 2021/22 Minimum hourly pay rate ADJUSTED" numFmtId="0">
      <sharedItems containsMixedTypes="1" containsNumber="1" minValue="8.36" maxValue="12.5"/>
    </cacheField>
    <cacheField name="Care Assistant 3: Current 2021/22 Maximum hourly pay rate ADJUSTED" numFmtId="0">
      <sharedItems containsMixedTypes="1" containsNumber="1" minValue="8.36" maxValue="12.5"/>
    </cacheField>
    <cacheField name="Care Assistant 3: Previous 2020/21 Minimum hourly pay rate ADJUSTED" numFmtId="0">
      <sharedItems containsMixedTypes="1" containsNumber="1" minValue="8.1999999999999993" maxValue="12"/>
    </cacheField>
    <cacheField name="Care Assistant 3: Previous 2020/21 Maximum hourly pay rate ADJUSTED" numFmtId="0">
      <sharedItems containsMixedTypes="1" containsNumber="1" minValue="8.1999999999999993" maxValue="12"/>
    </cacheField>
    <cacheField name="Care Assistant 4: Current 2021/22 Minimum hourly pay rate ADJUSTED" numFmtId="0">
      <sharedItems containsMixedTypes="1" containsNumber="1" minValue="6.56" maxValue="11"/>
    </cacheField>
    <cacheField name="Care Assistant 4: Current 2021/22 Maximum hourly pay rate ADJUSTED" numFmtId="0">
      <sharedItems containsMixedTypes="1" containsNumber="1" minValue="6.56" maxValue="11.5"/>
    </cacheField>
    <cacheField name="Care Assistant 4: Previous 2020/21 Minimum hourly pay rate ADJUSTED" numFmtId="0">
      <sharedItems containsMixedTypes="1" containsNumber="1" minValue="6.45" maxValue="10.5"/>
    </cacheField>
    <cacheField name="Care Assistant 4: Previous 2020/21 Maximum hourly pay rate ADJUSTED" numFmtId="0">
      <sharedItems containsMixedTypes="1" containsNumber="1" minValue="6.45" maxValue="11"/>
    </cacheField>
    <cacheField name="Administrative Officer 1: Current 2021/22 Minimum hourly pay rate ADJUSTED" numFmtId="0">
      <sharedItems containsMixedTypes="1" containsNumber="1" minValue="8.2680000000000007" maxValue="25"/>
    </cacheField>
    <cacheField name="Administrative Officer 1: Current 2021/22 Maximum hourly pay rate ADJUSTED" numFmtId="0">
      <sharedItems containsMixedTypes="1" containsNumber="1" minValue="8.91" maxValue="130"/>
    </cacheField>
    <cacheField name="Administrative Officer 1: Previous 2020/21 Minimum hourly pay rate ADJUSTED" numFmtId="0">
      <sharedItems containsMixedTypes="1" containsNumber="1" minValue="7.95" maxValue="25"/>
    </cacheField>
    <cacheField name="Administrative Officer 1: Previous 2020/21 Maximum hourly pay rate ADJUSTED" numFmtId="0">
      <sharedItems containsMixedTypes="1" containsNumber="1" minValue="8.7200000000000006" maxValue="25"/>
    </cacheField>
    <cacheField name="Administrative Officer 2: Current 2021/22 Minimum hourly pay rate ADJUSTED" numFmtId="0">
      <sharedItems containsMixedTypes="1" containsNumber="1" minValue="4.3" maxValue="13.3"/>
    </cacheField>
    <cacheField name="Administrative Officer 2: Current 2021/22 Maximum hourly pay rate ADJUSTED" numFmtId="0">
      <sharedItems containsMixedTypes="1" containsNumber="1" minValue="4.3" maxValue="14"/>
    </cacheField>
    <cacheField name="Administrative Officer 2: Previous 2020/21 Minimum hourly pay rate ADJUSTED" numFmtId="0">
      <sharedItems containsMixedTypes="1" containsNumber="1" minValue="4.1500000000000004" maxValue="13"/>
    </cacheField>
    <cacheField name="Administrative Officer 2: Previous 2020/21 Maximum hourly pay rate ADJUSTED" numFmtId="0">
      <sharedItems containsMixedTypes="1" containsNumber="1" minValue="4.1500000000000004" maxValue="13"/>
    </cacheField>
    <cacheField name="Administrative Officer 3: Current 2021/22 Minimum hourly pay rate ADJUSTED" numFmtId="0">
      <sharedItems containsMixedTypes="1" containsNumber="1" minValue="4.3" maxValue="12"/>
    </cacheField>
    <cacheField name="Administrative Officer 3: Current 2021/22 Maximum hourly pay rate ADJUSTED" numFmtId="0">
      <sharedItems containsMixedTypes="1" containsNumber="1" minValue="6.56" maxValue="12"/>
    </cacheField>
    <cacheField name="Administrative Officer 3: Previous 2020/21 Minimum hourly pay rate ADJUSTED" numFmtId="0">
      <sharedItems containsMixedTypes="1" containsNumber="1" minValue="4.1500000000000004" maxValue="11.5"/>
    </cacheField>
    <cacheField name="Administrative Officer 3: Previous 2020/21 Maximum hourly pay rate ADJUSTED" numFmtId="0">
      <sharedItems containsMixedTypes="1" containsNumber="1" minValue="8.1999999999999993" maxValue="11.5"/>
    </cacheField>
    <cacheField name="Other staff 1: Current 2021/22 Minimum hourly pay rate ADJUSTED" numFmtId="0">
      <sharedItems containsMixedTypes="1" containsNumber="1" minValue="4.3" maxValue="29.17"/>
    </cacheField>
    <cacheField name="Other staff 1: Current 2021/22 Maximum hourly pay rate ADJUSTED" numFmtId="0">
      <sharedItems containsMixedTypes="1" containsNumber="1" minValue="4.3" maxValue="29.17"/>
    </cacheField>
    <cacheField name="Other staff 1: Previous 2020/21 Minimum hourly pay rate ADJUSTED" numFmtId="0">
      <sharedItems containsMixedTypes="1" containsNumber="1" minValue="4.1500000000000004" maxValue="23.53"/>
    </cacheField>
    <cacheField name="Other staff 1: Previous 2020/21 Maximum hourly pay rate ADJUSTED" numFmtId="0">
      <sharedItems containsMixedTypes="1" containsNumber="1" minValue="4.1500000000000004" maxValue="23.53"/>
    </cacheField>
    <cacheField name="Other staff 2: Current 2021/22 Minimum hourly pay rate ADJUSTED" numFmtId="0">
      <sharedItems containsMixedTypes="1" containsNumber="1" minValue="8.82" maxValue="28.13"/>
    </cacheField>
    <cacheField name="Other staff 2: Current 2021/22 Maximum hourly pay rate ADJUSTED" numFmtId="0">
      <sharedItems containsMixedTypes="1" containsNumber="1" minValue="8.91" maxValue="28.13"/>
    </cacheField>
    <cacheField name="Other staff 2: Previous 2020/21 Minimum hourly pay rate ADJUSTED" numFmtId="0">
      <sharedItems containsMixedTypes="1" containsNumber="1" minValue="8.5" maxValue="19.23"/>
    </cacheField>
    <cacheField name="Other staff 2: Previous 2020/21 Maximum hourly pay rate ADJUSTED" numFmtId="0">
      <sharedItems containsMixedTypes="1" containsNumber="1" minValue="8.5" maxValue="20.52"/>
    </cacheField>
    <cacheField name="Other staff 3: Current 2021/22 Minimum hourly pay rate ADJUSTED" numFmtId="0">
      <sharedItems containsMixedTypes="1" containsNumber="1" minValue="8.91" maxValue="26.59"/>
    </cacheField>
    <cacheField name="Other staff 3: Current 2021/22 Maximum hourly pay rate ADJUSTED" numFmtId="0">
      <sharedItems containsMixedTypes="1" containsNumber="1" minValue="9.4499999999999993" maxValue="26.59"/>
    </cacheField>
    <cacheField name="Other staff 3: Previous 2020/21 Minimum hourly pay rate ADJUSTED" numFmtId="0">
      <sharedItems containsMixedTypes="1" containsNumber="1" minValue="8.7100000000000009" maxValue="26.59"/>
    </cacheField>
    <cacheField name="Other staff 3: Previous 2020/21 Maximum hourly pay rate ADJUSTED" numFmtId="0">
      <sharedItems containsMixedTypes="1" containsNumber="1" minValue="9.25" maxValue="26.59"/>
    </cacheField>
    <cacheField name="Registered manager: Current 2021/22 Minimum hourly pay rate ADJUSTED 2" numFmtId="0">
      <sharedItems containsMixedTypes="1" containsNumber="1" minValue="9" maxValue="35"/>
    </cacheField>
    <cacheField name="Registered manager: Current 2021/22 Maximum hourly pay rate ADJUSTED 2" numFmtId="0">
      <sharedItems containsMixedTypes="1" containsNumber="1" minValue="9.1999999999999993" maxValue="40"/>
    </cacheField>
    <cacheField name="Registered manager: Previous 2020/21 Minimum hourly pay rate ADJUSTED 2" numFmtId="0">
      <sharedItems containsMixedTypes="1" containsNumber="1" minValue="8.2899999999999991" maxValue="35"/>
    </cacheField>
    <cacheField name="Registered manager: Previous 2020/21 Maximum hourly pay rate ADJUSTED 2" numFmtId="0">
      <sharedItems containsMixedTypes="1" containsNumber="1" minValue="8.9" maxValue="39"/>
    </cacheField>
    <cacheField name="Deputy manager: Current 2021/22 Minimum hourly pay rate ADJUSTED 2" numFmtId="0">
      <sharedItems containsMixedTypes="1" containsNumber="1" minValue="9" maxValue="35"/>
    </cacheField>
    <cacheField name="Deputy manager: Current 2021/22 Maximum hourly pay rate ADJUSTED 2" numFmtId="0">
      <sharedItems containsMixedTypes="1" containsNumber="1" minValue="9.1999999999999993" maxValue="35"/>
    </cacheField>
    <cacheField name="Deputy manager: Previous 2020/21 Minimum hourly pay rate ADJUSTED 2" numFmtId="0">
      <sharedItems containsMixedTypes="1" containsNumber="1" minValue="8.1999999999999993" maxValue="35"/>
    </cacheField>
    <cacheField name="Deputy manager: Previous 2020/21 Maximum hourly pay rate ADJUSTED 2" numFmtId="0">
      <sharedItems containsMixedTypes="1" containsNumber="1" minValue="8.9" maxValue="35"/>
    </cacheField>
    <cacheField name="Other manager 1: Current 2021/22 Minimum hourly pay rate ADJUSTED 2" numFmtId="0">
      <sharedItems containsMixedTypes="1" containsNumber="1" minValue="8.91" maxValue="30"/>
    </cacheField>
    <cacheField name="Other manager 1: Current 2021/22 Maximum hourly pay rate ADJUSTED 2" numFmtId="0">
      <sharedItems containsMixedTypes="1" containsNumber="1" minValue="9" maxValue="33.17"/>
    </cacheField>
    <cacheField name="Other manager 1: Previous 2020/21 Minimum hourly pay rate ADJUSTED 2" numFmtId="0">
      <sharedItems containsMixedTypes="1" containsNumber="1" minValue="8.7200000000000006" maxValue="30"/>
    </cacheField>
    <cacheField name="Other manager 1: Previous 2020/21 Maximum hourly pay rate ADJUSTED 2" numFmtId="0">
      <sharedItems containsMixedTypes="1" containsNumber="1" minValue="9" maxValue="32.21"/>
    </cacheField>
    <cacheField name="Other manager 2: Current 2021/22 Minimum hourly pay rate ADJUSTED 2" numFmtId="0">
      <sharedItems containsMixedTypes="1" containsNumber="1" minValue="9.2100000000000009" maxValue="31.1"/>
    </cacheField>
    <cacheField name="Other manager 2: Current 2021/22 Maximum hourly pay rate ADJUSTED 2" numFmtId="0">
      <sharedItems containsMixedTypes="1" containsNumber="1" minValue="9.2100000000000009" maxValue="31.25"/>
    </cacheField>
    <cacheField name="Other manager 2: Previous 2020/21 Minimum hourly pay rate ADJUSTED 2" numFmtId="0">
      <sharedItems containsMixedTypes="1" containsNumber="1" minValue="9" maxValue="31.1"/>
    </cacheField>
    <cacheField name="Other manager 2: Previous 2020/21 Maximum hourly pay rate ADJUSTED 2" numFmtId="0">
      <sharedItems containsMixedTypes="1" containsNumber="1" minValue="9.2100000000000009" maxValue="31.1"/>
    </cacheField>
    <cacheField name="Other manager 3: Current 2021/22 Minimum hourly pay rate ADJUSTED 2" numFmtId="0">
      <sharedItems containsMixedTypes="1" containsNumber="1" minValue="8.91" maxValue="28.85"/>
    </cacheField>
    <cacheField name="Other manager 3: Current 2021/22 Maximum hourly pay rate ADJUSTED 2" numFmtId="0">
      <sharedItems containsMixedTypes="1" containsNumber="1" minValue="10" maxValue="28.85"/>
    </cacheField>
    <cacheField name="Other manager 3: Previous 2020/21 Minimum hourly pay rate ADJUSTED 2" numFmtId="0">
      <sharedItems containsMixedTypes="1" containsNumber="1" minValue="8.25" maxValue="28.85"/>
    </cacheField>
    <cacheField name="Other manager 3: Previous 2020/21 Maximum hourly pay rate ADJUSTED 2" numFmtId="0">
      <sharedItems containsMixedTypes="1" containsNumber="1" minValue="8.25" maxValue="28.85"/>
    </cacheField>
    <cacheField name="Care Assistant 1: Current 2021/22 Minimum hourly pay rate ADJUSTED 2" numFmtId="0">
      <sharedItems containsMixedTypes="1" containsNumber="1" minValue="8.4" maxValue="14.55"/>
    </cacheField>
    <cacheField name="Care Assistant 1: Current 2021/22 Maximum hourly pay rate ADJUSTED 2" numFmtId="0">
      <sharedItems containsMixedTypes="1" containsNumber="1" minValue="8.91" maxValue="18.739999999999998"/>
    </cacheField>
    <cacheField name="Care Assistant 1: Previous 2020/21 Minimum hourly pay rate ADJUSTED 2" numFmtId="0">
      <sharedItems containsMixedTypes="1" containsNumber="1" minValue="8.1" maxValue="13.85"/>
    </cacheField>
    <cacheField name="Care Assistant 1: Previous 2020/21 Maximum hourly pay rate ADJUSTED 2" numFmtId="0">
      <sharedItems containsMixedTypes="1" containsNumber="1" minValue="8.5" maxValue="18"/>
    </cacheField>
    <cacheField name="Care Assistant 2: Current 2021/22 Minimum hourly pay rate ADJUSTED 2" numFmtId="0">
      <sharedItems containsMixedTypes="1" containsNumber="1" minValue="8.6300000000000008" maxValue="15.55"/>
    </cacheField>
    <cacheField name="Care Assistant 2: Current 2021/22 Maximum hourly pay rate ADJUSTED 2" numFmtId="0">
      <sharedItems containsMixedTypes="1" containsNumber="1" minValue="8.7200000000000006" maxValue="18.62"/>
    </cacheField>
    <cacheField name="Care Assistant 2: Previous 2020/21 Minimum hourly pay rate ADJUSTED 2" numFmtId="0">
      <sharedItems containsMixedTypes="1" containsNumber="1" minValue="8.2100000000000009" maxValue="14.85"/>
    </cacheField>
    <cacheField name="Care Assistant 2: Previous 2020/21 Maximum hourly pay rate ADJUSTED 2" numFmtId="0">
      <sharedItems containsMixedTypes="1" containsNumber="1" minValue="8.2100000000000009" maxValue="18.239999999999998"/>
    </cacheField>
    <cacheField name="Care Assistant 3: Current 2021/22 Minimum hourly pay rate ADJUSTED 2" numFmtId="0">
      <sharedItems containsMixedTypes="1" containsNumber="1" minValue="8.36" maxValue="12.5"/>
    </cacheField>
    <cacheField name="Care Assistant 3: Current 2021/22 Maximum hourly pay rate ADJUSTED 2" numFmtId="0">
      <sharedItems containsMixedTypes="1" containsNumber="1" minValue="8.36" maxValue="12.5"/>
    </cacheField>
    <cacheField name="Care Assistant 3: Previous 2020/21 Minimum hourly pay rate ADJUSTED 2" numFmtId="0">
      <sharedItems containsMixedTypes="1" containsNumber="1" minValue="8.1999999999999993" maxValue="12"/>
    </cacheField>
    <cacheField name="Care Assistant 3: Previous 2020/21 Maximum hourly pay rate ADJUSTED 2" numFmtId="0">
      <sharedItems containsMixedTypes="1" containsNumber="1" minValue="8.1999999999999993" maxValue="12"/>
    </cacheField>
    <cacheField name="Care Assistant 4: Current 2021/22 Minimum hourly pay rate ADJUSTED 2" numFmtId="0">
      <sharedItems containsMixedTypes="1" containsNumber="1" minValue="6.56" maxValue="11"/>
    </cacheField>
    <cacheField name="Care Assistant 4: Current 2021/22 Maximum hourly pay rate ADJUSTED 2" numFmtId="0">
      <sharedItems containsMixedTypes="1" containsNumber="1" minValue="6.56" maxValue="11.5"/>
    </cacheField>
    <cacheField name="Care Assistant 4: Previous 2020/21 Minimum hourly pay rate ADJUSTED 2" numFmtId="0">
      <sharedItems containsMixedTypes="1" containsNumber="1" minValue="6.45" maxValue="10.5"/>
    </cacheField>
    <cacheField name="Care Assistant 4: Previous 2020/21 Maximum hourly pay rate ADJUSTED 2" numFmtId="0">
      <sharedItems containsMixedTypes="1" containsNumber="1" minValue="6.45" maxValue="11"/>
    </cacheField>
    <cacheField name="Administrative Officer 1: Current 2021/22 Minimum hourly pay rate ADJUSTED 2" numFmtId="0">
      <sharedItems containsMixedTypes="1" containsNumber="1" minValue="8.2680000000000007" maxValue="25"/>
    </cacheField>
    <cacheField name="Administrative Officer 1: Current 2021/22 Maximum hourly pay rate ADJUSTED 2" numFmtId="0">
      <sharedItems containsMixedTypes="1" containsNumber="1" minValue="8.91" maxValue="130"/>
    </cacheField>
    <cacheField name="Administrative Officer 1: Previous 2020/21 Minimum hourly pay rate ADJUSTED 2" numFmtId="0">
      <sharedItems containsMixedTypes="1" containsNumber="1" minValue="7.95" maxValue="25"/>
    </cacheField>
    <cacheField name="Administrative Officer 1: Previous 2020/21 Maximum hourly pay rate ADJUSTED 2" numFmtId="0">
      <sharedItems containsMixedTypes="1" containsNumber="1" minValue="8.7200000000000006" maxValue="130"/>
    </cacheField>
    <cacheField name="Administrative Officer 2: Current 2021/22 Minimum hourly pay rate ADJUSTED 2" numFmtId="0">
      <sharedItems containsMixedTypes="1" containsNumber="1" minValue="4.3" maxValue="13.3"/>
    </cacheField>
    <cacheField name="Administrative Officer 2: Current 2021/22 Maximum hourly pay rate ADJUSTED 2" numFmtId="0">
      <sharedItems containsMixedTypes="1" containsNumber="1" minValue="4.3" maxValue="14"/>
    </cacheField>
    <cacheField name="Administrative Officer 2: Previous 2020/21 Minimum hourly pay rate ADJUSTED 2" numFmtId="0">
      <sharedItems containsMixedTypes="1" containsNumber="1" minValue="4.1500000000000004" maxValue="13"/>
    </cacheField>
    <cacheField name="Administrative Officer 2: Previous 2020/21 Maximum hourly pay rate ADJUSTED 2" numFmtId="0">
      <sharedItems containsMixedTypes="1" containsNumber="1" minValue="4.1500000000000004" maxValue="13"/>
    </cacheField>
    <cacheField name="Administrative Officer 3: Current 2021/22 Minimum hourly pay rate ADJUSTED 2" numFmtId="0">
      <sharedItems containsMixedTypes="1" containsNumber="1" minValue="4.3" maxValue="12"/>
    </cacheField>
    <cacheField name="Administrative Officer 3: Current 2021/22 Maximum hourly pay rate ADJUSTED 2" numFmtId="0">
      <sharedItems containsMixedTypes="1" containsNumber="1" minValue="6.56" maxValue="12"/>
    </cacheField>
    <cacheField name="Administrative Officer 3: Previous 2020/21 Minimum hourly pay rate ADJUSTED 2" numFmtId="0">
      <sharedItems containsMixedTypes="1" containsNumber="1" minValue="4.1500000000000004" maxValue="11.5"/>
    </cacheField>
    <cacheField name="Administrative Officer 3: Previous 2020/21 Maximum hourly pay rate ADJUSTED 2" numFmtId="0">
      <sharedItems containsMixedTypes="1" containsNumber="1" minValue="6.56" maxValue="11.5"/>
    </cacheField>
    <cacheField name="Other staff 1: Current 2021/22 Minimum hourly pay rate ADJUSTED 2" numFmtId="0">
      <sharedItems containsMixedTypes="1" containsNumber="1" minValue="4.3" maxValue="29.17"/>
    </cacheField>
    <cacheField name="Other staff 1: Current 2021/22 Maximum hourly pay rate ADJUSTED 2" numFmtId="0">
      <sharedItems containsMixedTypes="1" containsNumber="1" minValue="4.3" maxValue="29.17"/>
    </cacheField>
    <cacheField name="Other staff 1: Previous 2020/21 Minimum hourly pay rate ADJUSTED 2" numFmtId="0">
      <sharedItems containsMixedTypes="1" containsNumber="1" minValue="4.1500000000000004" maxValue="23.53"/>
    </cacheField>
    <cacheField name="Other staff 1: Previous 2020/21 Maximum hourly pay rate ADJUSTED 2" numFmtId="0">
      <sharedItems containsMixedTypes="1" containsNumber="1" minValue="4.1500000000000004" maxValue="23.53"/>
    </cacheField>
    <cacheField name="Other staff 2: Current 2021/22 Minimum hourly pay rate ADJUSTED 2" numFmtId="0">
      <sharedItems containsMixedTypes="1" containsNumber="1" minValue="8.82" maxValue="28.13"/>
    </cacheField>
    <cacheField name="Other staff 2: Current 2021/22 Maximum hourly pay rate ADJUSTED 2" numFmtId="0">
      <sharedItems containsMixedTypes="1" containsNumber="1" minValue="8.91" maxValue="28.13"/>
    </cacheField>
    <cacheField name="Other staff 2: Previous 2020/21 Minimum hourly pay rate ADJUSTED 2" numFmtId="0">
      <sharedItems containsMixedTypes="1" containsNumber="1" minValue="8.5" maxValue="28.13"/>
    </cacheField>
    <cacheField name="Other staff 2: Previous 2020/21 Maximum hourly pay rate ADJUSTED 2" numFmtId="0">
      <sharedItems containsMixedTypes="1" containsNumber="1" minValue="8.5" maxValue="28.13"/>
    </cacheField>
    <cacheField name="Other staff 3: Current 2021/22 Minimum hourly pay rate ADJUSTED 2" numFmtId="0">
      <sharedItems containsMixedTypes="1" containsNumber="1" minValue="8.91" maxValue="26.59"/>
    </cacheField>
    <cacheField name="Other staff 3: Current 2021/22 Maximum hourly pay rate ADJUSTED 2" numFmtId="0">
      <sharedItems containsMixedTypes="1" containsNumber="1" minValue="9.4499999999999993" maxValue="26.59"/>
    </cacheField>
    <cacheField name="Other staff 3: Previous 2020/21 Minimum hourly pay rate ADJUSTED 2" numFmtId="0">
      <sharedItems containsMixedTypes="1" containsNumber="1" minValue="8.7100000000000009" maxValue="26.59"/>
    </cacheField>
    <cacheField name="Other staff 3: Previous 2020/21 Maximum hourly pay rate ADJUSTED 2" numFmtId="0">
      <sharedItems containsMixedTypes="1" containsNumber="1" minValue="9.25" maxValue="26.59"/>
    </cacheField>
    <cacheField name="Total FTE Management Employees" numFmtId="0">
      <sharedItems containsSemiMixedTypes="0" containsString="0" containsNumber="1" minValue="0" maxValue="37"/>
    </cacheField>
    <cacheField name="Total FTE Care Employees" numFmtId="0">
      <sharedItems containsSemiMixedTypes="0" containsString="0" containsNumber="1" minValue="0" maxValue="355"/>
    </cacheField>
    <cacheField name="Total FTE Admin Employees" numFmtId="0">
      <sharedItems containsSemiMixedTypes="0" containsString="0" containsNumber="1" minValue="0" maxValue="37"/>
    </cacheField>
    <cacheField name="Total FTE Other Employees" numFmtId="0">
      <sharedItems containsSemiMixedTypes="0" containsString="0" containsNumber="1" minValue="0" maxValue="20"/>
    </cacheField>
    <cacheField name="Total FTE employees" numFmtId="0">
      <sharedItems containsSemiMixedTypes="0" containsString="0" containsNumber="1" minValue="0" maxValue="389"/>
    </cacheField>
    <cacheField name="Majority Service Type" numFmtId="0">
      <sharedItems containsMixedTypes="1" containsNumber="1" minValue="0" maxValue="9014" count="51">
        <s v="Supported Living"/>
        <s v="Unknown"/>
        <s v="Home Support"/>
        <n v="0" u="1"/>
        <n v="100" u="1"/>
        <n v="454.25" u="1"/>
        <n v="288" u="1"/>
        <n v="903" u="1"/>
        <n v="14" u="1"/>
        <n v="173.5" u="1"/>
        <n v="663.8" u="1"/>
        <n v="670" u="1"/>
        <n v="550.5" u="1"/>
        <n v="1390.5" u="1"/>
        <n v="458.5" u="1"/>
        <n v="650.4" u="1"/>
        <n v="2849" u="1"/>
        <n v="1491.25" u="1"/>
        <n v="95.75" u="1"/>
        <n v="9014" u="1"/>
        <n v="1689" u="1"/>
        <n v="2008.5" u="1"/>
        <n v="236" u="1"/>
        <n v="500" u="1"/>
        <n v="1951.55" u="1"/>
        <n v="316" u="1"/>
        <n v="720" u="1"/>
        <n v="600.5" u="1"/>
        <n v="795.75" u="1"/>
        <n v="448.20000000000005" u="1"/>
        <n v="168" u="1"/>
        <n v="4634" u="1"/>
        <n v="864.5" u="1"/>
        <n v="1602" u="1"/>
        <n v="622" u="1"/>
        <n v="600.75" u="1"/>
        <n v="841" u="1"/>
        <n v="4025" u="1"/>
        <n v="250" u="1"/>
        <n v="437.5" u="1"/>
        <n v="776" u="1"/>
        <n v="1184.75" u="1"/>
        <n v="550" u="1"/>
        <n v="543" u="1"/>
        <n v="630.29999999999995" u="1"/>
        <n v="88" u="1"/>
        <n v="219" u="1"/>
        <n v="1058.5" u="1"/>
        <n v="531.25" u="1"/>
        <n v="655.5" u="1"/>
        <n v="1690.5" u="1"/>
      </sharedItems>
    </cacheField>
    <cacheField name="Total Home Support Hours" numFmtId="0">
      <sharedItems containsSemiMixedTypes="0" containsString="0" containsNumber="1" minValue="0" maxValue="9014"/>
    </cacheField>
    <cacheField name="Total Supported Living Hours" numFmtId="0">
      <sharedItems containsSemiMixedTypes="0" containsString="0" containsNumber="1" minValue="0" maxValue="10923"/>
    </cacheField>
    <cacheField name="All Managers total hourly pay Previous 2020/21 Minimum" numFmtId="0">
      <sharedItems containsMixedTypes="1" containsNumber="1" minValue="20" maxValue="89.84"/>
    </cacheField>
    <cacheField name="All Managers total hourly pay Previous 2020/21 Maximum" numFmtId="0">
      <sharedItems containsMixedTypes="1" containsNumber="1" minValue="20" maxValue="99.1"/>
    </cacheField>
    <cacheField name="All Managers total hourly pay Current 2021/22 Minimum" numFmtId="0">
      <sharedItems containsMixedTypes="1" containsNumber="1" minValue="0" maxValue="173.14"/>
    </cacheField>
    <cacheField name="All Managers total hourly pay Current 2021/22 Maximum" numFmtId="0">
      <sharedItems containsMixedTypes="1" containsNumber="1" minValue="37.83" maxValue="188"/>
    </cacheField>
    <cacheField name="Any costs entered?" numFmtId="0">
      <sharedItems containsMixedTypes="1" containsNumber="1" minValue="0" maxValue="4.7721430336986073" count="65">
        <b v="1"/>
        <b v="0"/>
        <n v="0" u="1"/>
        <n v="1.4323651559492738" u="1"/>
        <n v="0.35125666694397456" u="1"/>
        <n v="1.4338962381697198" u="1"/>
        <n v="0.76581406034614796" u="1"/>
        <n v="0.97447795823665895" u="1"/>
        <n v="1.2721597267212439" u="1"/>
        <n v="1.1612849290446632" u="1"/>
        <n v="1.5102546289304377" u="1"/>
        <n v="2.2501034867059384" u="1"/>
        <n v="1.0414341900667703" u="1"/>
        <n v="0.5217499793411674" u="1"/>
        <n v="0.91753143367115564" u="1"/>
        <n v="3.3196219883851028" u="1"/>
        <n v="0.95722972239207749" u="1"/>
        <n v="1.0419787053613492" u="1"/>
        <n v="2.1280724450194048" u="1"/>
        <n v="1.9565800053604931" u="1"/>
        <n v="1.95" u="1"/>
        <n v="1.2324949985710203" u="1"/>
        <n v="2.9434209091900141" u="1"/>
        <n v="1.9712037715732658" u="1"/>
        <n v="3.7132882894566199" u="1"/>
        <n v="1.3095238095238095" u="1"/>
        <n v="1.403221464465183" u="1"/>
        <n v="4.0108861963968536" u="1"/>
        <n v="1.9368556701030928" u="1"/>
        <n v="1.8459525602409639" u="1"/>
        <n v="2.9894913621713735" u="1"/>
        <n v="0.75041272699984995" u="1"/>
        <n v="0.83653846153846156" u="1"/>
        <n v="4.1826816239316233" u="1"/>
        <n v="4.7721430336986073" u="1"/>
        <n v="1.3962112571286884" u="1"/>
        <n v="2.2321428571428572E-2" u="1"/>
        <n v="0.56865949820788531" u="1"/>
        <n v="0.89793840316911233" u="1"/>
        <n v="1.1997904002106825" u="1"/>
        <n v="3.2560139285714285" u="1"/>
        <n v="1.1657744944928488" u="1"/>
        <n v="0.69010614389406866" u="1"/>
        <n v="1.6505062902730898" u="1"/>
        <n v="3.7071190476190474" u="1"/>
        <n v="0.68605179463880051" u="1"/>
        <n v="4.0267976946491757" u="1"/>
        <n v="0.67743046617747837" u="1"/>
        <n v="0.8322017458777885" u="1"/>
        <n v="1.5436821926747695" u="1"/>
        <n v="3.0569620253164556" u="1"/>
        <n v="1.0769230769230769" u="1"/>
        <n v="1.5343306482546988" u="1"/>
        <n v="2.1623911673057146" u="1"/>
        <n v="1.8373346398824106" u="1"/>
        <n v="1.3639258501080405" u="1"/>
        <n v="1.4700551774135084" u="1"/>
        <n v="2.9755249818971761" u="1"/>
        <n v="0.64102564102564108" u="1"/>
        <n v="0.82570857344466664" u="1"/>
        <n v="0.10652583579413145" u="1"/>
        <n v="1.6180398532885083" u="1"/>
        <n v="1.4448554678156098" u="1"/>
        <n v="0.59047032244814135" u="1"/>
        <n v="1.3351748732037192" u="1"/>
      </sharedItems>
    </cacheField>
    <cacheField name="Total Direct Staffing Costs" numFmtId="0">
      <sharedItems containsSemiMixedTypes="0" containsString="0" containsNumber="1" minValue="0" maxValue="3641390"/>
    </cacheField>
    <cacheField name="Total Non-direct staffing costs" numFmtId="0">
      <sharedItems containsSemiMixedTypes="0" containsString="0" containsNumber="1" minValue="0" maxValue="233702.9"/>
    </cacheField>
    <cacheField name="Total Indirect Costs" numFmtId="0">
      <sharedItems containsSemiMixedTypes="0" containsString="0" containsNumber="1" minValue="0" maxValue="308401.4485"/>
    </cacheField>
    <cacheField name="Total Overheads" numFmtId="0">
      <sharedItems containsSemiMixedTypes="0" containsString="0" containsNumber="1" minValue="0" maxValue="562215"/>
    </cacheField>
    <cacheField name="Management staff HOURLY RATE" numFmtId="2">
      <sharedItems containsSemiMixedTypes="0" containsString="0" containsNumber="1" minValue="0" maxValue="4.7721430336986073"/>
    </cacheField>
    <cacheField name="Care and Support staff HOURLY RATE" numFmtId="2">
      <sharedItems containsSemiMixedTypes="0" containsString="0" containsNumber="1" minValue="0" maxValue="15.841198411594741"/>
    </cacheField>
    <cacheField name="Administration HOURLY RATE" numFmtId="2">
      <sharedItems containsSemiMixedTypes="0" containsString="0" containsNumber="1" minValue="0" maxValue="1.8063472226440307"/>
    </cacheField>
    <cacheField name="Other staff HOURLY RATE" numFmtId="2">
      <sharedItems containsSemiMixedTypes="0" containsString="0" containsNumber="1" minValue="0" maxValue="4.3760286738351253"/>
    </cacheField>
    <cacheField name="Agency staff HOURLY RATE" numFmtId="2">
      <sharedItems containsSemiMixedTypes="0" containsString="0" containsNumber="1" minValue="0" maxValue="34.313725490196077"/>
    </cacheField>
    <cacheField name="Travel Cost HOURLY RATE" numFmtId="2">
      <sharedItems containsSemiMixedTypes="0" containsString="0" containsNumber="1" minValue="0" maxValue="2.3671606529209623"/>
    </cacheField>
    <cacheField name="Travel Time HOURLY RATE" numFmtId="2">
      <sharedItems containsSemiMixedTypes="0" containsString="0" containsNumber="1" minValue="0" maxValue="2.0598170882425642"/>
    </cacheField>
    <cacheField name="Training and development HOURLY RATE" numFmtId="2">
      <sharedItems containsSemiMixedTypes="0" containsString="0" containsNumber="1" minValue="0" maxValue="7.5171821305841924"/>
    </cacheField>
    <cacheField name="Recruitment &amp; advertising (including DBS checks) HOURLY RATE" numFmtId="2">
      <sharedItems containsSemiMixedTypes="0" containsString="0" containsNumber="1" minValue="0" maxValue="0.85910652920962194"/>
    </cacheField>
    <cacheField name="Training expenses (fees, facilities, travel and materials) HOURLY RATE" numFmtId="2">
      <sharedItems containsSemiMixedTypes="0" containsString="0" containsNumber="1" minValue="0" maxValue="0.85910652920962194"/>
    </cacheField>
    <cacheField name="Care consumables &amp; uniforms HOURLY RATE" numFmtId="2">
      <sharedItems containsSemiMixedTypes="0" containsString="0" containsNumber="1" minValue="0" maxValue="2.1775273558713049"/>
    </cacheField>
    <cacheField name="Electronic call monitoring HOURLY RATE" numFmtId="2">
      <sharedItems containsSemiMixedTypes="0" containsString="0" containsNumber="1" minValue="0" maxValue="0.7142857142857143"/>
    </cacheField>
    <cacheField name="IT Equipment &amp; Telephoney HOURLY RATE" numFmtId="2">
      <sharedItems containsSemiMixedTypes="0" containsString="0" containsNumber="1" minValue="0" maxValue="1.6276270878721859"/>
    </cacheField>
    <cacheField name="Non-Staffing Direct Cost: Other  - please specify (amount) HOURLY RATE" numFmtId="2">
      <sharedItems containsSemiMixedTypes="0" containsString="0" containsNumber="1" minValue="0" maxValue="1.3218155410312271"/>
    </cacheField>
    <cacheField name="Non-Staffing Direct Cost: Other  - please specify (amount) 2 HOURLY RATE" numFmtId="2">
      <sharedItems containsSemiMixedTypes="0" containsString="0" containsNumber="1" minValue="0" maxValue="0.26771372479029093"/>
    </cacheField>
    <cacheField name="Insurance  HOURLY RATE" numFmtId="2">
      <sharedItems containsSemiMixedTypes="0" containsString="0" containsNumber="1" minValue="0" maxValue="2.6850786344457229"/>
    </cacheField>
    <cacheField name="Utilities (gas, oil, electricity, water, internet, rates) HOURLY RATE" numFmtId="2">
      <sharedItems containsSemiMixedTypes="0" containsString="0" containsNumber="1" minValue="0" maxValue="5.0037658183840907"/>
    </cacheField>
    <cacheField name="Repairs and maintenance HOURLY RATE" numFmtId="2">
      <sharedItems containsSemiMixedTypes="0" containsString="0" containsNumber="1" minValue="0" maxValue="6.9302634465921908"/>
    </cacheField>
    <cacheField name="Property cost relating to  rent/mortgage/lease/loan etc HOURLY RATE" numFmtId="2">
      <sharedItems containsSemiMixedTypes="0" containsString="0" containsNumber="1" minValue="0" maxValue="13.527054108216433"/>
    </cacheField>
    <cacheField name="Registration &amp; Inspection fees  HOURLY RATE" numFmtId="2">
      <sharedItems containsSemiMixedTypes="0" containsString="0" containsNumber="1" minValue="0" maxValue="0.73647871116225549"/>
    </cacheField>
    <cacheField name="Subscriptions HOURLY RATE" numFmtId="2">
      <sharedItems containsSemiMixedTypes="0" containsString="0" containsNumber="1" minValue="0" maxValue="1.5343306482546988"/>
    </cacheField>
    <cacheField name="Cost of finance HOURLY RATE" numFmtId="2">
      <sharedItems containsSemiMixedTypes="0" containsString="0" containsNumber="1" minValue="0" maxValue="2.9816949273011017"/>
    </cacheField>
    <cacheField name="Other non-staff current expenses HOURLY RATE" numFmtId="2">
      <sharedItems containsSemiMixedTypes="0" containsString="0" containsNumber="1" minValue="0" maxValue="0.91280068728522334"/>
    </cacheField>
    <cacheField name="Indirect costs: Other  - please specify (amount) 1 HOURLY RATE" numFmtId="2">
      <sharedItems containsSemiMixedTypes="0" containsString="0" containsNumber="1" minValue="0" maxValue="6.1802832244008714"/>
    </cacheField>
    <cacheField name="Indirect costs: Other  - please specify (amount) 2 HOURLY RATE" numFmtId="2">
      <sharedItems containsSemiMixedTypes="0" containsString="0" containsNumber="1" minValue="0" maxValue="3.3141542002301496"/>
    </cacheField>
    <cacheField name="Central / Regional Management HOURLY RATE" numFmtId="2">
      <sharedItems containsSemiMixedTypes="0" containsString="0" containsNumber="1" minValue="0" maxValue="3.0423775691448873"/>
    </cacheField>
    <cacheField name="Support Services (finance / HR / Payroll / legal etc.) HOURLY RATE" numFmtId="2">
      <sharedItems containsSemiMixedTypes="0" containsString="0" containsNumber="1" minValue="0" maxValue="5.507383512544803"/>
    </cacheField>
    <cacheField name="Corporate Overheads: Other  - please specify (amount) 1 HOURLY RATE" numFmtId="2">
      <sharedItems containsSemiMixedTypes="0" containsString="0" containsNumber="1" minValue="0" maxValue="1.1990813215786438"/>
    </cacheField>
    <cacheField name="Corporate Overheads: Other  - please specify (amount) 2 HOURLY RATE" numFmtId="2">
      <sharedItems containsSemiMixedTypes="0" containsString="0" containsNumber="1" minValue="0" maxValue="0.49525400323606539"/>
    </cacheField>
    <cacheField name="Total Costs HOURLY RATE" numFmtId="2">
      <sharedItems containsSemiMixedTypes="0" containsString="0" containsNumber="1" minValue="0" maxValue="68.440835148874356"/>
    </cacheField>
    <cacheField name="Net Operating Profit HOURLY RATE" numFmtId="2">
      <sharedItems containsMixedTypes="1" containsNumber="1" minValue="1.1447221779971341E-2" maxValue="5.4135270541082168"/>
    </cacheField>
    <cacheField name="Return on Capital Employed HOURLY RATE" numFmtId="2">
      <sharedItems containsSemiMixedTypes="0" containsString="0" containsNumber="1" minValue="0" maxValue="3.7403272101033296"/>
    </cacheField>
    <cacheField name="Reference Number" numFmtId="1">
      <sharedItems containsSemiMixedTypes="0" containsString="0" containsNumber="1" containsInteger="1" minValue="1" maxValue="84"/>
    </cacheField>
    <cacheField name="Region" numFmtId="2">
      <sharedItems count="3">
        <s v="Birmingham"/>
        <s v="West Midlands"/>
        <s v="Outside of West Midlands"/>
      </sharedItems>
    </cacheField>
    <cacheField name="Any home support clients?" numFmtId="2">
      <sharedItems count="2">
        <b v="0"/>
        <b v="1"/>
      </sharedItems>
    </cacheField>
    <cacheField name="Any supported living clients?" numFmtId="2">
      <sharedItems count="2">
        <b v="1"/>
        <b v="0"/>
      </sharedItems>
    </cacheField>
    <cacheField name="Any home support hours?" numFmtId="2">
      <sharedItems count="2">
        <b v="0"/>
        <b v="1"/>
      </sharedItems>
    </cacheField>
    <cacheField name="Any supported living hours?" numFmtId="2">
      <sharedItems count="2">
        <b v="0"/>
        <b v="1"/>
      </sharedItems>
    </cacheField>
    <cacheField name="Service type" numFmtId="2">
      <sharedItems/>
    </cacheField>
    <cacheField name="Average rate paid for agency is zero?" numFmtId="2">
      <sharedItems/>
    </cacheField>
    <cacheField name="Registered Manager FTE earning less than NLW 23yrs 2022/23" numFmtId="2">
      <sharedItems containsMixedTypes="1" containsNumber="1" containsInteger="1" minValue="0" maxValue="1"/>
    </cacheField>
    <cacheField name="Deputy Manager FTE earning less than NLW 23yrs 2022/23" numFmtId="2">
      <sharedItems containsMixedTypes="1" containsNumber="1" containsInteger="1" minValue="0" maxValue="2"/>
    </cacheField>
    <cacheField name="Other Manager 1 FTE earning less than NLW 23yrs 2022/23" numFmtId="2">
      <sharedItems containsMixedTypes="1" containsNumber="1" containsInteger="1" minValue="0" maxValue="1"/>
    </cacheField>
    <cacheField name="Other Manager 2 FTE earning less than NLW 23yrs 2022/23" numFmtId="2">
      <sharedItems containsMixedTypes="1" containsNumber="1" containsInteger="1" minValue="0" maxValue="4"/>
    </cacheField>
    <cacheField name="Other Manager 3 FTE earning less than NLW 23yrs 2022/23" numFmtId="2">
      <sharedItems containsMixedTypes="1" containsNumber="1" containsInteger="1" minValue="0" maxValue="4"/>
    </cacheField>
    <cacheField name="Care Assistant 1 FTE earning less than NLW 23yrs 2022/23" numFmtId="2">
      <sharedItems containsMixedTypes="1" containsNumber="1" minValue="0" maxValue="105"/>
    </cacheField>
    <cacheField name="Care Assistant 2 FTE earning less than NLW 23yrs 2022/23" numFmtId="2">
      <sharedItems containsMixedTypes="1" containsNumber="1" minValue="0" maxValue="143"/>
    </cacheField>
    <cacheField name="Care Assistant 3 FTE earning less than NLW 23yrs 2022/23" numFmtId="2">
      <sharedItems containsMixedTypes="1" containsNumber="1" minValue="0" maxValue="45"/>
    </cacheField>
    <cacheField name="Care Assistant 4 FTE earning less than NLW 23yrs 2022/23" numFmtId="2">
      <sharedItems containsMixedTypes="1" containsNumber="1" containsInteger="1" minValue="0" maxValue="44"/>
    </cacheField>
    <cacheField name="Administrative Officer 1 FTE earning less than NLW 23yrs 2022/23" numFmtId="2">
      <sharedItems containsMixedTypes="1" containsNumber="1" minValue="0" maxValue="37"/>
    </cacheField>
    <cacheField name="Administrative Officer 2 FTE earning less than NLW 23yrs 2022/23" numFmtId="2">
      <sharedItems containsMixedTypes="1" containsNumber="1" minValue="0" maxValue="4"/>
    </cacheField>
    <cacheField name="Other staff 1 FTE earning less than NLW 23yrs 2022/23" numFmtId="2">
      <sharedItems containsMixedTypes="1" containsNumber="1" minValue="0" maxValue="10"/>
    </cacheField>
    <cacheField name="Other staff 2 FTE earning less than NLW 23yrs 2022/23" numFmtId="2">
      <sharedItems containsMixedTypes="1" containsNumber="1" containsInteger="1" minValue="0" maxValue="10"/>
    </cacheField>
    <cacheField name="Other staff 3 FTE earning less than NLW 23yrs 2022/23" numFmtId="2">
      <sharedItems containsMixedTypes="1" containsNumber="1" containsInteger="1" minValue="0" maxValue="0"/>
    </cacheField>
    <cacheField name="Total Staff FTE earning less than NLW 23yrs 2022/23" numFmtId="2">
      <sharedItems containsSemiMixedTypes="0" containsString="0" containsNumber="1" minValue="0" maxValue="168"/>
    </cacheField>
    <cacheField name="Registered Manager amount less less than NLW 23yrs 2022/23" numFmtId="2">
      <sharedItems containsMixedTypes="1" containsNumber="1" minValue="0" maxValue="0.30000000000000071"/>
    </cacheField>
    <cacheField name="Deputy Manager amount less less than NLW 23yrs 2022/23" numFmtId="2">
      <sharedItems containsMixedTypes="1" containsNumber="1" minValue="0" maxValue="0.5"/>
    </cacheField>
    <cacheField name="Other Manager 1 amount less less than NLW 23yrs 2022/23" numFmtId="2">
      <sharedItems containsMixedTypes="1" containsNumber="1" minValue="0" maxValue="0.54499999999999993"/>
    </cacheField>
    <cacheField name="Other Manager 2 amount less less than NLW 23yrs 2022/23" numFmtId="2">
      <sharedItems containsMixedTypes="1" containsNumber="1" minValue="0" maxValue="1.1599999999999966"/>
    </cacheField>
    <cacheField name="Other Manager 3 amount less less than NLW 23yrs 2022/23" numFmtId="2">
      <sharedItems containsMixedTypes="1" containsNumber="1" minValue="0" maxValue="0.17999999999999972"/>
    </cacheField>
    <cacheField name="Care Assistant 1 amount less less than NLW 23yrs 2022/23" numFmtId="2">
      <sharedItems containsMixedTypes="1" containsNumber="1" minValue="0" maxValue="61.949999999999989"/>
    </cacheField>
    <cacheField name="Care Assistant 2 amount less less than NLW 23yrs 2022/23" numFmtId="2">
      <sharedItems containsMixedTypes="1" containsNumber="1" minValue="0" maxValue="89.734999999999829"/>
    </cacheField>
    <cacheField name="Care Assistant 3 amount less less than NLW 23yrs 2022/23" numFmtId="2">
      <sharedItems containsMixedTypes="1" containsNumber="1" minValue="0" maxValue="48.450000000000024"/>
    </cacheField>
    <cacheField name="Care Assistant 4 amount less less than NLW 23yrs 2022/23" numFmtId="2">
      <sharedItems containsMixedTypes="1" containsNumber="1" minValue="0" maxValue="9.5"/>
    </cacheField>
    <cacheField name="Administrative Officer 1 amount less less than NLW 23yrs 2022/23" numFmtId="2">
      <sharedItems containsMixedTypes="1" containsNumber="1" minValue="0" maxValue="21.829999999999995"/>
    </cacheField>
    <cacheField name="Administrative Officer 2 amount less less than NLW 23yrs 2022/23" numFmtId="2">
      <sharedItems containsMixedTypes="1" containsNumber="1" minValue="0" maxValue="15.150000000000002"/>
    </cacheField>
    <cacheField name="Other staff 1 amount less less than NLW 23yrs 2022/23" numFmtId="2">
      <sharedItems containsMixedTypes="1" containsNumber="1" minValue="0" maxValue="5.8999999999999986"/>
    </cacheField>
    <cacheField name="Other staff 2 amount less less than NLW 23yrs 2022/23" numFmtId="2">
      <sharedItems containsMixedTypes="1" containsNumber="1" minValue="0" maxValue="5.8999999999999986"/>
    </cacheField>
    <cacheField name="Other staff 3 amount less less than NLW 23yrs 2022/23" numFmtId="2">
      <sharedItems containsMixedTypes="1" containsNumber="1" containsInteger="1" minValue="0" maxValue="0"/>
    </cacheField>
    <cacheField name="Bsol CCG contract?" numFmtId="2">
      <sharedItems/>
    </cacheField>
    <cacheField name="BCC Contract?" numFmtId="2">
      <sharedItems/>
    </cacheField>
    <cacheField name="Contract Status" numFmtId="2">
      <sharedItems count="4">
        <s v="Neither"/>
        <s v="BCC"/>
        <s v="CCG"/>
        <s v="Both"/>
      </sharedItems>
    </cacheField>
    <cacheField name="Hourly Total Direct Staffing Costs" numFmtId="2">
      <sharedItems containsSemiMixedTypes="0" containsString="0" containsNumber="1" minValue="0" maxValue="36.013652868554829"/>
    </cacheField>
    <cacheField name="Hourly Total Non-direct staffing costs" numFmtId="2">
      <sharedItems containsSemiMixedTypes="0" containsString="0" containsNumber="1" minValue="0" maxValue="3.2216494845360821"/>
    </cacheField>
    <cacheField name="Hourly Total Indirect Costs" numFmtId="2">
      <sharedItems containsSemiMixedTypes="0" containsString="0" containsNumber="1" minValue="0" maxValue="28.705680827886709"/>
    </cacheField>
    <cacheField name="Hourly Total Overheads" numFmtId="2">
      <sharedItems containsSemiMixedTypes="0" containsString="0" containsNumber="1" minValue="0" maxValue="5.507383512544803"/>
    </cacheField>
    <cacheField name="Registered Manager FTE earning less than RLW 23yrs 2022/23" numFmtId="2">
      <sharedItems containsMixedTypes="1" containsNumber="1" containsInteger="1" minValue="0" maxValue="1"/>
    </cacheField>
    <cacheField name="Deputy Manager FTE earning less than RLW 23yrs 2022/23" numFmtId="2">
      <sharedItems containsMixedTypes="1" containsNumber="1" containsInteger="1" minValue="0" maxValue="2"/>
    </cacheField>
    <cacheField name="Other Manager 1 FTE earning less than RLW 23yrs 2022/23" numFmtId="2">
      <sharedItems containsMixedTypes="1" containsNumber="1" containsInteger="1" minValue="0" maxValue="3"/>
    </cacheField>
    <cacheField name="Other Manager 2 FTE earning less than RLW 23yrs 2022/23" numFmtId="2">
      <sharedItems containsMixedTypes="1" containsNumber="1" containsInteger="1" minValue="0" maxValue="4"/>
    </cacheField>
    <cacheField name="Other Manager 3 FTE earning less than RLW 23yrs 2022/23" numFmtId="2">
      <sharedItems containsMixedTypes="1" containsNumber="1" containsInteger="1" minValue="0" maxValue="4"/>
    </cacheField>
    <cacheField name="Care Assistant 1 FTE earning less than RLW 23yrs 2022/23" numFmtId="2">
      <sharedItems containsMixedTypes="1" containsNumber="1" minValue="0" maxValue="105"/>
    </cacheField>
    <cacheField name="Care Assistant 2 FTE earning less than RLW 23yrs 2022/23" numFmtId="2">
      <sharedItems containsMixedTypes="1" containsNumber="1" minValue="0" maxValue="143"/>
    </cacheField>
    <cacheField name="Care Assistant 3 FTE earning less than RLW 23yrs 2022/23" numFmtId="2">
      <sharedItems containsMixedTypes="1" containsNumber="1" minValue="0" maxValue="65"/>
    </cacheField>
    <cacheField name="Care Assistant 4 FTE earning less than RLW 23yrs 2022/23" numFmtId="2">
      <sharedItems containsMixedTypes="1" containsNumber="1" containsInteger="1" minValue="0" maxValue="44"/>
    </cacheField>
    <cacheField name="Administrative Officer 1 FTE earning less than RLW 23yrs 2022/23" numFmtId="2">
      <sharedItems containsMixedTypes="1" containsNumber="1" minValue="0" maxValue="37"/>
    </cacheField>
    <cacheField name="Administrative Officer 2 FTE earning less than RLW 23yrs 2022/23" numFmtId="2">
      <sharedItems containsMixedTypes="1" containsNumber="1" minValue="0" maxValue="4"/>
    </cacheField>
    <cacheField name="Other staff 1 FTE earning less than RLW 23yrs 2022/23" numFmtId="2">
      <sharedItems containsMixedTypes="1" containsNumber="1" minValue="0" maxValue="10"/>
    </cacheField>
    <cacheField name="Other staff 2 FTE earning less than RLW 23yrs 2022/23" numFmtId="2">
      <sharedItems containsMixedTypes="1" containsNumber="1" containsInteger="1" minValue="0" maxValue="10"/>
    </cacheField>
    <cacheField name="Other staff 3 FTE earning less than RLW 23yrs 2022/23" numFmtId="2">
      <sharedItems containsMixedTypes="1" containsNumber="1" containsInteger="1" minValue="0" maxValue="0"/>
    </cacheField>
    <cacheField name="Total Staff FTE earning less than RLW 23yrs 2022/23" numFmtId="2">
      <sharedItems containsSemiMixedTypes="0" containsString="0" containsNumber="1" minValue="0" maxValue="171"/>
    </cacheField>
    <cacheField name="Registered Manager amount less less than RLW 23yrs 2022/23" numFmtId="2">
      <sharedItems containsMixedTypes="1" containsNumber="1" minValue="0" maxValue="0.70000000000000107"/>
    </cacheField>
    <cacheField name="Deputy Manager amount less less than RLW 23yrs 2022/23" numFmtId="2">
      <sharedItems containsMixedTypes="1" containsNumber="1" minValue="0" maxValue="1.3000000000000007"/>
    </cacheField>
    <cacheField name="Other Manager 1 amount less less than RLW 23yrs 2022/23" numFmtId="2">
      <sharedItems containsMixedTypes="1" containsNumber="1" minValue="0" maxValue="1.1700000000000017"/>
    </cacheField>
    <cacheField name="Other Manager 2 amount less less than RLW 23yrs 2022/23" numFmtId="2">
      <sharedItems containsMixedTypes="1" containsNumber="1" minValue="0" maxValue="2.759999999999998"/>
    </cacheField>
    <cacheField name="Other Manager 3 amount less less than RLW 23yrs 2022/23" numFmtId="2">
      <sharedItems containsMixedTypes="1" containsNumber="1" minValue="0" maxValue="1.7800000000000011"/>
    </cacheField>
    <cacheField name="Care Assistant 1 amount less less than RLW 23yrs 2022/23" numFmtId="2">
      <sharedItems containsMixedTypes="1" containsNumber="1" minValue="0" maxValue="103.95000000000002"/>
    </cacheField>
    <cacheField name="Care Assistant 2 amount less less than RLW 23yrs 2022/23" numFmtId="2">
      <sharedItems containsMixedTypes="1" containsNumber="1" minValue="0" maxValue="142.13499999999988"/>
    </cacheField>
    <cacheField name="Care Assistant 3 amount less less than RLW 23yrs 2022/23" numFmtId="2">
      <sharedItems containsMixedTypes="1" containsNumber="1" minValue="0" maxValue="65.450000000000045"/>
    </cacheField>
    <cacheField name="Care Assistant 4 amount less less than RLW 23yrs 2022/23" numFmtId="2">
      <sharedItems containsMixedTypes="1" containsNumber="1" minValue="0" maxValue="22"/>
    </cacheField>
    <cacheField name="Administrative Officer 1 amount less less than RLW 23yrs 2022/23" numFmtId="2">
      <sharedItems containsMixedTypes="1" containsNumber="1" minValue="0" maxValue="36.63000000000001"/>
    </cacheField>
    <cacheField name="Administrative Officer 2 amount less less than RLW 23yrs 2022/23" numFmtId="2">
      <sharedItems containsMixedTypes="1" containsNumber="1" minValue="0" maxValue="16.350000000000001"/>
    </cacheField>
    <cacheField name="Other staff 1 amount less less than RLW 23yrs 2022/23" numFmtId="2">
      <sharedItems containsMixedTypes="1" containsNumber="1" minValue="0" maxValue="9.9000000000000021"/>
    </cacheField>
    <cacheField name="Other staff 2 amount less less than RLW 23yrs 2022/23" numFmtId="2">
      <sharedItems containsMixedTypes="1" containsNumber="1" minValue="0" maxValue="9.9000000000000021"/>
    </cacheField>
    <cacheField name="Other staff 3 amount less less than RLW 23yrs 2022/23" numFmtId="2">
      <sharedItems containsMixedTypes="1" containsNumber="1" containsInteger="1" minValue="0" maxValue="0"/>
    </cacheField>
    <cacheField name="Registered manager: Current 2021/22 Minimum hourly pay rate ADJUSTED X FTE" numFmtId="2">
      <sharedItems containsMixedTypes="1" containsNumber="1" minValue="2.0010000000000003" maxValue="555"/>
    </cacheField>
    <cacheField name="Registered manager: Current 2021/22 Maximum hourly pay rate ADJUSTED X FTE" numFmtId="2">
      <sharedItems containsMixedTypes="1" containsNumber="1" minValue="2.0010000000000003" maxValue="555"/>
    </cacheField>
    <cacheField name="Registered manager: Previous 2020/21 Minimum hourly pay rate ADJUSTED X FTE" numFmtId="2">
      <sharedItems containsMixedTypes="1" containsNumber="1" minValue="1.972" maxValue="481"/>
    </cacheField>
    <cacheField name="Registered manager: Previous 2020/21 Maximum hourly pay rate ADJUSTED X FTE" numFmtId="2">
      <sharedItems containsMixedTypes="1" containsNumber="1" minValue="1.972" maxValue="481"/>
    </cacheField>
    <cacheField name="Deputy manager: Current 2021/22 Minimum hourly pay rate ADJUSTED X FTE" numFmtId="2">
      <sharedItems containsMixedTypes="1" containsNumber="1" minValue="6.46" maxValue="112"/>
    </cacheField>
    <cacheField name="Deputy manager: Current 2021/22 Maximum hourly pay rate ADJUSTED X FTE" numFmtId="2">
      <sharedItems containsMixedTypes="1" containsNumber="1" minValue="6.46" maxValue="140"/>
    </cacheField>
    <cacheField name="Deputy manager: Previous 2020/21 Minimum hourly pay rate ADJUSTED X FTE" numFmtId="2">
      <sharedItems containsMixedTypes="1" containsNumber="1" minValue="6.33" maxValue="108"/>
    </cacheField>
    <cacheField name="Deputy manager: Previous 2020/21 Maximum hourly pay rate ADJUSTED X FTE" numFmtId="2">
      <sharedItems containsMixedTypes="1" containsNumber="1" minValue="6.33" maxValue="136"/>
    </cacheField>
    <cacheField name="Other manager 1: Current 2021/22 Minimum hourly pay rate ADJUSTED X FTE" numFmtId="2">
      <sharedItems containsMixedTypes="1" containsNumber="1" minValue="4.0020000000000007" maxValue="80.08"/>
    </cacheField>
    <cacheField name="Other manager 1: Current 2021/22 Maximum hourly pay rate ADJUSTED X FTE" numFmtId="2">
      <sharedItems containsMixedTypes="1" containsNumber="1" minValue="4.0020000000000007" maxValue="80.08"/>
    </cacheField>
    <cacheField name="Other manager 1: Previous 2020/21 Minimum hourly pay rate ADJUSTED X FTE" numFmtId="2">
      <sharedItems containsMixedTypes="1" containsNumber="1" minValue="3.944" maxValue="80.08"/>
    </cacheField>
    <cacheField name="Other manager 1: Previous 2020/21 Maximum hourly pay rate ADJUSTED X FTE" numFmtId="2">
      <sharedItems containsMixedTypes="1" containsNumber="1" minValue="3.944" maxValue="80.08"/>
    </cacheField>
    <cacheField name="Other manager 2: Current 2021/22 Minimum hourly pay rate ADJUSTED X FTE" numFmtId="2">
      <sharedItems containsMixedTypes="1" containsNumber="1" minValue="1.552" maxValue="80"/>
    </cacheField>
    <cacheField name="Other manager 2: Current 2021/22 Maximum hourly pay rate ADJUSTED X FTE" numFmtId="2">
      <sharedItems containsMixedTypes="1" containsNumber="1" minValue="1.552" maxValue="84"/>
    </cacheField>
    <cacheField name="Other manager 2: Previous 2020/21 Minimum hourly pay rate ADJUSTED X FTE" numFmtId="2">
      <sharedItems containsMixedTypes="1" containsNumber="1" minValue="1.5210000000000001" maxValue="72"/>
    </cacheField>
    <cacheField name="Other manager 2: Previous 2020/21 Maximum hourly pay rate ADJUSTED X FTE" numFmtId="2">
      <sharedItems containsMixedTypes="1" containsNumber="1" minValue="1.5210000000000001" maxValue="76"/>
    </cacheField>
    <cacheField name="Other manager 3: Current 2021/22 Minimum hourly pay rate ADJUSTED X FTE" numFmtId="2">
      <sharedItems containsMixedTypes="1" containsNumber="1" minValue="4.1340000000000003" maxValue="35.64"/>
    </cacheField>
    <cacheField name="Other manager 3: Current 2021/22 Maximum hourly pay rate ADJUSTED X FTE" numFmtId="2">
      <sharedItems containsMixedTypes="1" containsNumber="1" minValue="4.1340000000000003" maxValue="40"/>
    </cacheField>
    <cacheField name="Other manager 3: Previous 2020/21 Minimum hourly pay rate ADJUSTED X FTE" numFmtId="2">
      <sharedItems containsMixedTypes="1" containsNumber="1" minValue="4.0380000000000003" maxValue="35.64"/>
    </cacheField>
    <cacheField name="Other manager 3: Previous 2020/21 Maximum hourly pay rate ADJUSTED X FTE" numFmtId="2">
      <sharedItems containsMixedTypes="1" containsNumber="1" minValue="4.0380000000000003" maxValue="40"/>
    </cacheField>
    <cacheField name="Care Assistant 1: Current 2021/22 Minimum hourly pay rate ADJUSTED X FTE" numFmtId="2">
      <sharedItems containsMixedTypes="1" containsNumber="1" minValue="5.0049999999999999" maxValue="3564.75"/>
    </cacheField>
    <cacheField name="Care Assistant 1: Current 2021/22 Maximum hourly pay rate ADJUSTED X FTE" numFmtId="2">
      <sharedItems containsMixedTypes="1" containsNumber="1" minValue="5.0049999999999999" maxValue="4054.75"/>
    </cacheField>
    <cacheField name="Care Assistant 1: Previous 2020/21 Minimum hourly pay rate ADJUSTED X FTE" numFmtId="2">
      <sharedItems containsMixedTypes="1" containsNumber="1" minValue="4.75" maxValue="3393.25"/>
    </cacheField>
    <cacheField name="Care Assistant 1: Previous 2020/21 Maximum hourly pay rate ADJUSTED X FTE" numFmtId="2">
      <sharedItems containsMixedTypes="1" containsNumber="1" minValue="4.75" maxValue="3907.75"/>
    </cacheField>
    <cacheField name="Care Assistant 2: Current 2021/22 Minimum hourly pay rate ADJUSTED X FTE" numFmtId="2">
      <sharedItems containsMixedTypes="1" containsNumber="1" minValue="9.0226000000000006" maxValue="1710.5"/>
    </cacheField>
    <cacheField name="Care Assistant 2: Current 2021/22 Maximum hourly pay rate ADJUSTED X FTE" numFmtId="2">
      <sharedItems containsMixedTypes="1" containsNumber="1" minValue="9.0226000000000006" maxValue="1930.5"/>
    </cacheField>
    <cacheField name="Care Assistant 2: Previous 2020/21 Minimum hourly pay rate ADJUSTED X FTE" numFmtId="2">
      <sharedItems containsMixedTypes="1" containsNumber="1" minValue="8.75" maxValue="1633.5"/>
    </cacheField>
    <cacheField name="Care Assistant 2: Previous 2020/21 Maximum hourly pay rate ADJUSTED X FTE" numFmtId="2">
      <sharedItems containsMixedTypes="1" containsNumber="1" minValue="8.75" maxValue="1644.5"/>
    </cacheField>
    <cacheField name="Care Assistant 3: Current 2021/22 Minimum hourly pay rate ADJUSTED X FTE" numFmtId="2">
      <sharedItems containsMixedTypes="1" containsNumber="1" minValue="9.1" maxValue="617.5"/>
    </cacheField>
    <cacheField name="Care Assistant 3: Current 2021/22 Maximum hourly pay rate ADJUSTED X FTE" numFmtId="2">
      <sharedItems containsMixedTypes="1" containsNumber="1" minValue="9.1" maxValue="633.75"/>
    </cacheField>
    <cacheField name="Care Assistant 3: Previous 2020/21 Minimum hourly pay rate ADJUSTED X FTE" numFmtId="2">
      <sharedItems containsMixedTypes="1" containsNumber="1" minValue="8.75" maxValue="585"/>
    </cacheField>
    <cacheField name="Care Assistant 3: Previous 2020/21 Maximum hourly pay rate ADJUSTED X FTE" numFmtId="2">
      <sharedItems containsMixedTypes="1" containsNumber="1" minValue="8.75" maxValue="604.5"/>
    </cacheField>
    <cacheField name="Care Assistant 4: Current 2021/22 Minimum hourly pay rate ADJUSTED X FTE" numFmtId="2">
      <sharedItems containsMixedTypes="1" containsNumber="1" minValue="6.56" maxValue="409.20000000000005"/>
    </cacheField>
    <cacheField name="Care Assistant 4: Current 2021/22 Maximum hourly pay rate ADJUSTED X FTE" numFmtId="2">
      <sharedItems containsMixedTypes="1" containsNumber="1" minValue="6.56" maxValue="418"/>
    </cacheField>
    <cacheField name="Care Assistant 4: Previous 2020/21 Minimum hourly pay rate ADJUSTED X FTE" numFmtId="2">
      <sharedItems containsMixedTypes="1" containsNumber="1" minValue="6.45" maxValue="387.20000000000005"/>
    </cacheField>
    <cacheField name="Care Assistant 4: Previous 2020/21 Maximum hourly pay rate ADJUSTED X FTE" numFmtId="2">
      <sharedItems containsMixedTypes="1" containsNumber="1" minValue="6.45" maxValue="396"/>
    </cacheField>
    <cacheField name="Administrative Officer 1: Current 2021/22 Minimum hourly pay rate ADJUSTED X FTE" numFmtId="2">
      <sharedItems containsMixedTypes="1" containsNumber="1" minValue="5" maxValue="437.5"/>
    </cacheField>
    <cacheField name="Administrative Officer 1: Current 2021/22 Maximum hourly pay rate ADJUSTED X FTE" numFmtId="2">
      <sharedItems containsMixedTypes="1" containsNumber="1" minValue="5" maxValue="487.5"/>
    </cacheField>
    <cacheField name="Administrative Officer 1: Previous 2020/21 Minimum hourly pay rate ADJUSTED X FTE" numFmtId="2">
      <sharedItems containsMixedTypes="1" containsNumber="1" minValue="5" maxValue="412.5"/>
    </cacheField>
    <cacheField name="Administrative Officer 1: Previous 2020/21 Maximum hourly pay rate ADJUSTED X FTE" numFmtId="2">
      <sharedItems containsMixedTypes="1" containsNumber="1" minValue="5" maxValue="462.5"/>
    </cacheField>
    <cacheField name="Administrative Officer 2: Current 2021/22 Minimum hourly pay rate ADJUSTED X FTE" numFmtId="2">
      <sharedItems containsMixedTypes="1" containsNumber="1" minValue="2.5640000000000001" maxValue="36.04"/>
    </cacheField>
    <cacheField name="Administrative Officer 2: Current 2021/22 Maximum hourly pay rate ADJUSTED X FTE" numFmtId="2">
      <sharedItems containsMixedTypes="1" containsNumber="1" minValue="2.5640000000000001" maxValue="36.799999999999997"/>
    </cacheField>
    <cacheField name="Administrative Officer 2: Previous 2020/21 Minimum hourly pay rate ADJUSTED X FTE" numFmtId="2">
      <sharedItems containsMixedTypes="1" containsNumber="1" minValue="2.4620000000000002" maxValue="36.04"/>
    </cacheField>
    <cacheField name="Administrative Officer 2: Previous 2020/21 Maximum hourly pay rate ADJUSTED X FTE" numFmtId="2">
      <sharedItems containsMixedTypes="1" containsNumber="1" minValue="2.4620000000000002" maxValue="36.04"/>
    </cacheField>
    <cacheField name="Administrative Officer 3: Current 2021/22 Minimum hourly pay rate ADJUSTED X FTE" numFmtId="2">
      <sharedItems containsMixedTypes="1" containsNumber="1" minValue="1.782" maxValue="12"/>
    </cacheField>
    <cacheField name="Administrative Officer 3: Current 2021/22 Maximum hourly pay rate ADJUSTED X FTE" numFmtId="2">
      <sharedItems containsMixedTypes="1" containsNumber="1" minValue="1.782" maxValue="16.72"/>
    </cacheField>
    <cacheField name="Administrative Officer 3: Previous 2020/21 Minimum hourly pay rate ADJUSTED X FTE" numFmtId="2">
      <sharedItems containsMixedTypes="1" containsNumber="1" minValue="1.7440000000000002" maxValue="11.5"/>
    </cacheField>
    <cacheField name="Administrative Officer 3: Previous 2020/21 Maximum hourly pay rate ADJUSTED X FTE" numFmtId="2">
      <sharedItems containsMixedTypes="1" containsNumber="1" minValue="1.7440000000000002" maxValue="16.399999999999999"/>
    </cacheField>
    <cacheField name="Other staff 1: Current 2021/22 Minimum hourly pay rate ADJUSTED X FTE" numFmtId="2">
      <sharedItems containsMixedTypes="1" containsNumber="1" minValue="2.0620000000000003" maxValue="89.1"/>
    </cacheField>
    <cacheField name="Other staff 1: Current 2021/22 Maximum hourly pay rate ADJUSTED X FTE" numFmtId="2">
      <sharedItems containsMixedTypes="1" containsNumber="1" minValue="2.0620000000000003" maxValue="89.1"/>
    </cacheField>
    <cacheField name="Other staff 1: Previous 2020/21 Minimum hourly pay rate ADJUSTED X FTE" numFmtId="2">
      <sharedItems containsMixedTypes="1" containsNumber="1" minValue="2.0180000000000002" maxValue="87.6"/>
    </cacheField>
    <cacheField name="Other staff 1: Previous 2020/21 Maximum hourly pay rate ADJUSTED X FTE" numFmtId="2">
      <sharedItems containsMixedTypes="1" containsNumber="1" minValue="2.0180000000000002" maxValue="87.6"/>
    </cacheField>
    <cacheField name="Other staff 2: Current 2021/22 Minimum hourly pay rate ADJUSTED X FTE" numFmtId="2">
      <sharedItems containsMixedTypes="1" containsNumber="1" minValue="3.9420000000000002" maxValue="134"/>
    </cacheField>
    <cacheField name="Other staff 2: Current 2021/22 Maximum hourly pay rate ADJUSTED X FTE" numFmtId="2">
      <sharedItems containsMixedTypes="1" containsNumber="1" minValue="3.9420000000000002" maxValue="138.02000000000001"/>
    </cacheField>
    <cacheField name="Other staff 2: Previous 2020/21 Minimum hourly pay rate ADJUSTED X FTE" numFmtId="2">
      <sharedItems containsMixedTypes="1" containsNumber="1" minValue="3.8460000000000001" maxValue="127.3"/>
    </cacheField>
    <cacheField name="Other staff 2: Previous 2020/21 Maximum hourly pay rate ADJUSTED X FTE" numFmtId="2">
      <sharedItems containsMixedTypes="1" containsNumber="1" minValue="3.8460000000000001" maxValue="131.32000000000002"/>
    </cacheField>
    <cacheField name="Other staff 3: Current 2021/22 Minimum hourly pay rate ADJUSTED X FTE" numFmtId="2">
      <sharedItems containsMixedTypes="1" containsNumber="1" minValue="8.91" maxValue="28.2"/>
    </cacheField>
    <cacheField name="Other staff 3: Current 2021/22 Maximum hourly pay rate ADJUSTED X FTE" numFmtId="2">
      <sharedItems containsMixedTypes="1" containsNumber="1" minValue="14.42" maxValue="28.2"/>
    </cacheField>
    <cacheField name="Other staff 3: Previous 2020/21 Minimum hourly pay rate ADJUSTED X FTE" numFmtId="2">
      <sharedItems containsMixedTypes="1" containsNumber="1" minValue="8.7100000000000009" maxValue="26.59"/>
    </cacheField>
    <cacheField name="Other staff 3: Previous 2020/21 Maximum hourly pay rate ADJUSTED X FTE" numFmtId="2">
      <sharedItems containsMixedTypes="1" containsNumber="1" minValue="14.42" maxValue="26.59"/>
    </cacheField>
    <cacheField name="Registered Manager  ADJUSTED &gt;0" numFmtId="2">
      <sharedItems containsSemiMixedTypes="0" containsString="0" containsNumber="1" minValue="0" maxValue="37"/>
    </cacheField>
    <cacheField name="Deputy Manager  ADJUSTED &gt;0" numFmtId="2">
      <sharedItems containsSemiMixedTypes="0" containsString="0" containsNumber="1" minValue="0" maxValue="4"/>
    </cacheField>
    <cacheField name="Other Manager 1  ADJUSTED &gt;0" numFmtId="2">
      <sharedItems containsSemiMixedTypes="0" containsString="0" containsNumber="1" minValue="0" maxValue="8"/>
    </cacheField>
    <cacheField name="Other Manager 2  ADJUSTED &gt;0" numFmtId="2">
      <sharedItems containsSemiMixedTypes="0" containsString="0" containsNumber="1" minValue="0" maxValue="8"/>
    </cacheField>
    <cacheField name="Other Manager 3  ADJUSTED &gt;0" numFmtId="2">
      <sharedItems containsSemiMixedTypes="0" containsString="0" containsNumber="1" minValue="0" maxValue="4"/>
    </cacheField>
    <cacheField name="Care Assistant 1  ADJUSTED &gt;0" numFmtId="2">
      <sharedItems containsSemiMixedTypes="0" containsString="0" containsNumber="1" minValue="0" maxValue="245"/>
    </cacheField>
    <cacheField name="Care Assistant 2  ADJUSTED &gt;0" numFmtId="2">
      <sharedItems containsSemiMixedTypes="0" containsString="0" containsNumber="1" minValue="0" maxValue="143"/>
    </cacheField>
    <cacheField name="Care Assistant 3  ADJUSTED &gt;0" numFmtId="2">
      <sharedItems containsSemiMixedTypes="0" containsString="0" containsNumber="1" minValue="0" maxValue="65"/>
    </cacheField>
    <cacheField name="Care Assistant 4  ADJUSTED &gt;0" numFmtId="2">
      <sharedItems containsSemiMixedTypes="0" containsString="0" containsNumber="1" minValue="0" maxValue="44"/>
    </cacheField>
    <cacheField name="Administrative Officer 1  ADJUSTED &gt;0" numFmtId="2">
      <sharedItems containsSemiMixedTypes="0" containsString="0" containsNumber="1" minValue="0" maxValue="37"/>
    </cacheField>
    <cacheField name="Administrative Officer 2  ADJUSTED &gt;0" numFmtId="2">
      <sharedItems containsSemiMixedTypes="0" containsString="0" containsNumber="1" minValue="0" maxValue="4"/>
    </cacheField>
    <cacheField name="Administrative Officer 3  ADJUSTED &gt;0" numFmtId="2">
      <sharedItems containsSemiMixedTypes="0" containsString="0" containsNumber="1" minValue="0" maxValue="2"/>
    </cacheField>
    <cacheField name="Other staff 1  ADJUSTED &gt;0" numFmtId="2">
      <sharedItems containsSemiMixedTypes="0" containsString="0" containsNumber="1" minValue="0" maxValue="10"/>
    </cacheField>
    <cacheField name="Other staff 2  ADJUSTED &gt;0" numFmtId="2">
      <sharedItems containsSemiMixedTypes="0" containsString="0" containsNumber="1" minValue="0" maxValue="13.4"/>
    </cacheField>
    <cacheField name="Other staff 3  ADJUSTED &gt;0" numFmtId="2">
      <sharedItems containsSemiMixedTypes="0" containsString="0" containsNumber="1" containsInteger="1" minValue="0" maxValue="2"/>
    </cacheField>
  </cacheFields>
  <extLst>
    <ext xmlns:x14="http://schemas.microsoft.com/office/spreadsheetml/2009/9/main" uri="{725AE2AE-9491-48be-B2B4-4EB974FC3084}">
      <x14:pivotCacheDefinition pivotCacheId="171612835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
  <r>
    <m/>
    <m/>
    <m/>
    <m/>
    <m/>
    <m/>
    <n v="1"/>
    <n v="0"/>
    <n v="9"/>
    <n v="0"/>
    <n v="1"/>
    <s v="Mortgaged"/>
    <s v="Mortgaged"/>
    <m/>
    <m/>
    <m/>
    <m/>
    <n v="15.72"/>
    <n v="15.72"/>
    <n v="16.82"/>
    <n v="16.82"/>
    <n v="1"/>
    <n v="0"/>
    <n v="0"/>
    <n v="0"/>
    <n v="0"/>
    <n v="0"/>
    <s v="Other manager (specify)"/>
    <n v="0"/>
    <n v="0"/>
    <n v="0"/>
    <n v="0"/>
    <n v="0"/>
    <s v="Other manager (specify)"/>
    <n v="0"/>
    <n v="0"/>
    <n v="0"/>
    <n v="0"/>
    <n v="0"/>
    <s v="Other manager (specify)"/>
    <n v="0"/>
    <n v="0"/>
    <n v="0"/>
    <n v="0"/>
    <n v="0"/>
    <s v="Care Assistant (specify)"/>
    <n v="9"/>
    <n v="9"/>
    <n v="8.81"/>
    <n v="8.81"/>
    <n v="22.7"/>
    <s v="Care Assistant (specify)"/>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m/>
    <n v="0"/>
    <n v="0"/>
    <n v="0"/>
    <n v="0"/>
    <n v="0"/>
    <n v="0"/>
    <n v="0"/>
    <n v="0"/>
    <n v="0"/>
    <n v="0"/>
    <n v="0"/>
    <n v="0"/>
    <n v="0"/>
    <n v="0"/>
    <n v="0"/>
    <d v="2020-04-01T00:00:00"/>
    <d v="2021-03-31T00:00:00"/>
    <n v="44384.18"/>
    <n v="42485.856299999999"/>
    <n v="492716.83929999999"/>
    <n v="0"/>
    <n v="0"/>
    <n v="0"/>
    <n v="5960.7947000000004"/>
    <n v="0"/>
    <n v="1671.6224999999999"/>
    <n v="2544.7842999999998"/>
    <n v="3274.9333000000001"/>
    <n v="0"/>
    <n v="0"/>
    <n v="0"/>
    <s v="Other - please specify"/>
    <n v="0"/>
    <s v="Other - please specify"/>
    <n v="0"/>
    <n v="0"/>
    <n v="6453.8950000000004"/>
    <n v="0"/>
    <n v="0"/>
    <n v="0"/>
    <n v="0"/>
    <n v="0"/>
    <n v="0"/>
    <s v="We just report as a total of other direct costs"/>
    <n v="31512.764299999999"/>
    <s v="Other - please specify"/>
    <n v="0"/>
    <n v="76438.426200000002"/>
    <n v="0"/>
    <s v="Other overheads - please specify"/>
    <n v="0"/>
    <s v="Other overheads - please specify"/>
    <n v="0"/>
    <n v="47996.4352"/>
    <n v="0"/>
    <n v="0"/>
    <m/>
    <d v="2021-10-11T14:57:28"/>
    <x v="0"/>
    <n v="9"/>
    <x v="0"/>
    <n v="15.72"/>
    <n v="15.72"/>
    <n v="16.82"/>
    <n v="16.82"/>
    <s v=""/>
    <s v=""/>
    <s v=""/>
    <s v=""/>
    <s v=""/>
    <s v=""/>
    <s v=""/>
    <s v=""/>
    <s v=""/>
    <s v=""/>
    <s v=""/>
    <s v=""/>
    <s v=""/>
    <s v=""/>
    <s v=""/>
    <s v=""/>
    <n v="9"/>
    <n v="9"/>
    <n v="8.81"/>
    <n v="8.81"/>
    <s v=""/>
    <s v=""/>
    <s v=""/>
    <s v=""/>
    <s v=""/>
    <s v=""/>
    <s v=""/>
    <s v=""/>
    <s v=""/>
    <s v=""/>
    <s v=""/>
    <s v=""/>
    <s v=""/>
    <s v=""/>
    <s v=""/>
    <s v=""/>
    <s v=""/>
    <s v=""/>
    <s v=""/>
    <s v=""/>
    <s v=""/>
    <s v=""/>
    <s v=""/>
    <s v=""/>
    <s v=""/>
    <s v=""/>
    <s v=""/>
    <s v=""/>
    <s v=""/>
    <s v=""/>
    <s v=""/>
    <s v=""/>
    <s v=""/>
    <s v=""/>
    <s v=""/>
    <s v=""/>
    <n v="15.72"/>
    <n v="15.72"/>
    <n v="16.82"/>
    <n v="16.82"/>
    <s v=""/>
    <s v=""/>
    <s v=""/>
    <s v=""/>
    <s v=""/>
    <s v=""/>
    <s v=""/>
    <s v=""/>
    <s v=""/>
    <s v=""/>
    <s v=""/>
    <s v=""/>
    <s v=""/>
    <s v=""/>
    <s v=""/>
    <s v=""/>
    <n v="9"/>
    <n v="9"/>
    <n v="8.81"/>
    <n v="8.81"/>
    <s v=""/>
    <s v=""/>
    <s v=""/>
    <s v=""/>
    <s v=""/>
    <s v=""/>
    <s v=""/>
    <s v=""/>
    <s v=""/>
    <s v=""/>
    <s v=""/>
    <s v=""/>
    <s v=""/>
    <s v=""/>
    <s v=""/>
    <s v=""/>
    <s v=""/>
    <s v=""/>
    <s v=""/>
    <s v=""/>
    <s v=""/>
    <s v=""/>
    <s v=""/>
    <s v=""/>
    <s v=""/>
    <s v=""/>
    <s v=""/>
    <s v=""/>
    <s v=""/>
    <s v=""/>
    <s v=""/>
    <s v=""/>
    <s v=""/>
    <s v=""/>
    <s v=""/>
    <s v=""/>
    <n v="1"/>
    <n v="22.7"/>
    <n v="0"/>
    <n v="0"/>
    <n v="23.7"/>
    <x v="0"/>
    <n v="0"/>
    <n v="0"/>
    <e v="#VALUE!"/>
    <e v="#VALUE!"/>
    <e v="#VALUE!"/>
    <e v="#VALUE!"/>
    <x v="0"/>
    <n v="542835.1128"/>
    <n v="5819.7175999999999"/>
    <n v="37966.659299999999"/>
    <n v="76438.426200000002"/>
    <n v="0.95722972239207749"/>
    <n v="11.10118153134743"/>
    <n v="0"/>
    <n v="0"/>
    <n v="0"/>
    <n v="0.13429998481440911"/>
    <n v="0"/>
    <n v="3.7662574818324905E-2"/>
    <n v="5.7335390672983023E-2"/>
    <n v="7.3786049443743243E-2"/>
    <n v="0"/>
    <n v="0"/>
    <n v="0"/>
    <n v="0"/>
    <n v="0"/>
    <n v="0"/>
    <n v="0.14540980592634584"/>
    <n v="0"/>
    <n v="0"/>
    <n v="0"/>
    <n v="0"/>
    <n v="0"/>
    <n v="0"/>
    <n v="0.70999992114307398"/>
    <n v="0"/>
    <n v="1.7221998063273896"/>
    <n v="0"/>
    <n v="0"/>
    <n v="0"/>
    <n v="14.939104786885778"/>
    <n v="1.0813860974788765"/>
    <n v="0"/>
    <n v="1"/>
    <x v="0"/>
    <x v="0"/>
    <x v="0"/>
    <x v="0"/>
    <x v="0"/>
    <b v="0"/>
    <b v="1"/>
    <n v="0"/>
    <s v=""/>
    <s v=""/>
    <s v=""/>
    <s v=""/>
    <n v="22.7"/>
    <s v=""/>
    <s v=""/>
    <s v=""/>
    <s v=""/>
    <s v=""/>
    <s v=""/>
    <s v=""/>
    <s v=""/>
    <n v="22.7"/>
    <n v="0"/>
    <s v=""/>
    <s v=""/>
    <s v=""/>
    <s v=""/>
    <n v="11.35"/>
    <s v=""/>
    <s v=""/>
    <s v=""/>
    <s v=""/>
    <s v=""/>
    <s v=""/>
    <s v=""/>
    <s v=""/>
    <b v="0"/>
    <b v="0"/>
    <x v="0"/>
    <n v="12.230373813372243"/>
    <n v="0.13112144011672627"/>
    <n v="0.85540972706941987"/>
    <n v="1.7221998063273896"/>
    <n v="0"/>
    <s v=""/>
    <s v=""/>
    <s v=""/>
    <s v=""/>
    <n v="22.7"/>
    <s v=""/>
    <s v=""/>
    <s v=""/>
    <s v=""/>
    <s v=""/>
    <s v=""/>
    <s v=""/>
    <s v=""/>
    <n v="22.7"/>
    <n v="0"/>
    <s v=""/>
    <s v=""/>
    <s v=""/>
    <s v=""/>
    <n v="20.430000000000007"/>
    <s v=""/>
    <s v=""/>
    <s v=""/>
    <s v=""/>
    <s v=""/>
    <s v=""/>
    <s v=""/>
    <s v=""/>
    <n v="15.72"/>
    <n v="15.72"/>
    <n v="16.82"/>
    <n v="16.82"/>
    <s v=""/>
    <s v=""/>
    <s v=""/>
    <s v=""/>
    <s v=""/>
    <s v=""/>
    <s v=""/>
    <s v=""/>
    <s v=""/>
    <s v=""/>
    <s v=""/>
    <s v=""/>
    <s v=""/>
    <s v=""/>
    <s v=""/>
    <s v=""/>
    <n v="204.29999999999998"/>
    <n v="204.29999999999998"/>
    <n v="199.98699999999999"/>
    <n v="199.98699999999999"/>
    <s v=""/>
    <s v=""/>
    <s v=""/>
    <s v=""/>
    <s v=""/>
    <s v=""/>
    <s v=""/>
    <s v=""/>
    <s v=""/>
    <s v=""/>
    <s v=""/>
    <s v=""/>
    <s v=""/>
    <s v=""/>
    <s v=""/>
    <s v=""/>
    <s v=""/>
    <s v=""/>
    <s v=""/>
    <s v=""/>
    <s v=""/>
    <s v=""/>
    <s v=""/>
    <s v=""/>
    <s v=""/>
    <s v=""/>
    <s v=""/>
    <s v=""/>
    <s v=""/>
    <s v=""/>
    <s v=""/>
    <s v=""/>
    <s v=""/>
    <s v=""/>
    <s v=""/>
    <s v=""/>
    <n v="1"/>
    <n v="0"/>
    <n v="0"/>
    <n v="0"/>
    <n v="0"/>
    <n v="22.7"/>
    <n v="0"/>
    <n v="0"/>
    <n v="0"/>
    <n v="0"/>
    <n v="0"/>
    <n v="0"/>
    <n v="0"/>
    <n v="0"/>
    <n v="0"/>
  </r>
  <r>
    <m/>
    <m/>
    <m/>
    <m/>
    <m/>
    <m/>
    <n v="2"/>
    <n v="0"/>
    <n v="11"/>
    <m/>
    <n v="1"/>
    <s v="Leased or Rented"/>
    <s v="Leased or Rented"/>
    <m/>
    <m/>
    <m/>
    <m/>
    <n v="25.64"/>
    <n v="0"/>
    <n v="25.64"/>
    <n v="0"/>
    <n v="1"/>
    <n v="20.149999999999999"/>
    <n v="0"/>
    <n v="20.149999999999999"/>
    <n v="0"/>
    <n v="1"/>
    <s v="Other manager (specify)"/>
    <n v="10.63"/>
    <n v="0"/>
    <n v="10.19"/>
    <n v="0"/>
    <n v="0"/>
    <s v="Other manager (specify)"/>
    <n v="10.93"/>
    <n v="0"/>
    <n v="10.49"/>
    <n v="0"/>
    <n v="0"/>
    <s v="Other manager (specify)"/>
    <n v="11.23"/>
    <n v="0"/>
    <n v="10.79"/>
    <n v="0"/>
    <n v="0"/>
    <s v="Care Assistant (specify)"/>
    <n v="9.16"/>
    <n v="0"/>
    <n v="8.7200000000000006"/>
    <n v="0"/>
    <n v="4"/>
    <s v="Care Assistant (specify)"/>
    <n v="9.31"/>
    <n v="0"/>
    <n v="8.8699999999999992"/>
    <n v="0"/>
    <n v="3"/>
    <s v="Care Assistant (specify)"/>
    <n v="9.73"/>
    <n v="0"/>
    <n v="9.2899999999999991"/>
    <n v="0"/>
    <n v="17"/>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0"/>
    <n v="774.15"/>
    <n v="0"/>
    <n v="0"/>
    <n v="0"/>
    <n v="0"/>
    <n v="16"/>
    <n v="0"/>
    <n v="16"/>
    <d v="2020-04-01T00:00:00"/>
    <d v="2021-03-31T00:00:00"/>
    <n v="40256"/>
    <n v="0"/>
    <n v="484024"/>
    <n v="0"/>
    <n v="0"/>
    <n v="0"/>
    <n v="3537"/>
    <n v="0"/>
    <n v="851"/>
    <n v="0"/>
    <n v="1519"/>
    <n v="5431"/>
    <n v="0"/>
    <n v="3866"/>
    <s v="Other - please specify"/>
    <n v="0"/>
    <s v="Other - please specify"/>
    <n v="0"/>
    <n v="6416"/>
    <n v="6176"/>
    <n v="30366"/>
    <n v="34488"/>
    <n v="0"/>
    <n v="0"/>
    <n v="0"/>
    <n v="0"/>
    <s v="Other - please specify Office"/>
    <n v="8011"/>
    <s v="Other - please specify Professional"/>
    <n v="9683"/>
    <n v="46450"/>
    <n v="0"/>
    <s v="Other overheads - please specify"/>
    <n v="0"/>
    <s v="Other overheads - please specify"/>
    <n v="0"/>
    <n v="64082"/>
    <n v="0"/>
    <n v="0"/>
    <m/>
    <d v="2021-10-11T14:57:32"/>
    <x v="1"/>
    <n v="11"/>
    <x v="1"/>
    <n v="25.64"/>
    <n v="25.64"/>
    <n v="25.64"/>
    <n v="25.64"/>
    <n v="20.149999999999999"/>
    <s v=""/>
    <n v="20.149999999999999"/>
    <n v="20.149999999999999"/>
    <n v="10.63"/>
    <n v="10.63"/>
    <n v="10.19"/>
    <n v="10.19"/>
    <n v="10.93"/>
    <n v="10.93"/>
    <n v="10.49"/>
    <n v="10.49"/>
    <n v="11.23"/>
    <n v="11.23"/>
    <n v="10.79"/>
    <n v="10.79"/>
    <n v="9.16"/>
    <n v="9.16"/>
    <n v="8.7200000000000006"/>
    <n v="8.7200000000000006"/>
    <n v="9.31"/>
    <n v="9.31"/>
    <n v="8.8699999999999992"/>
    <n v="8.8699999999999992"/>
    <n v="9.73"/>
    <n v="9.73"/>
    <n v="9.2899999999999991"/>
    <n v="9.2899999999999991"/>
    <s v=""/>
    <s v=""/>
    <s v=""/>
    <s v=""/>
    <s v=""/>
    <s v=""/>
    <s v=""/>
    <s v=""/>
    <s v=""/>
    <s v=""/>
    <s v=""/>
    <s v=""/>
    <s v=""/>
    <s v=""/>
    <s v=""/>
    <s v=""/>
    <s v=""/>
    <s v=""/>
    <s v=""/>
    <s v=""/>
    <s v=""/>
    <s v=""/>
    <s v=""/>
    <s v=""/>
    <s v=""/>
    <s v=""/>
    <s v=""/>
    <s v=""/>
    <n v="25.64"/>
    <n v="25.64"/>
    <n v="25.64"/>
    <n v="25.64"/>
    <n v="20.149999999999999"/>
    <n v="20.149999999999999"/>
    <n v="20.149999999999999"/>
    <n v="20.149999999999999"/>
    <n v="10.63"/>
    <n v="10.63"/>
    <n v="10.19"/>
    <n v="10.19"/>
    <n v="10.93"/>
    <n v="10.93"/>
    <n v="10.49"/>
    <n v="10.49"/>
    <n v="11.23"/>
    <n v="11.23"/>
    <n v="10.79"/>
    <n v="10.79"/>
    <n v="9.16"/>
    <n v="9.16"/>
    <n v="8.7200000000000006"/>
    <n v="8.7200000000000006"/>
    <n v="9.31"/>
    <n v="9.31"/>
    <n v="8.8699999999999992"/>
    <n v="8.8699999999999992"/>
    <n v="9.73"/>
    <n v="9.73"/>
    <n v="9.2899999999999991"/>
    <n v="9.2899999999999991"/>
    <s v=""/>
    <s v=""/>
    <s v=""/>
    <s v=""/>
    <s v=""/>
    <s v=""/>
    <s v=""/>
    <s v=""/>
    <s v=""/>
    <s v=""/>
    <s v=""/>
    <s v=""/>
    <s v=""/>
    <s v=""/>
    <s v=""/>
    <s v=""/>
    <s v=""/>
    <s v=""/>
    <s v=""/>
    <s v=""/>
    <s v=""/>
    <s v=""/>
    <s v=""/>
    <s v=""/>
    <s v=""/>
    <s v=""/>
    <s v=""/>
    <s v=""/>
    <n v="2"/>
    <n v="24"/>
    <n v="0"/>
    <n v="0"/>
    <n v="26"/>
    <x v="0"/>
    <n v="0"/>
    <n v="774.15"/>
    <n v="45.79"/>
    <n v="45.79"/>
    <n v="45.79"/>
    <e v="#VALUE!"/>
    <x v="0"/>
    <n v="488412"/>
    <n v="10816"/>
    <n v="95140"/>
    <n v="46450"/>
    <n v="0"/>
    <n v="12.023648648648649"/>
    <n v="0"/>
    <n v="0"/>
    <n v="0"/>
    <n v="8.7862678855325921E-2"/>
    <n v="0"/>
    <n v="2.1139705882352942E-2"/>
    <n v="0"/>
    <n v="3.7733505564387919E-2"/>
    <n v="0.13491156597774245"/>
    <n v="0"/>
    <n v="9.6035373608903019E-2"/>
    <n v="0"/>
    <n v="0"/>
    <n v="0.15937996820349762"/>
    <n v="0.15341812400635929"/>
    <n v="0.75432233704292528"/>
    <n v="0.85671701112877585"/>
    <n v="0"/>
    <n v="0"/>
    <n v="0"/>
    <n v="0"/>
    <n v="0.19900139109697934"/>
    <n v="0.24053557233704292"/>
    <n v="1.1538652623211447"/>
    <n v="0"/>
    <n v="0"/>
    <n v="0"/>
    <n v="15.918571144674084"/>
    <n v="1.5918620826709062"/>
    <n v="0"/>
    <n v="2"/>
    <x v="1"/>
    <x v="0"/>
    <x v="0"/>
    <x v="0"/>
    <x v="1"/>
    <b v="0"/>
    <b v="1"/>
    <n v="0"/>
    <n v="0"/>
    <n v="0"/>
    <n v="0"/>
    <n v="0"/>
    <n v="4"/>
    <n v="3"/>
    <n v="0"/>
    <s v=""/>
    <s v=""/>
    <s v=""/>
    <s v=""/>
    <s v=""/>
    <s v=""/>
    <n v="7"/>
    <n v="0"/>
    <n v="0"/>
    <n v="0"/>
    <n v="0"/>
    <n v="0"/>
    <n v="1.3599999999999994"/>
    <n v="0.56999999999999851"/>
    <n v="0"/>
    <s v=""/>
    <s v=""/>
    <s v=""/>
    <s v=""/>
    <s v=""/>
    <s v=""/>
    <b v="0"/>
    <b v="0"/>
    <x v="0"/>
    <n v="12.132651033386328"/>
    <n v="0.2686804451510334"/>
    <n v="2.3633744038155804"/>
    <n v="1.1538652623211447"/>
    <n v="0"/>
    <n v="0"/>
    <n v="0"/>
    <n v="0"/>
    <n v="0"/>
    <n v="4"/>
    <n v="3"/>
    <n v="17"/>
    <s v=""/>
    <s v=""/>
    <s v=""/>
    <s v=""/>
    <s v=""/>
    <s v=""/>
    <n v="24"/>
    <n v="0"/>
    <n v="0"/>
    <n v="0"/>
    <n v="0"/>
    <n v="0"/>
    <n v="2.9600000000000009"/>
    <n v="1.7699999999999996"/>
    <n v="2.8899999999999988"/>
    <s v=""/>
    <s v=""/>
    <s v=""/>
    <s v=""/>
    <s v=""/>
    <s v=""/>
    <n v="25.64"/>
    <n v="25.64"/>
    <n v="25.64"/>
    <n v="25.64"/>
    <n v="20.149999999999999"/>
    <n v="20.149999999999999"/>
    <n v="20.149999999999999"/>
    <n v="20.149999999999999"/>
    <s v=""/>
    <s v=""/>
    <s v=""/>
    <s v=""/>
    <s v=""/>
    <s v=""/>
    <s v=""/>
    <s v=""/>
    <s v=""/>
    <s v=""/>
    <s v=""/>
    <s v=""/>
    <n v="36.64"/>
    <n v="36.64"/>
    <n v="34.880000000000003"/>
    <n v="34.880000000000003"/>
    <n v="27.93"/>
    <n v="27.93"/>
    <n v="26.61"/>
    <n v="26.61"/>
    <n v="165.41"/>
    <n v="165.41"/>
    <n v="157.92999999999998"/>
    <n v="157.92999999999998"/>
    <s v=""/>
    <s v=""/>
    <s v=""/>
    <s v=""/>
    <s v=""/>
    <s v=""/>
    <s v=""/>
    <s v=""/>
    <s v=""/>
    <s v=""/>
    <s v=""/>
    <s v=""/>
    <s v=""/>
    <s v=""/>
    <s v=""/>
    <s v=""/>
    <s v=""/>
    <s v=""/>
    <s v=""/>
    <s v=""/>
    <s v=""/>
    <s v=""/>
    <s v=""/>
    <s v=""/>
    <s v=""/>
    <s v=""/>
    <s v=""/>
    <s v=""/>
    <n v="1"/>
    <n v="1"/>
    <n v="0"/>
    <n v="0"/>
    <n v="0"/>
    <n v="4"/>
    <n v="3"/>
    <n v="17"/>
    <n v="0"/>
    <n v="0"/>
    <n v="0"/>
    <n v="0"/>
    <n v="0"/>
    <n v="0"/>
    <n v="0"/>
  </r>
  <r>
    <m/>
    <m/>
    <m/>
    <m/>
    <m/>
    <m/>
    <n v="3"/>
    <m/>
    <n v="17"/>
    <m/>
    <n v="1"/>
    <s v="Mortgaged"/>
    <s v="Mortgaged"/>
    <m/>
    <m/>
    <m/>
    <m/>
    <n v="18.73"/>
    <n v="18.73"/>
    <n v="18"/>
    <n v="18"/>
    <n v="1"/>
    <n v="10.3"/>
    <n v="10.3"/>
    <n v="9.75"/>
    <n v="9.75"/>
    <n v="3"/>
    <s v="Other manager (specify): senior support"/>
    <n v="9.4"/>
    <n v="9.4"/>
    <n v="9.15"/>
    <n v="0"/>
    <n v="1"/>
    <s v="Other manager (specify)"/>
    <n v="0"/>
    <n v="0"/>
    <n v="0"/>
    <n v="0"/>
    <n v="0"/>
    <s v="Other manager (specify)"/>
    <n v="0"/>
    <n v="0"/>
    <n v="0"/>
    <n v="0"/>
    <n v="0"/>
    <s v="Care Assistant (specify)"/>
    <n v="9"/>
    <n v="9"/>
    <n v="8.81"/>
    <n v="8.81"/>
    <n v="13"/>
    <s v="Care Assistant (specify grade/role): shift leader"/>
    <n v="9.1999999999999993"/>
    <n v="9.1999999999999993"/>
    <n v="0"/>
    <n v="0"/>
    <n v="4"/>
    <s v="Care Assistant (specify)"/>
    <n v="0"/>
    <n v="0"/>
    <n v="0"/>
    <n v="0"/>
    <n v="0"/>
    <s v="Care Assistant (specify)"/>
    <n v="0"/>
    <n v="0"/>
    <n v="0"/>
    <n v="0"/>
    <n v="0"/>
    <s v="Administrative Officer (please specify)"/>
    <n v="17"/>
    <n v="17"/>
    <n v="16.2"/>
    <n v="16.2"/>
    <n v="1"/>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362"/>
    <n v="0"/>
    <n v="201"/>
    <n v="89"/>
    <n v="0"/>
    <n v="0"/>
    <n v="0"/>
    <n v="0"/>
    <n v="15.27"/>
    <d v="2020-01-01T00:00:00"/>
    <d v="2020-12-31T00:00:00"/>
    <n v="0"/>
    <n v="25583"/>
    <n v="423809"/>
    <n v="35221"/>
    <n v="0"/>
    <n v="3816"/>
    <n v="0"/>
    <n v="0"/>
    <n v="677"/>
    <n v="378"/>
    <n v="0"/>
    <n v="10841"/>
    <n v="0"/>
    <n v="0"/>
    <s v="Food"/>
    <n v="9219"/>
    <s v="Other - please specify"/>
    <n v="0"/>
    <n v="20647"/>
    <n v="5776"/>
    <n v="20814"/>
    <n v="24573"/>
    <n v="0"/>
    <n v="0"/>
    <n v="5768"/>
    <n v="7782"/>
    <s v="Other - please specify"/>
    <n v="0"/>
    <s v="Other - please specify"/>
    <n v="0"/>
    <n v="0"/>
    <n v="19472"/>
    <s v="Other overheads - please specify"/>
    <n v="39529"/>
    <s v="Other overheads - please specify"/>
    <n v="0"/>
    <n v="115007"/>
    <n v="0"/>
    <n v="1066607"/>
    <m/>
    <d v="2021-10-11T14:57:34"/>
    <x v="0"/>
    <n v="17"/>
    <x v="1"/>
    <n v="18.73"/>
    <n v="18.73"/>
    <n v="18"/>
    <n v="18"/>
    <n v="10.3"/>
    <n v="10.3"/>
    <n v="9.75"/>
    <n v="9.75"/>
    <n v="9.4"/>
    <n v="9.4"/>
    <n v="9.15"/>
    <n v="9.15"/>
    <s v=""/>
    <s v=""/>
    <s v=""/>
    <s v=""/>
    <s v=""/>
    <s v=""/>
    <s v=""/>
    <s v=""/>
    <n v="9"/>
    <n v="9"/>
    <n v="8.81"/>
    <n v="8.81"/>
    <n v="9.1999999999999993"/>
    <n v="9.1999999999999993"/>
    <s v=""/>
    <s v=""/>
    <s v=""/>
    <s v=""/>
    <s v=""/>
    <s v=""/>
    <s v=""/>
    <s v=""/>
    <s v=""/>
    <s v=""/>
    <n v="17"/>
    <n v="17"/>
    <n v="16.2"/>
    <n v="16.2"/>
    <s v=""/>
    <s v=""/>
    <s v=""/>
    <s v=""/>
    <s v=""/>
    <s v=""/>
    <s v=""/>
    <s v=""/>
    <s v=""/>
    <s v=""/>
    <s v=""/>
    <s v=""/>
    <s v=""/>
    <s v=""/>
    <s v=""/>
    <s v=""/>
    <s v=""/>
    <s v=""/>
    <s v=""/>
    <s v=""/>
    <n v="18.73"/>
    <n v="18.73"/>
    <n v="18"/>
    <n v="18"/>
    <n v="10.3"/>
    <n v="10.3"/>
    <n v="9.75"/>
    <n v="9.75"/>
    <n v="9.4"/>
    <n v="9.4"/>
    <n v="9.15"/>
    <n v="9.15"/>
    <s v=""/>
    <s v=""/>
    <s v=""/>
    <s v=""/>
    <s v=""/>
    <s v=""/>
    <s v=""/>
    <s v=""/>
    <n v="9"/>
    <n v="9"/>
    <n v="8.81"/>
    <n v="8.81"/>
    <n v="9.1999999999999993"/>
    <n v="9.1999999999999993"/>
    <n v="9.1999999999999993"/>
    <n v="9.1999999999999993"/>
    <s v=""/>
    <s v=""/>
    <s v=""/>
    <s v=""/>
    <s v=""/>
    <s v=""/>
    <s v=""/>
    <s v=""/>
    <n v="17"/>
    <n v="17"/>
    <n v="16.2"/>
    <n v="16.2"/>
    <s v=""/>
    <s v=""/>
    <s v=""/>
    <s v=""/>
    <s v=""/>
    <s v=""/>
    <s v=""/>
    <s v=""/>
    <s v=""/>
    <s v=""/>
    <s v=""/>
    <s v=""/>
    <s v=""/>
    <s v=""/>
    <s v=""/>
    <s v=""/>
    <s v=""/>
    <s v=""/>
    <s v=""/>
    <s v=""/>
    <n v="5"/>
    <n v="17"/>
    <n v="1"/>
    <n v="0"/>
    <n v="23"/>
    <x v="0"/>
    <n v="0"/>
    <n v="652"/>
    <e v="#VALUE!"/>
    <e v="#VALUE!"/>
    <e v="#VALUE!"/>
    <e v="#VALUE!"/>
    <x v="0"/>
    <n v="489106"/>
    <n v="20438"/>
    <n v="85360"/>
    <n v="59001"/>
    <n v="0"/>
    <n v="0"/>
    <n v="0"/>
    <n v="0"/>
    <n v="0"/>
    <n v="0"/>
    <n v="0"/>
    <n v="0"/>
    <n v="0"/>
    <n v="0"/>
    <n v="0"/>
    <n v="0"/>
    <n v="0"/>
    <n v="0"/>
    <n v="0"/>
    <n v="0"/>
    <n v="0"/>
    <n v="0"/>
    <n v="0"/>
    <n v="0"/>
    <n v="0"/>
    <n v="0"/>
    <n v="0"/>
    <n v="0"/>
    <n v="0"/>
    <n v="0"/>
    <n v="0"/>
    <n v="0"/>
    <n v="0"/>
    <n v="0"/>
    <s v=""/>
    <n v="0"/>
    <n v="3"/>
    <x v="0"/>
    <x v="0"/>
    <x v="0"/>
    <x v="0"/>
    <x v="1"/>
    <b v="0"/>
    <b v="1"/>
    <n v="0"/>
    <n v="0"/>
    <n v="1"/>
    <s v=""/>
    <s v=""/>
    <n v="13"/>
    <n v="4"/>
    <s v=""/>
    <s v=""/>
    <n v="0"/>
    <s v=""/>
    <s v=""/>
    <s v=""/>
    <s v=""/>
    <n v="18"/>
    <n v="0"/>
    <n v="0"/>
    <n v="9.9999999999999645E-2"/>
    <s v=""/>
    <s v=""/>
    <n v="6.5"/>
    <n v="1.2000000000000028"/>
    <s v=""/>
    <s v=""/>
    <n v="0"/>
    <s v=""/>
    <s v=""/>
    <s v=""/>
    <s v=""/>
    <b v="0"/>
    <b v="1"/>
    <x v="1"/>
    <n v="0"/>
    <n v="0"/>
    <n v="0"/>
    <n v="0"/>
    <n v="0"/>
    <n v="0"/>
    <n v="1"/>
    <s v=""/>
    <s v=""/>
    <n v="13"/>
    <n v="4"/>
    <s v=""/>
    <s v=""/>
    <n v="0"/>
    <s v=""/>
    <s v=""/>
    <s v=""/>
    <s v=""/>
    <n v="18"/>
    <n v="0"/>
    <n v="0"/>
    <n v="0.5"/>
    <s v=""/>
    <s v=""/>
    <n v="11.700000000000005"/>
    <n v="2.8000000000000043"/>
    <s v=""/>
    <s v=""/>
    <n v="0"/>
    <s v=""/>
    <s v=""/>
    <s v=""/>
    <s v=""/>
    <n v="18.73"/>
    <n v="18.73"/>
    <n v="18"/>
    <n v="18"/>
    <n v="30.900000000000002"/>
    <n v="30.900000000000002"/>
    <n v="29.25"/>
    <n v="29.25"/>
    <n v="9.4"/>
    <n v="9.4"/>
    <n v="9.15"/>
    <n v="9.15"/>
    <s v=""/>
    <s v=""/>
    <s v=""/>
    <s v=""/>
    <s v=""/>
    <s v=""/>
    <s v=""/>
    <s v=""/>
    <n v="117"/>
    <n v="117"/>
    <n v="114.53"/>
    <n v="114.53"/>
    <n v="36.799999999999997"/>
    <n v="36.799999999999997"/>
    <n v="36.799999999999997"/>
    <n v="36.799999999999997"/>
    <s v=""/>
    <s v=""/>
    <s v=""/>
    <s v=""/>
    <s v=""/>
    <s v=""/>
    <s v=""/>
    <s v=""/>
    <n v="17"/>
    <n v="17"/>
    <n v="16.2"/>
    <n v="16.2"/>
    <s v=""/>
    <s v=""/>
    <s v=""/>
    <s v=""/>
    <s v=""/>
    <s v=""/>
    <s v=""/>
    <s v=""/>
    <s v=""/>
    <s v=""/>
    <s v=""/>
    <s v=""/>
    <s v=""/>
    <s v=""/>
    <s v=""/>
    <s v=""/>
    <s v=""/>
    <s v=""/>
    <s v=""/>
    <s v=""/>
    <n v="1"/>
    <n v="3"/>
    <n v="1"/>
    <n v="0"/>
    <n v="0"/>
    <n v="13"/>
    <n v="4"/>
    <n v="0"/>
    <n v="0"/>
    <n v="1"/>
    <n v="0"/>
    <n v="0"/>
    <n v="0"/>
    <n v="0"/>
    <n v="0"/>
  </r>
  <r>
    <m/>
    <m/>
    <m/>
    <m/>
    <m/>
    <m/>
    <n v="4"/>
    <n v="0"/>
    <n v="30"/>
    <n v="0"/>
    <n v="1"/>
    <s v="Leased or Rented"/>
    <s v="Leased or Rented"/>
    <m/>
    <m/>
    <m/>
    <m/>
    <n v="26"/>
    <n v="26"/>
    <n v="25"/>
    <n v="25"/>
    <n v="0.25"/>
    <n v="0"/>
    <n v="0"/>
    <n v="0"/>
    <n v="0"/>
    <n v="0"/>
    <s v="Team Leader"/>
    <n v="11.72"/>
    <n v="11.72"/>
    <n v="11.55"/>
    <n v="11.55"/>
    <n v="4"/>
    <s v="Other manager (specify)"/>
    <n v="0"/>
    <n v="0"/>
    <n v="0"/>
    <n v="0"/>
    <n v="0"/>
    <s v="Other manager (specify)"/>
    <n v="0"/>
    <n v="0"/>
    <n v="0"/>
    <n v="0"/>
    <n v="0"/>
    <s v="Support Workers"/>
    <n v="9.19"/>
    <n v="9.19"/>
    <n v="8.75"/>
    <n v="8.75"/>
    <n v="12.8"/>
    <s v="Care Assistant (specify)"/>
    <n v="0"/>
    <n v="0"/>
    <n v="0"/>
    <n v="0"/>
    <n v="0"/>
    <s v="Care Assistant (specify)"/>
    <n v="0"/>
    <n v="0"/>
    <n v="0"/>
    <n v="0"/>
    <n v="0"/>
    <s v="Care Assistant (specify)"/>
    <n v="0"/>
    <n v="0"/>
    <n v="0"/>
    <n v="0"/>
    <n v="0"/>
    <s v="General Office staff "/>
    <n v="11.72"/>
    <n v="11.72"/>
    <n v="11.55"/>
    <n v="11.55"/>
    <n v="0.53"/>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0"/>
    <n v="587"/>
    <n v="0"/>
    <n v="0"/>
    <n v="0"/>
    <n v="0"/>
    <n v="17"/>
    <n v="0"/>
    <n v="17"/>
    <d v="2019-10-01T00:00:00"/>
    <d v="2020-09-30T00:00:00"/>
    <n v="220100"/>
    <n v="151000"/>
    <n v="3103488"/>
    <n v="76000"/>
    <n v="0"/>
    <n v="0"/>
    <n v="28438"/>
    <n v="0"/>
    <n v="29500"/>
    <n v="15000"/>
    <n v="0"/>
    <n v="27000"/>
    <n v="0"/>
    <n v="12000"/>
    <s v="Client activity and expenses"/>
    <n v="50997"/>
    <s v="Stationery, printing, IT support etc"/>
    <n v="18900"/>
    <n v="12646"/>
    <n v="0"/>
    <n v="22013"/>
    <n v="17600"/>
    <n v="4282"/>
    <n v="0"/>
    <n v="0"/>
    <n v="0"/>
    <s v="Accountancy and professional fees"/>
    <n v="5705"/>
    <s v="Depreciation"/>
    <n v="4800"/>
    <n v="0"/>
    <n v="0"/>
    <s v="General Office expenses, phone and intenet charges etc"/>
    <n v="30857"/>
    <s v="Other overheads - please specify"/>
    <n v="0"/>
    <n v="130972"/>
    <n v="0"/>
    <n v="0"/>
    <m/>
    <d v="2021-10-11T14:57:36"/>
    <x v="2"/>
    <n v="30"/>
    <x v="2"/>
    <n v="26"/>
    <n v="26"/>
    <n v="25"/>
    <n v="25"/>
    <s v=""/>
    <s v=""/>
    <s v=""/>
    <s v=""/>
    <n v="11.72"/>
    <n v="11.72"/>
    <n v="11.55"/>
    <n v="11.55"/>
    <s v=""/>
    <s v=""/>
    <s v=""/>
    <s v=""/>
    <s v=""/>
    <s v=""/>
    <s v=""/>
    <s v=""/>
    <n v="9.19"/>
    <n v="9.19"/>
    <n v="8.75"/>
    <n v="8.75"/>
    <s v=""/>
    <s v=""/>
    <s v=""/>
    <s v=""/>
    <s v=""/>
    <s v=""/>
    <s v=""/>
    <s v=""/>
    <s v=""/>
    <s v=""/>
    <s v=""/>
    <s v=""/>
    <n v="11.72"/>
    <n v="11.72"/>
    <n v="11.55"/>
    <n v="11.55"/>
    <s v=""/>
    <s v=""/>
    <s v=""/>
    <s v=""/>
    <s v=""/>
    <s v=""/>
    <s v=""/>
    <s v=""/>
    <s v=""/>
    <s v=""/>
    <s v=""/>
    <s v=""/>
    <s v=""/>
    <s v=""/>
    <s v=""/>
    <s v=""/>
    <s v=""/>
    <s v=""/>
    <s v=""/>
    <s v=""/>
    <n v="26"/>
    <n v="26"/>
    <n v="25"/>
    <n v="25"/>
    <s v=""/>
    <s v=""/>
    <s v=""/>
    <s v=""/>
    <n v="11.72"/>
    <n v="11.72"/>
    <n v="11.55"/>
    <n v="11.55"/>
    <s v=""/>
    <s v=""/>
    <s v=""/>
    <s v=""/>
    <s v=""/>
    <s v=""/>
    <s v=""/>
    <s v=""/>
    <n v="9.19"/>
    <n v="9.19"/>
    <n v="8.75"/>
    <n v="8.75"/>
    <s v=""/>
    <s v=""/>
    <s v=""/>
    <s v=""/>
    <s v=""/>
    <s v=""/>
    <s v=""/>
    <s v=""/>
    <s v=""/>
    <s v=""/>
    <s v=""/>
    <s v=""/>
    <n v="11.72"/>
    <n v="11.72"/>
    <n v="11.55"/>
    <n v="11.55"/>
    <s v=""/>
    <s v=""/>
    <s v=""/>
    <s v=""/>
    <s v=""/>
    <s v=""/>
    <s v=""/>
    <s v=""/>
    <s v=""/>
    <s v=""/>
    <s v=""/>
    <s v=""/>
    <s v=""/>
    <s v=""/>
    <s v=""/>
    <s v=""/>
    <s v=""/>
    <s v=""/>
    <s v=""/>
    <s v=""/>
    <n v="4.25"/>
    <n v="12.8"/>
    <n v="0.53"/>
    <n v="0"/>
    <n v="17.580000000000002"/>
    <x v="0"/>
    <n v="0"/>
    <n v="587"/>
    <e v="#VALUE!"/>
    <e v="#VALUE!"/>
    <e v="#VALUE!"/>
    <e v="#VALUE!"/>
    <x v="0"/>
    <n v="3388426"/>
    <n v="123897"/>
    <n v="67046"/>
    <n v="30857"/>
    <n v="0.68605179463880051"/>
    <n v="14.100354384370741"/>
    <n v="0.34529759200363469"/>
    <n v="0"/>
    <n v="0"/>
    <n v="0.12920490686051794"/>
    <n v="0"/>
    <n v="0.1340299863698319"/>
    <n v="6.8150840527033171E-2"/>
    <n v="0"/>
    <n v="0.1226715129486597"/>
    <n v="0"/>
    <n v="5.4520672421626531E-2"/>
    <n v="0.23169922762380735"/>
    <n v="8.5870059064061796E-2"/>
    <n v="5.7455701953657429E-2"/>
    <n v="0"/>
    <n v="0.10001363016810541"/>
    <n v="7.996365288505225E-2"/>
    <n v="1.9454793275783734E-2"/>
    <n v="0"/>
    <n v="0"/>
    <n v="0"/>
    <n v="2.5920036347114948E-2"/>
    <n v="2.1808268968650613E-2"/>
    <n v="0"/>
    <n v="0"/>
    <n v="0.14019536574284416"/>
    <n v="0"/>
    <n v="16.402662426169929"/>
    <n v="0.59505679236710585"/>
    <n v="0"/>
    <n v="4"/>
    <x v="1"/>
    <x v="0"/>
    <x v="0"/>
    <x v="0"/>
    <x v="1"/>
    <b v="0"/>
    <b v="1"/>
    <n v="0"/>
    <s v=""/>
    <n v="0"/>
    <s v=""/>
    <s v=""/>
    <n v="12.8"/>
    <s v=""/>
    <s v=""/>
    <s v=""/>
    <n v="0"/>
    <s v=""/>
    <s v=""/>
    <s v=""/>
    <s v=""/>
    <n v="12.8"/>
    <n v="0"/>
    <s v=""/>
    <n v="0"/>
    <s v=""/>
    <s v=""/>
    <n v="3.9680000000000066"/>
    <s v=""/>
    <s v=""/>
    <s v=""/>
    <n v="0"/>
    <s v=""/>
    <s v=""/>
    <s v=""/>
    <s v=""/>
    <b v="1"/>
    <b v="0"/>
    <x v="2"/>
    <n v="15.394938664243526"/>
    <n v="0.56291231258518848"/>
    <n v="0.3046160835983644"/>
    <n v="0.14019536574284416"/>
    <n v="0"/>
    <s v=""/>
    <n v="0"/>
    <s v=""/>
    <s v=""/>
    <n v="12.8"/>
    <s v=""/>
    <s v=""/>
    <s v=""/>
    <n v="0"/>
    <s v=""/>
    <s v=""/>
    <s v=""/>
    <s v=""/>
    <n v="12.8"/>
    <n v="0"/>
    <s v=""/>
    <n v="0"/>
    <s v=""/>
    <s v=""/>
    <n v="9.0880000000000116"/>
    <s v=""/>
    <s v=""/>
    <s v=""/>
    <n v="0"/>
    <s v=""/>
    <s v=""/>
    <s v=""/>
    <s v=""/>
    <n v="6.5"/>
    <n v="6.5"/>
    <n v="6.25"/>
    <n v="6.25"/>
    <s v=""/>
    <s v=""/>
    <s v=""/>
    <s v=""/>
    <n v="46.88"/>
    <n v="46.88"/>
    <n v="46.2"/>
    <n v="46.2"/>
    <s v=""/>
    <s v=""/>
    <s v=""/>
    <s v=""/>
    <s v=""/>
    <s v=""/>
    <s v=""/>
    <s v=""/>
    <n v="117.63200000000001"/>
    <n v="117.63200000000001"/>
    <n v="112"/>
    <n v="112"/>
    <s v=""/>
    <s v=""/>
    <s v=""/>
    <s v=""/>
    <s v=""/>
    <s v=""/>
    <s v=""/>
    <s v=""/>
    <s v=""/>
    <s v=""/>
    <s v=""/>
    <s v=""/>
    <n v="6.2116000000000007"/>
    <n v="6.2116000000000007"/>
    <n v="6.1215000000000011"/>
    <n v="6.1215000000000011"/>
    <s v=""/>
    <s v=""/>
    <s v=""/>
    <s v=""/>
    <s v=""/>
    <s v=""/>
    <s v=""/>
    <s v=""/>
    <s v=""/>
    <s v=""/>
    <s v=""/>
    <s v=""/>
    <s v=""/>
    <s v=""/>
    <s v=""/>
    <s v=""/>
    <s v=""/>
    <s v=""/>
    <s v=""/>
    <s v=""/>
    <n v="0.25"/>
    <n v="0"/>
    <n v="4"/>
    <n v="0"/>
    <n v="0"/>
    <n v="12.8"/>
    <n v="0"/>
    <n v="0"/>
    <n v="0"/>
    <n v="0.53"/>
    <n v="0"/>
    <n v="0"/>
    <n v="0"/>
    <n v="0"/>
    <n v="0"/>
  </r>
  <r>
    <m/>
    <m/>
    <m/>
    <m/>
    <m/>
    <m/>
    <n v="5"/>
    <n v="7"/>
    <n v="0"/>
    <n v="0"/>
    <n v="0"/>
    <s v="Leased or Rented"/>
    <s v="Leased or Rented"/>
    <m/>
    <m/>
    <m/>
    <m/>
    <n v="14"/>
    <n v="14"/>
    <n v="13.5"/>
    <n v="13.5"/>
    <n v="1"/>
    <n v="0"/>
    <n v="0"/>
    <n v="0"/>
    <n v="0"/>
    <n v="0"/>
    <s v="Other manager (specify)"/>
    <n v="0"/>
    <n v="0"/>
    <n v="0"/>
    <n v="0"/>
    <n v="0"/>
    <s v="Other manager (specify)"/>
    <n v="0"/>
    <n v="0"/>
    <n v="0"/>
    <n v="0"/>
    <n v="0"/>
    <s v="Other manager (specify)"/>
    <n v="0"/>
    <n v="0"/>
    <n v="0"/>
    <n v="0"/>
    <n v="0"/>
    <s v="Care Assistant (specify)"/>
    <n v="8.91"/>
    <n v="8.91"/>
    <n v="8.7200000000000006"/>
    <n v="8.7200000000000006"/>
    <n v="10"/>
    <s v="Care Assistant (specify)"/>
    <n v="0"/>
    <n v="0"/>
    <n v="0"/>
    <n v="0"/>
    <n v="0"/>
    <s v="Care Assistant (specify)"/>
    <n v="0"/>
    <n v="0"/>
    <n v="0"/>
    <n v="0"/>
    <n v="0"/>
    <s v="Care Assistant (specify)"/>
    <n v="0"/>
    <n v="0"/>
    <n v="0"/>
    <n v="0"/>
    <n v="0"/>
    <s v="Administrative Officer (specify)"/>
    <n v="9"/>
    <n v="9"/>
    <n v="8.8000000000000007"/>
    <n v="8.8000000000000007"/>
    <n v="1"/>
    <s v="Administrative Officer (specify)"/>
    <n v="0"/>
    <n v="0"/>
    <n v="0"/>
    <n v="0"/>
    <n v="0"/>
    <s v="Administrative Officer (specify)"/>
    <n v="0"/>
    <n v="0"/>
    <n v="0"/>
    <n v="0"/>
    <n v="0"/>
    <s v="Other staff (specify)"/>
    <n v="0"/>
    <n v="0"/>
    <n v="0"/>
    <n v="0"/>
    <n v="0"/>
    <s v="Other staff (specify)"/>
    <n v="0"/>
    <n v="0"/>
    <n v="0"/>
    <n v="0"/>
    <n v="0"/>
    <s v="Other staff (specify)"/>
    <n v="0"/>
    <n v="0"/>
    <n v="0"/>
    <n v="0"/>
    <n v="0"/>
    <n v="0.03"/>
    <n v="165.75"/>
    <n v="359"/>
    <n v="208"/>
    <n v="0"/>
    <n v="0"/>
    <n v="63"/>
    <n v="0"/>
    <n v="0"/>
    <n v="0"/>
    <n v="0"/>
    <n v="0"/>
    <n v="0"/>
    <n v="19"/>
    <n v="18.43"/>
    <n v="15"/>
    <d v="2019-04-01T00:00:00"/>
    <d v="2020-03-31T00:00:00"/>
    <n v="0"/>
    <n v="21460"/>
    <n v="353207"/>
    <n v="0"/>
    <n v="38875"/>
    <n v="0"/>
    <n v="36000"/>
    <n v="1179"/>
    <n v="15544"/>
    <n v="2040"/>
    <n v="0"/>
    <n v="0"/>
    <n v="1747"/>
    <n v="5600"/>
    <s v="Other - please specify"/>
    <n v="0"/>
    <s v="Other - please specify"/>
    <n v="0"/>
    <n v="8144"/>
    <n v="526"/>
    <n v="0"/>
    <n v="23000"/>
    <n v="0"/>
    <n v="2040"/>
    <n v="0"/>
    <n v="0"/>
    <s v="Other - please specify"/>
    <n v="0"/>
    <s v="Other - please specify"/>
    <n v="0"/>
    <n v="0"/>
    <n v="12706"/>
    <s v="Other overheads - please specify"/>
    <n v="0"/>
    <s v="Other overheads - please specify"/>
    <n v="0"/>
    <n v="18667"/>
    <n v="0"/>
    <n v="0"/>
    <m/>
    <d v="2021-10-11T14:57:39"/>
    <x v="1"/>
    <n v="7"/>
    <x v="0"/>
    <n v="14"/>
    <n v="14"/>
    <n v="13.5"/>
    <n v="13.5"/>
    <s v=""/>
    <s v=""/>
    <s v=""/>
    <s v=""/>
    <s v=""/>
    <s v=""/>
    <s v=""/>
    <s v=""/>
    <s v=""/>
    <s v=""/>
    <s v=""/>
    <s v=""/>
    <s v=""/>
    <s v=""/>
    <s v=""/>
    <s v=""/>
    <n v="8.91"/>
    <n v="8.91"/>
    <n v="8.7200000000000006"/>
    <n v="8.7200000000000006"/>
    <s v=""/>
    <s v=""/>
    <s v=""/>
    <s v=""/>
    <s v=""/>
    <s v=""/>
    <s v=""/>
    <s v=""/>
    <s v=""/>
    <s v=""/>
    <s v=""/>
    <s v=""/>
    <n v="9"/>
    <n v="9"/>
    <n v="8.8000000000000007"/>
    <n v="8.8000000000000007"/>
    <s v=""/>
    <s v=""/>
    <s v=""/>
    <s v=""/>
    <s v=""/>
    <s v=""/>
    <s v=""/>
    <s v=""/>
    <s v=""/>
    <s v=""/>
    <s v=""/>
    <s v=""/>
    <s v=""/>
    <s v=""/>
    <s v=""/>
    <s v=""/>
    <s v=""/>
    <s v=""/>
    <s v=""/>
    <s v=""/>
    <n v="14"/>
    <n v="14"/>
    <n v="13.5"/>
    <n v="13.5"/>
    <s v=""/>
    <s v=""/>
    <s v=""/>
    <s v=""/>
    <s v=""/>
    <s v=""/>
    <s v=""/>
    <s v=""/>
    <s v=""/>
    <s v=""/>
    <s v=""/>
    <s v=""/>
    <s v=""/>
    <s v=""/>
    <s v=""/>
    <s v=""/>
    <n v="8.91"/>
    <n v="8.91"/>
    <n v="8.7200000000000006"/>
    <n v="8.7200000000000006"/>
    <s v=""/>
    <s v=""/>
    <s v=""/>
    <s v=""/>
    <s v=""/>
    <s v=""/>
    <s v=""/>
    <s v=""/>
    <s v=""/>
    <s v=""/>
    <s v=""/>
    <s v=""/>
    <n v="9"/>
    <n v="9"/>
    <n v="8.8000000000000007"/>
    <n v="8.8000000000000007"/>
    <s v=""/>
    <s v=""/>
    <s v=""/>
    <s v=""/>
    <s v=""/>
    <s v=""/>
    <s v=""/>
    <s v=""/>
    <s v=""/>
    <s v=""/>
    <s v=""/>
    <s v=""/>
    <s v=""/>
    <s v=""/>
    <s v=""/>
    <s v=""/>
    <s v=""/>
    <s v=""/>
    <s v=""/>
    <s v=""/>
    <n v="1"/>
    <n v="10"/>
    <n v="1"/>
    <n v="0"/>
    <n v="12"/>
    <x v="1"/>
    <n v="795.75"/>
    <n v="0"/>
    <e v="#VALUE!"/>
    <e v="#VALUE!"/>
    <e v="#VALUE!"/>
    <e v="#VALUE!"/>
    <x v="0"/>
    <n v="466265"/>
    <n v="9387"/>
    <n v="33710"/>
    <n v="12706"/>
    <n v="0"/>
    <n v="0"/>
    <n v="0"/>
    <n v="0"/>
    <n v="0"/>
    <n v="0"/>
    <n v="0"/>
    <n v="0"/>
    <n v="0"/>
    <n v="0"/>
    <n v="0"/>
    <n v="0"/>
    <n v="0"/>
    <n v="0"/>
    <n v="0"/>
    <n v="0"/>
    <n v="0"/>
    <n v="0"/>
    <n v="0"/>
    <n v="0"/>
    <n v="0"/>
    <n v="0"/>
    <n v="0"/>
    <n v="0"/>
    <n v="0"/>
    <n v="0"/>
    <n v="0"/>
    <n v="0"/>
    <n v="0"/>
    <n v="0"/>
    <s v=""/>
    <n v="0"/>
    <n v="5"/>
    <x v="1"/>
    <x v="1"/>
    <x v="1"/>
    <x v="1"/>
    <x v="0"/>
    <b v="0"/>
    <b v="1"/>
    <n v="0"/>
    <s v=""/>
    <s v=""/>
    <s v=""/>
    <s v=""/>
    <n v="10"/>
    <s v=""/>
    <s v=""/>
    <s v=""/>
    <n v="1"/>
    <s v=""/>
    <s v=""/>
    <s v=""/>
    <s v=""/>
    <n v="11"/>
    <n v="0"/>
    <s v=""/>
    <s v=""/>
    <s v=""/>
    <s v=""/>
    <n v="5.8999999999999986"/>
    <s v=""/>
    <s v=""/>
    <s v=""/>
    <n v="0.5"/>
    <s v=""/>
    <s v=""/>
    <s v=""/>
    <s v=""/>
    <b v="1"/>
    <b v="1"/>
    <x v="3"/>
    <n v="0"/>
    <n v="0"/>
    <n v="0"/>
    <n v="0"/>
    <n v="0"/>
    <s v=""/>
    <s v=""/>
    <s v=""/>
    <s v=""/>
    <n v="10"/>
    <s v=""/>
    <s v=""/>
    <s v=""/>
    <n v="1"/>
    <s v=""/>
    <s v=""/>
    <s v=""/>
    <s v=""/>
    <n v="11"/>
    <n v="0"/>
    <s v=""/>
    <s v=""/>
    <s v=""/>
    <s v=""/>
    <n v="9.9000000000000021"/>
    <s v=""/>
    <s v=""/>
    <s v=""/>
    <n v="0.90000000000000036"/>
    <s v=""/>
    <s v=""/>
    <s v=""/>
    <s v=""/>
    <n v="14"/>
    <n v="14"/>
    <n v="13.5"/>
    <n v="13.5"/>
    <s v=""/>
    <s v=""/>
    <s v=""/>
    <s v=""/>
    <s v=""/>
    <s v=""/>
    <s v=""/>
    <s v=""/>
    <s v=""/>
    <s v=""/>
    <s v=""/>
    <s v=""/>
    <s v=""/>
    <s v=""/>
    <s v=""/>
    <s v=""/>
    <n v="89.1"/>
    <n v="89.1"/>
    <n v="87.2"/>
    <n v="87.2"/>
    <s v=""/>
    <s v=""/>
    <s v=""/>
    <s v=""/>
    <s v=""/>
    <s v=""/>
    <s v=""/>
    <s v=""/>
    <s v=""/>
    <s v=""/>
    <s v=""/>
    <s v=""/>
    <n v="9"/>
    <n v="9"/>
    <n v="8.8000000000000007"/>
    <n v="8.8000000000000007"/>
    <s v=""/>
    <s v=""/>
    <s v=""/>
    <s v=""/>
    <s v=""/>
    <s v=""/>
    <s v=""/>
    <s v=""/>
    <s v=""/>
    <s v=""/>
    <s v=""/>
    <s v=""/>
    <s v=""/>
    <s v=""/>
    <s v=""/>
    <s v=""/>
    <s v=""/>
    <s v=""/>
    <s v=""/>
    <s v=""/>
    <n v="1"/>
    <n v="0"/>
    <n v="0"/>
    <n v="0"/>
    <n v="0"/>
    <n v="10"/>
    <n v="0"/>
    <n v="0"/>
    <n v="0"/>
    <n v="1"/>
    <n v="0"/>
    <n v="0"/>
    <n v="0"/>
    <n v="0"/>
    <n v="0"/>
  </r>
  <r>
    <m/>
    <m/>
    <m/>
    <m/>
    <m/>
    <m/>
    <n v="6"/>
    <n v="48"/>
    <n v="0"/>
    <n v="1"/>
    <n v="0"/>
    <s v="Owned outright"/>
    <s v="Owned outright"/>
    <m/>
    <m/>
    <m/>
    <m/>
    <n v="14.93"/>
    <n v="14.93"/>
    <n v="14.64"/>
    <n v="14.64"/>
    <n v="1"/>
    <n v="12.72"/>
    <n v="12.72"/>
    <n v="12.47"/>
    <n v="12.47"/>
    <n v="1"/>
    <m/>
    <n v="0"/>
    <n v="0"/>
    <n v="0"/>
    <n v="0"/>
    <n v="0"/>
    <m/>
    <n v="0"/>
    <n v="0"/>
    <n v="0"/>
    <n v="0"/>
    <n v="0"/>
    <m/>
    <n v="0"/>
    <n v="0"/>
    <n v="0"/>
    <n v="0"/>
    <n v="0"/>
    <s v="Care Assistant"/>
    <n v="8.91"/>
    <n v="8.91"/>
    <n v="8.7200000000000006"/>
    <n v="8.7200000000000006"/>
    <n v="10"/>
    <m/>
    <n v="0"/>
    <n v="0"/>
    <n v="0"/>
    <n v="0"/>
    <n v="0"/>
    <m/>
    <n v="0"/>
    <n v="0"/>
    <n v="0"/>
    <n v="0"/>
    <n v="0"/>
    <m/>
    <n v="0"/>
    <n v="0"/>
    <n v="0"/>
    <n v="0"/>
    <n v="0"/>
    <m/>
    <n v="0"/>
    <n v="0"/>
    <n v="0"/>
    <n v="0"/>
    <n v="0"/>
    <m/>
    <n v="0"/>
    <n v="0"/>
    <n v="0"/>
    <n v="0"/>
    <n v="0"/>
    <m/>
    <n v="0"/>
    <n v="0"/>
    <n v="0"/>
    <n v="0"/>
    <n v="0"/>
    <m/>
    <n v="0"/>
    <n v="0"/>
    <n v="0"/>
    <n v="0"/>
    <n v="0"/>
    <m/>
    <n v="0"/>
    <n v="0"/>
    <n v="0"/>
    <n v="0"/>
    <n v="0"/>
    <m/>
    <n v="0"/>
    <n v="0"/>
    <n v="0"/>
    <n v="0"/>
    <n v="0"/>
    <n v="0.03"/>
    <n v="155.75"/>
    <n v="0"/>
    <n v="24"/>
    <n v="0"/>
    <n v="274.75"/>
    <n v="4"/>
    <n v="0"/>
    <n v="0"/>
    <n v="0"/>
    <n v="0"/>
    <n v="0"/>
    <n v="0"/>
    <n v="15.58"/>
    <n v="15.58"/>
    <n v="15.58"/>
    <d v="2020-04-01T00:00:00"/>
    <d v="2021-03-31T00:00:00"/>
    <n v="15764"/>
    <n v="63227.61"/>
    <n v="232624.23"/>
    <n v="0"/>
    <n v="0"/>
    <n v="0"/>
    <n v="4437.0600000000004"/>
    <n v="0"/>
    <n v="0"/>
    <n v="910"/>
    <n v="0"/>
    <n v="1244.33"/>
    <n v="0"/>
    <n v="558.04"/>
    <s v="Other - please specify"/>
    <n v="0"/>
    <s v="Other - please specify"/>
    <n v="0"/>
    <n v="795.08"/>
    <n v="0"/>
    <n v="0"/>
    <n v="513.39"/>
    <n v="0"/>
    <n v="0"/>
    <n v="0"/>
    <n v="0"/>
    <s v="Other - please specify"/>
    <n v="0"/>
    <s v="Other - please specify"/>
    <n v="0"/>
    <n v="47960.04"/>
    <n v="8555.14"/>
    <s v="Other overheads - please specify"/>
    <n v="2892"/>
    <s v="Other overheads - please specify"/>
    <n v="0"/>
    <m/>
    <n v="0"/>
    <n v="0"/>
    <m/>
    <d v="2021-10-11T14:57:41"/>
    <x v="0"/>
    <n v="48"/>
    <x v="3"/>
    <n v="14.93"/>
    <n v="14.93"/>
    <n v="14.64"/>
    <n v="14.64"/>
    <n v="12.72"/>
    <n v="12.72"/>
    <n v="12.47"/>
    <n v="12.47"/>
    <s v=""/>
    <s v=""/>
    <s v=""/>
    <s v=""/>
    <s v=""/>
    <s v=""/>
    <s v=""/>
    <s v=""/>
    <s v=""/>
    <s v=""/>
    <s v=""/>
    <s v=""/>
    <n v="8.91"/>
    <n v="8.91"/>
    <n v="8.7200000000000006"/>
    <n v="8.7200000000000006"/>
    <s v=""/>
    <s v=""/>
    <s v=""/>
    <s v=""/>
    <s v=""/>
    <s v=""/>
    <s v=""/>
    <s v=""/>
    <s v=""/>
    <s v=""/>
    <s v=""/>
    <s v=""/>
    <s v=""/>
    <s v=""/>
    <s v=""/>
    <s v=""/>
    <s v=""/>
    <s v=""/>
    <s v=""/>
    <s v=""/>
    <s v=""/>
    <s v=""/>
    <s v=""/>
    <s v=""/>
    <s v=""/>
    <s v=""/>
    <s v=""/>
    <s v=""/>
    <s v=""/>
    <s v=""/>
    <s v=""/>
    <s v=""/>
    <s v=""/>
    <s v=""/>
    <s v=""/>
    <s v=""/>
    <n v="14.93"/>
    <n v="14.93"/>
    <n v="14.64"/>
    <n v="14.64"/>
    <n v="12.72"/>
    <n v="12.72"/>
    <n v="12.47"/>
    <n v="12.47"/>
    <s v=""/>
    <s v=""/>
    <s v=""/>
    <s v=""/>
    <s v=""/>
    <s v=""/>
    <s v=""/>
    <s v=""/>
    <s v=""/>
    <s v=""/>
    <s v=""/>
    <s v=""/>
    <n v="8.91"/>
    <n v="8.91"/>
    <n v="8.7200000000000006"/>
    <n v="8.7200000000000006"/>
    <s v=""/>
    <s v=""/>
    <s v=""/>
    <s v=""/>
    <s v=""/>
    <s v=""/>
    <s v=""/>
    <s v=""/>
    <s v=""/>
    <s v=""/>
    <s v=""/>
    <s v=""/>
    <s v=""/>
    <s v=""/>
    <s v=""/>
    <s v=""/>
    <s v=""/>
    <s v=""/>
    <s v=""/>
    <s v=""/>
    <s v=""/>
    <s v=""/>
    <s v=""/>
    <s v=""/>
    <s v=""/>
    <s v=""/>
    <s v=""/>
    <s v=""/>
    <s v=""/>
    <s v=""/>
    <s v=""/>
    <s v=""/>
    <s v=""/>
    <s v=""/>
    <s v=""/>
    <s v=""/>
    <n v="2"/>
    <n v="10"/>
    <n v="0"/>
    <n v="0"/>
    <n v="12"/>
    <x v="2"/>
    <n v="458.5"/>
    <n v="0"/>
    <e v="#VALUE!"/>
    <e v="#VALUE!"/>
    <e v="#VALUE!"/>
    <e v="#VALUE!"/>
    <x v="0"/>
    <n v="300288.90000000002"/>
    <n v="2712.37"/>
    <n v="1308.47"/>
    <n v="59407.18"/>
    <n v="4.0108861963968536"/>
    <n v="14.756675336209085"/>
    <n v="0"/>
    <n v="0"/>
    <n v="0"/>
    <n v="0.28146790154783052"/>
    <n v="0"/>
    <n v="0"/>
    <n v="5.772646536412078E-2"/>
    <n v="0"/>
    <n v="7.8934914996193858E-2"/>
    <n v="0"/>
    <n v="3.5399644760213143E-2"/>
    <n v="0"/>
    <n v="0"/>
    <n v="5.0436437452423245E-2"/>
    <n v="0"/>
    <n v="0"/>
    <n v="3.2567241816797765E-2"/>
    <n v="0"/>
    <n v="0"/>
    <n v="0"/>
    <n v="0"/>
    <n v="0"/>
    <n v="0"/>
    <n v="3.0423775691448873"/>
    <n v="0.54270109109363107"/>
    <n v="0.18345597564070032"/>
    <n v="0"/>
    <n v="23.072628774422729"/>
    <s v=""/>
    <n v="0"/>
    <n v="6"/>
    <x v="0"/>
    <x v="1"/>
    <x v="1"/>
    <x v="1"/>
    <x v="0"/>
    <b v="1"/>
    <b v="1"/>
    <n v="0"/>
    <n v="0"/>
    <s v=""/>
    <s v=""/>
    <s v=""/>
    <n v="10"/>
    <s v=""/>
    <s v=""/>
    <s v=""/>
    <s v=""/>
    <s v=""/>
    <s v=""/>
    <s v=""/>
    <s v=""/>
    <n v="10"/>
    <n v="0"/>
    <n v="0"/>
    <s v=""/>
    <s v=""/>
    <s v=""/>
    <n v="5.8999999999999986"/>
    <s v=""/>
    <s v=""/>
    <s v=""/>
    <s v=""/>
    <s v=""/>
    <s v=""/>
    <s v=""/>
    <s v=""/>
    <b v="0"/>
    <b v="1"/>
    <x v="1"/>
    <n v="19.04902943415377"/>
    <n v="0.17206102512052779"/>
    <n v="8.3003679269221003E-2"/>
    <n v="3.7685346358792184"/>
    <n v="0"/>
    <n v="0"/>
    <s v=""/>
    <s v=""/>
    <s v=""/>
    <n v="10"/>
    <s v=""/>
    <s v=""/>
    <s v=""/>
    <s v=""/>
    <s v=""/>
    <s v=""/>
    <s v=""/>
    <s v=""/>
    <n v="10"/>
    <n v="0"/>
    <n v="0"/>
    <s v=""/>
    <s v=""/>
    <s v=""/>
    <n v="9.9000000000000021"/>
    <s v=""/>
    <s v=""/>
    <s v=""/>
    <s v=""/>
    <s v=""/>
    <s v=""/>
    <s v=""/>
    <s v=""/>
    <n v="14.93"/>
    <n v="14.93"/>
    <n v="14.64"/>
    <n v="14.64"/>
    <n v="12.72"/>
    <n v="12.72"/>
    <n v="12.47"/>
    <n v="12.47"/>
    <s v=""/>
    <s v=""/>
    <s v=""/>
    <s v=""/>
    <s v=""/>
    <s v=""/>
    <s v=""/>
    <s v=""/>
    <s v=""/>
    <s v=""/>
    <s v=""/>
    <s v=""/>
    <n v="89.1"/>
    <n v="89.1"/>
    <n v="87.2"/>
    <n v="87.2"/>
    <s v=""/>
    <s v=""/>
    <s v=""/>
    <s v=""/>
    <s v=""/>
    <s v=""/>
    <s v=""/>
    <s v=""/>
    <s v=""/>
    <s v=""/>
    <s v=""/>
    <s v=""/>
    <s v=""/>
    <s v=""/>
    <s v=""/>
    <s v=""/>
    <s v=""/>
    <s v=""/>
    <s v=""/>
    <s v=""/>
    <s v=""/>
    <s v=""/>
    <s v=""/>
    <s v=""/>
    <s v=""/>
    <s v=""/>
    <s v=""/>
    <s v=""/>
    <s v=""/>
    <s v=""/>
    <s v=""/>
    <s v=""/>
    <s v=""/>
    <s v=""/>
    <s v=""/>
    <s v=""/>
    <n v="1"/>
    <n v="1"/>
    <n v="0"/>
    <n v="0"/>
    <n v="0"/>
    <n v="10"/>
    <n v="0"/>
    <n v="0"/>
    <n v="0"/>
    <n v="0"/>
    <n v="0"/>
    <n v="0"/>
    <n v="0"/>
    <n v="0"/>
    <n v="0"/>
  </r>
  <r>
    <m/>
    <m/>
    <m/>
    <m/>
    <m/>
    <m/>
    <n v="7"/>
    <n v="12"/>
    <n v="51"/>
    <n v="0.18"/>
    <n v="0.72"/>
    <s v="Leased or Rented"/>
    <s v="Leased or Rented"/>
    <m/>
    <m/>
    <m/>
    <m/>
    <n v="20.82"/>
    <n v="20.82"/>
    <n v="20.82"/>
    <n v="20.82"/>
    <n v="1"/>
    <n v="20.82"/>
    <n v="20.82"/>
    <n v="20.82"/>
    <n v="20.82"/>
    <n v="1"/>
    <s v="Other manager (team leader)"/>
    <n v="0"/>
    <n v="10.01"/>
    <n v="0"/>
    <n v="10.01"/>
    <n v="8"/>
    <s v="Finance Officer"/>
    <n v="20.82"/>
    <n v="20.82"/>
    <n v="20.82"/>
    <n v="20.82"/>
    <n v="1"/>
    <s v="Other manager (service leads)"/>
    <n v="0"/>
    <n v="14.35"/>
    <n v="0"/>
    <n v="0"/>
    <n v="2"/>
    <s v="Care Assistant (senior)"/>
    <n v="0"/>
    <n v="9.41"/>
    <n v="0"/>
    <n v="9.2200000000000006"/>
    <n v="63"/>
    <s v="Care Assistant (as per national minimum wage)"/>
    <n v="0"/>
    <n v="8.91"/>
    <n v="0"/>
    <n v="8.7200000000000006"/>
    <n v="48.5"/>
    <s v="Care Assistant (as per national minimum wage)"/>
    <n v="0"/>
    <n v="8.36"/>
    <n v="0"/>
    <n v="8.1999999999999993"/>
    <n v="42.5"/>
    <s v="Care Assistant (as per national minimum wage)"/>
    <n v="0"/>
    <n v="6.56"/>
    <n v="0"/>
    <n v="6.45"/>
    <n v="1"/>
    <s v="Administrative Officer (reception)"/>
    <n v="0"/>
    <n v="8.91"/>
    <n v="0"/>
    <n v="0"/>
    <n v="1"/>
    <s v="Administrative Officer (recruitment "/>
    <n v="0"/>
    <n v="11.28"/>
    <n v="0"/>
    <n v="0"/>
    <n v="1"/>
    <s v="Administrative Officer (reception)"/>
    <n v="0"/>
    <n v="6.56"/>
    <n v="0"/>
    <n v="0"/>
    <n v="1"/>
    <s v="Other staff (cleaner)"/>
    <n v="0"/>
    <n v="8.91"/>
    <n v="0"/>
    <n v="0"/>
    <n v="1"/>
    <s v="Other staff (recruiment)"/>
    <n v="0"/>
    <n v="8.91"/>
    <n v="0"/>
    <n v="0"/>
    <n v="2"/>
    <s v="Other staff (trainers)"/>
    <n v="0"/>
    <n v="14.1"/>
    <n v="0"/>
    <n v="11.24"/>
    <n v="2"/>
    <n v="0.03"/>
    <n v="262"/>
    <n v="271"/>
    <n v="276.5"/>
    <n v="0"/>
    <n v="55"/>
    <n v="0"/>
    <n v="438"/>
    <n v="1316.5"/>
    <n v="526"/>
    <n v="624"/>
    <n v="399"/>
    <n v="0"/>
    <n v="0"/>
    <n v="0"/>
    <n v="0"/>
    <d v="2020-01-01T00:00:00"/>
    <d v="2020-12-31T00:00:00"/>
    <n v="189645"/>
    <n v="271640.89"/>
    <n v="1802120.74"/>
    <n v="24022.71"/>
    <n v="0"/>
    <n v="0"/>
    <n v="12267.13"/>
    <n v="5728.11"/>
    <n v="69663.009999999995"/>
    <n v="12166.43"/>
    <n v="0"/>
    <n v="16301.2"/>
    <n v="3636"/>
    <n v="17267.38"/>
    <s v="Other - please specify"/>
    <n v="0"/>
    <s v="Other - please specify"/>
    <n v="0"/>
    <n v="8868.6299999999992"/>
    <n v="14249.08"/>
    <n v="2600.54"/>
    <n v="54517.31"/>
    <n v="2351.5500000000002"/>
    <n v="55.93"/>
    <n v="8527.4599999999991"/>
    <n v="2078.67"/>
    <s v="Printing &amp; Stationery"/>
    <n v="5022.45"/>
    <s v="Other - please specify"/>
    <n v="0"/>
    <n v="0"/>
    <n v="14039"/>
    <s v="Depreciation"/>
    <n v="20731"/>
    <s v="Entertainment"/>
    <n v="5048.4799999999996"/>
    <n v="425459"/>
    <n v="0"/>
    <n v="0"/>
    <m/>
    <d v="2021-10-11T14:57:44"/>
    <x v="0"/>
    <n v="63"/>
    <x v="4"/>
    <n v="20.82"/>
    <n v="20.82"/>
    <n v="20.82"/>
    <n v="20.82"/>
    <n v="20.82"/>
    <n v="20.82"/>
    <n v="20.82"/>
    <n v="20.82"/>
    <n v="10.01"/>
    <n v="10.01"/>
    <n v="10.01"/>
    <n v="10.01"/>
    <n v="20.82"/>
    <n v="20.82"/>
    <n v="20.82"/>
    <n v="20.82"/>
    <n v="14.35"/>
    <n v="14.35"/>
    <s v=""/>
    <s v=""/>
    <n v="9.41"/>
    <n v="9.41"/>
    <n v="9.2200000000000006"/>
    <n v="9.2200000000000006"/>
    <n v="8.91"/>
    <n v="8.91"/>
    <n v="8.7200000000000006"/>
    <n v="8.7200000000000006"/>
    <n v="8.36"/>
    <n v="8.36"/>
    <n v="8.1999999999999993"/>
    <n v="8.1999999999999993"/>
    <n v="6.56"/>
    <n v="6.56"/>
    <n v="6.45"/>
    <n v="6.45"/>
    <n v="8.91"/>
    <n v="8.91"/>
    <s v=""/>
    <s v=""/>
    <n v="11.28"/>
    <n v="11.28"/>
    <s v=""/>
    <s v=""/>
    <n v="6.56"/>
    <n v="6.56"/>
    <s v=""/>
    <s v=""/>
    <n v="8.91"/>
    <n v="8.91"/>
    <s v=""/>
    <s v=""/>
    <n v="8.91"/>
    <n v="8.91"/>
    <s v=""/>
    <s v=""/>
    <n v="14.1"/>
    <n v="14.1"/>
    <n v="11.24"/>
    <n v="11.24"/>
    <n v="20.82"/>
    <n v="20.82"/>
    <n v="20.82"/>
    <n v="20.82"/>
    <n v="20.82"/>
    <n v="20.82"/>
    <n v="20.82"/>
    <n v="20.82"/>
    <n v="10.01"/>
    <n v="10.01"/>
    <n v="10.01"/>
    <n v="10.01"/>
    <n v="20.82"/>
    <n v="20.82"/>
    <n v="20.82"/>
    <n v="20.82"/>
    <n v="14.35"/>
    <n v="14.35"/>
    <n v="14.35"/>
    <n v="14.35"/>
    <n v="9.41"/>
    <n v="9.41"/>
    <n v="9.2200000000000006"/>
    <n v="9.2200000000000006"/>
    <n v="8.91"/>
    <n v="8.91"/>
    <n v="8.7200000000000006"/>
    <n v="8.7200000000000006"/>
    <n v="8.36"/>
    <n v="8.36"/>
    <n v="8.1999999999999993"/>
    <n v="8.1999999999999993"/>
    <n v="6.56"/>
    <n v="6.56"/>
    <n v="6.45"/>
    <n v="6.45"/>
    <n v="8.91"/>
    <n v="8.91"/>
    <n v="8.91"/>
    <n v="8.91"/>
    <n v="11.28"/>
    <n v="11.28"/>
    <n v="11.28"/>
    <n v="11.28"/>
    <n v="6.56"/>
    <n v="6.56"/>
    <n v="6.56"/>
    <n v="6.56"/>
    <n v="8.91"/>
    <n v="8.91"/>
    <n v="8.91"/>
    <n v="8.91"/>
    <n v="8.91"/>
    <n v="8.91"/>
    <n v="8.91"/>
    <n v="8.91"/>
    <n v="14.1"/>
    <n v="14.1"/>
    <n v="11.24"/>
    <n v="11.24"/>
    <n v="13"/>
    <n v="155"/>
    <n v="2"/>
    <n v="5"/>
    <n v="175"/>
    <x v="0"/>
    <n v="864.5"/>
    <n v="3303.5"/>
    <e v="#VALUE!"/>
    <e v="#VALUE!"/>
    <n v="171.23999999999998"/>
    <n v="171.23999999999998"/>
    <x v="0"/>
    <n v="2185442.5899999994"/>
    <n v="49371.01"/>
    <n v="98271.62"/>
    <n v="39818.479999999996"/>
    <n v="1.4323651559492738"/>
    <n v="9.5026008595006459"/>
    <n v="0.12667199240686544"/>
    <n v="0"/>
    <n v="0"/>
    <n v="6.4684700361201192E-2"/>
    <n v="3.0204381871391281E-2"/>
    <n v="0.36733375517414113"/>
    <n v="6.4153708244351293E-2"/>
    <n v="0"/>
    <n v="8.5956392206491081E-2"/>
    <n v="1.9172664715652932E-2"/>
    <n v="9.1051069102797338E-2"/>
    <n v="0"/>
    <n v="0"/>
    <n v="4.6764375543779164E-2"/>
    <n v="7.5135542724564311E-2"/>
    <n v="1.3712673679770096E-2"/>
    <n v="0.28747032613567453"/>
    <n v="1.2399746895515306E-2"/>
    <n v="2.9491945477075587E-4"/>
    <n v="4.4965382688707846E-2"/>
    <n v="1.0960847900023728E-2"/>
    <n v="2.6483429565767616E-2"/>
    <n v="0"/>
    <n v="0"/>
    <n v="7.4027788763215488E-2"/>
    <n v="0.10931477233778902"/>
    <n v="2.6620686018613723E-2"/>
    <n v="12.512345171240998"/>
    <n v="2.2434496032059901"/>
    <n v="0"/>
    <n v="7"/>
    <x v="0"/>
    <x v="1"/>
    <x v="0"/>
    <x v="1"/>
    <x v="1"/>
    <b v="0"/>
    <b v="1"/>
    <n v="0"/>
    <n v="0"/>
    <n v="0"/>
    <n v="0"/>
    <n v="0"/>
    <n v="63"/>
    <n v="48.5"/>
    <n v="42.5"/>
    <n v="1"/>
    <n v="1"/>
    <n v="0"/>
    <n v="1"/>
    <n v="2"/>
    <n v="0"/>
    <n v="159"/>
    <n v="0"/>
    <n v="0"/>
    <n v="0"/>
    <n v="0"/>
    <n v="0"/>
    <n v="5.669999999999991"/>
    <n v="28.614999999999995"/>
    <n v="48.450000000000024"/>
    <n v="2.9400000000000004"/>
    <n v="0.58999999999999986"/>
    <n v="0"/>
    <n v="0.58999999999999986"/>
    <n v="1.1799999999999997"/>
    <n v="0"/>
    <b v="1"/>
    <b v="1"/>
    <x v="3"/>
    <n v="11.523860845263519"/>
    <n v="0.26033383426929269"/>
    <n v="0.51818724458857346"/>
    <n v="0.20996324711961822"/>
    <n v="0"/>
    <n v="0"/>
    <n v="0"/>
    <n v="0"/>
    <n v="0"/>
    <n v="63"/>
    <n v="48.5"/>
    <n v="42.5"/>
    <n v="1"/>
    <n v="1"/>
    <n v="0"/>
    <n v="1"/>
    <n v="2"/>
    <n v="0"/>
    <n v="159"/>
    <n v="0"/>
    <n v="0"/>
    <n v="0"/>
    <n v="0"/>
    <n v="0"/>
    <n v="30.870000000000012"/>
    <n v="48.015000000000008"/>
    <n v="65.450000000000045"/>
    <n v="3.3400000000000007"/>
    <n v="0.99000000000000021"/>
    <n v="0"/>
    <n v="0.99000000000000021"/>
    <n v="1.9800000000000004"/>
    <n v="0"/>
    <n v="20.82"/>
    <n v="20.82"/>
    <n v="20.82"/>
    <n v="20.82"/>
    <n v="20.82"/>
    <n v="20.82"/>
    <n v="20.82"/>
    <n v="20.82"/>
    <n v="80.08"/>
    <n v="80.08"/>
    <n v="80.08"/>
    <n v="80.08"/>
    <n v="20.82"/>
    <n v="20.82"/>
    <n v="20.82"/>
    <n v="20.82"/>
    <n v="28.7"/>
    <n v="28.7"/>
    <n v="28.7"/>
    <n v="28.7"/>
    <n v="592.83000000000004"/>
    <n v="592.83000000000004"/>
    <n v="580.86"/>
    <n v="580.86"/>
    <n v="432.13499999999999"/>
    <n v="432.13499999999999"/>
    <n v="422.92"/>
    <n v="422.92"/>
    <n v="355.29999999999995"/>
    <n v="355.29999999999995"/>
    <n v="348.49999999999994"/>
    <n v="348.49999999999994"/>
    <n v="6.56"/>
    <n v="6.56"/>
    <n v="6.45"/>
    <n v="6.45"/>
    <n v="8.91"/>
    <n v="8.91"/>
    <n v="8.91"/>
    <n v="8.91"/>
    <n v="11.28"/>
    <n v="11.28"/>
    <n v="11.28"/>
    <n v="11.28"/>
    <n v="6.56"/>
    <n v="6.56"/>
    <n v="6.56"/>
    <n v="6.56"/>
    <n v="8.91"/>
    <n v="8.91"/>
    <n v="8.91"/>
    <n v="8.91"/>
    <n v="17.82"/>
    <n v="17.82"/>
    <n v="17.82"/>
    <n v="17.82"/>
    <n v="28.2"/>
    <n v="28.2"/>
    <n v="22.48"/>
    <n v="22.48"/>
    <n v="1"/>
    <n v="1"/>
    <n v="8"/>
    <n v="1"/>
    <n v="2"/>
    <n v="63"/>
    <n v="48.5"/>
    <n v="42.5"/>
    <n v="1"/>
    <n v="1"/>
    <n v="1"/>
    <n v="1"/>
    <n v="1"/>
    <n v="2"/>
    <n v="2"/>
  </r>
  <r>
    <m/>
    <m/>
    <m/>
    <m/>
    <m/>
    <m/>
    <n v="8"/>
    <n v="13"/>
    <n v="9"/>
    <n v="0.22"/>
    <n v="0.78"/>
    <s v="Leased or Rented"/>
    <s v="Leased or Rented"/>
    <m/>
    <m/>
    <m/>
    <m/>
    <n v="25.64"/>
    <n v="0"/>
    <n v="25.64"/>
    <n v="0"/>
    <n v="1"/>
    <n v="20.149999999999999"/>
    <n v="0"/>
    <n v="20.149999999999999"/>
    <n v="0"/>
    <n v="1"/>
    <s v="Other manager (specify)"/>
    <n v="10.63"/>
    <n v="0"/>
    <n v="10.19"/>
    <n v="0"/>
    <n v="1"/>
    <s v="Other manager (specify)"/>
    <n v="10.93"/>
    <n v="0"/>
    <n v="10.49"/>
    <n v="0"/>
    <n v="1"/>
    <s v="Other manager (specify)"/>
    <n v="11.23"/>
    <n v="0"/>
    <n v="10.79"/>
    <n v="0"/>
    <n v="0"/>
    <s v="Care Assistant (specify)"/>
    <n v="9.16"/>
    <n v="0"/>
    <n v="8.7200000000000006"/>
    <n v="0"/>
    <n v="9"/>
    <s v="Care Assistant (specify)"/>
    <n v="9.31"/>
    <n v="0"/>
    <n v="8.8699999999999992"/>
    <n v="0"/>
    <n v="4"/>
    <s v="Care Assistant (specify)"/>
    <n v="9.73"/>
    <n v="0"/>
    <n v="9.2899999999999991"/>
    <n v="0"/>
    <n v="13"/>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173.5"/>
    <n v="0"/>
    <n v="0"/>
    <n v="0"/>
    <n v="0"/>
    <n v="206.5"/>
    <n v="404"/>
    <n v="0"/>
    <n v="0"/>
    <n v="0"/>
    <n v="0"/>
    <n v="16"/>
    <n v="0"/>
    <n v="16"/>
    <d v="2020-04-01T00:00:00"/>
    <d v="2021-03-31T00:00:00"/>
    <n v="40768"/>
    <n v="0"/>
    <n v="484568"/>
    <n v="0"/>
    <n v="0"/>
    <n v="0"/>
    <n v="6419"/>
    <n v="0"/>
    <n v="0"/>
    <n v="460"/>
    <n v="1519"/>
    <n v="4629"/>
    <n v="0"/>
    <n v="3815"/>
    <s v="Other - please specify"/>
    <n v="0"/>
    <s v="Other - please specify"/>
    <n v="0"/>
    <n v="5913"/>
    <n v="3842"/>
    <n v="8308"/>
    <n v="34488"/>
    <n v="0"/>
    <n v="0"/>
    <n v="0"/>
    <n v="0"/>
    <s v="Other - please specify Office"/>
    <n v="9158"/>
    <s v="Other - please specify Professional"/>
    <n v="4379"/>
    <n v="46450"/>
    <n v="0"/>
    <s v="Other overheads - please specify"/>
    <n v="0"/>
    <s v="Other overheads - please specify"/>
    <n v="0"/>
    <n v="61395"/>
    <n v="0"/>
    <n v="0"/>
    <m/>
    <d v="2021-10-11T14:57:46"/>
    <x v="3"/>
    <n v="22"/>
    <x v="2"/>
    <n v="25.64"/>
    <n v="25.64"/>
    <n v="25.64"/>
    <n v="25.64"/>
    <n v="20.149999999999999"/>
    <s v=""/>
    <n v="20.149999999999999"/>
    <n v="20.149999999999999"/>
    <n v="10.63"/>
    <n v="10.63"/>
    <n v="10.19"/>
    <n v="10.19"/>
    <n v="10.93"/>
    <n v="10.93"/>
    <n v="10.49"/>
    <n v="10.49"/>
    <n v="11.23"/>
    <n v="11.23"/>
    <n v="10.79"/>
    <n v="10.79"/>
    <n v="9.16"/>
    <n v="9.16"/>
    <n v="8.7200000000000006"/>
    <n v="8.7200000000000006"/>
    <n v="9.31"/>
    <n v="9.31"/>
    <n v="8.8699999999999992"/>
    <n v="8.8699999999999992"/>
    <n v="9.73"/>
    <n v="9.73"/>
    <n v="9.2899999999999991"/>
    <n v="9.2899999999999991"/>
    <s v=""/>
    <s v=""/>
    <s v=""/>
    <s v=""/>
    <s v=""/>
    <s v=""/>
    <s v=""/>
    <s v=""/>
    <s v=""/>
    <s v=""/>
    <s v=""/>
    <s v=""/>
    <s v=""/>
    <s v=""/>
    <s v=""/>
    <s v=""/>
    <s v=""/>
    <s v=""/>
    <s v=""/>
    <s v=""/>
    <s v=""/>
    <s v=""/>
    <s v=""/>
    <s v=""/>
    <s v=""/>
    <s v=""/>
    <s v=""/>
    <s v=""/>
    <n v="25.64"/>
    <n v="25.64"/>
    <n v="25.64"/>
    <n v="25.64"/>
    <n v="20.149999999999999"/>
    <n v="20.149999999999999"/>
    <n v="20.149999999999999"/>
    <n v="20.149999999999999"/>
    <n v="10.63"/>
    <n v="10.63"/>
    <n v="10.19"/>
    <n v="10.19"/>
    <n v="10.93"/>
    <n v="10.93"/>
    <n v="10.49"/>
    <n v="10.49"/>
    <n v="11.23"/>
    <n v="11.23"/>
    <n v="10.79"/>
    <n v="10.79"/>
    <n v="9.16"/>
    <n v="9.16"/>
    <n v="8.7200000000000006"/>
    <n v="8.7200000000000006"/>
    <n v="9.31"/>
    <n v="9.31"/>
    <n v="8.8699999999999992"/>
    <n v="8.8699999999999992"/>
    <n v="9.73"/>
    <n v="9.73"/>
    <n v="9.2899999999999991"/>
    <n v="9.2899999999999991"/>
    <s v=""/>
    <s v=""/>
    <s v=""/>
    <s v=""/>
    <s v=""/>
    <s v=""/>
    <s v=""/>
    <s v=""/>
    <s v=""/>
    <s v=""/>
    <s v=""/>
    <s v=""/>
    <s v=""/>
    <s v=""/>
    <s v=""/>
    <s v=""/>
    <s v=""/>
    <s v=""/>
    <s v=""/>
    <s v=""/>
    <s v=""/>
    <s v=""/>
    <s v=""/>
    <s v=""/>
    <s v=""/>
    <s v=""/>
    <s v=""/>
    <s v=""/>
    <n v="4"/>
    <n v="26"/>
    <n v="0"/>
    <n v="0"/>
    <n v="30"/>
    <x v="0"/>
    <n v="173.5"/>
    <n v="610.5"/>
    <n v="66.47"/>
    <n v="66.47"/>
    <n v="67.349999999999994"/>
    <e v="#VALUE!"/>
    <x v="0"/>
    <n v="490987"/>
    <n v="10423"/>
    <n v="66088"/>
    <n v="46450"/>
    <n v="0"/>
    <n v="11.885989010989011"/>
    <n v="0"/>
    <n v="0"/>
    <n v="0"/>
    <n v="0.15745192307692307"/>
    <n v="0"/>
    <n v="0"/>
    <n v="1.1283359497645211E-2"/>
    <n v="3.7259615384615384E-2"/>
    <n v="0.11354493720565149"/>
    <n v="0"/>
    <n v="9.3578296703296704E-2"/>
    <n v="0"/>
    <n v="0"/>
    <n v="0.14504022762951335"/>
    <n v="9.4240580847723701E-2"/>
    <n v="0.20378728414442701"/>
    <n v="0.84595761381475665"/>
    <n v="0"/>
    <n v="0"/>
    <n v="0"/>
    <n v="0"/>
    <n v="0.22463697017268447"/>
    <n v="0.10741267660910518"/>
    <n v="1.1393740188383046"/>
    <n v="0"/>
    <n v="0"/>
    <n v="0"/>
    <n v="15.059556514913655"/>
    <n v="1.5059605572998429"/>
    <n v="0"/>
    <n v="8"/>
    <x v="1"/>
    <x v="1"/>
    <x v="0"/>
    <x v="1"/>
    <x v="1"/>
    <b v="0"/>
    <b v="1"/>
    <n v="0"/>
    <n v="0"/>
    <n v="0"/>
    <n v="0"/>
    <n v="0"/>
    <n v="9"/>
    <n v="4"/>
    <n v="0"/>
    <s v=""/>
    <s v=""/>
    <s v=""/>
    <s v=""/>
    <s v=""/>
    <s v=""/>
    <n v="13"/>
    <n v="0"/>
    <n v="0"/>
    <n v="0"/>
    <n v="0"/>
    <n v="0"/>
    <n v="3.0599999999999987"/>
    <n v="0.75999999999999801"/>
    <n v="0"/>
    <s v=""/>
    <s v=""/>
    <s v=""/>
    <s v=""/>
    <s v=""/>
    <s v=""/>
    <b v="0"/>
    <b v="1"/>
    <x v="1"/>
    <n v="12.043440934065934"/>
    <n v="0.25566620879120883"/>
    <n v="1.6210753532182103"/>
    <n v="1.1393740188383046"/>
    <n v="0"/>
    <n v="0"/>
    <n v="0"/>
    <n v="0"/>
    <n v="0"/>
    <n v="9"/>
    <n v="4"/>
    <n v="13"/>
    <s v=""/>
    <s v=""/>
    <s v=""/>
    <s v=""/>
    <s v=""/>
    <s v=""/>
    <n v="26"/>
    <n v="0"/>
    <n v="0"/>
    <n v="0"/>
    <n v="0"/>
    <n v="0"/>
    <n v="6.6600000000000019"/>
    <n v="2.3599999999999994"/>
    <n v="2.2099999999999991"/>
    <s v=""/>
    <s v=""/>
    <s v=""/>
    <s v=""/>
    <s v=""/>
    <s v=""/>
    <n v="25.64"/>
    <n v="25.64"/>
    <n v="25.64"/>
    <n v="25.64"/>
    <n v="20.149999999999999"/>
    <n v="20.149999999999999"/>
    <n v="20.149999999999999"/>
    <n v="20.149999999999999"/>
    <n v="10.63"/>
    <n v="10.63"/>
    <n v="10.19"/>
    <n v="10.19"/>
    <n v="10.93"/>
    <n v="10.93"/>
    <n v="10.49"/>
    <n v="10.49"/>
    <s v=""/>
    <s v=""/>
    <s v=""/>
    <s v=""/>
    <n v="82.44"/>
    <n v="82.44"/>
    <n v="78.48"/>
    <n v="78.48"/>
    <n v="37.24"/>
    <n v="37.24"/>
    <n v="35.479999999999997"/>
    <n v="35.479999999999997"/>
    <n v="126.49000000000001"/>
    <n v="126.49000000000001"/>
    <n v="120.76999999999998"/>
    <n v="120.76999999999998"/>
    <s v=""/>
    <s v=""/>
    <s v=""/>
    <s v=""/>
    <s v=""/>
    <s v=""/>
    <s v=""/>
    <s v=""/>
    <s v=""/>
    <s v=""/>
    <s v=""/>
    <s v=""/>
    <s v=""/>
    <s v=""/>
    <s v=""/>
    <s v=""/>
    <s v=""/>
    <s v=""/>
    <s v=""/>
    <s v=""/>
    <s v=""/>
    <s v=""/>
    <s v=""/>
    <s v=""/>
    <s v=""/>
    <s v=""/>
    <s v=""/>
    <s v=""/>
    <n v="1"/>
    <n v="1"/>
    <n v="1"/>
    <n v="1"/>
    <n v="0"/>
    <n v="9"/>
    <n v="4"/>
    <n v="13"/>
    <n v="0"/>
    <n v="0"/>
    <n v="0"/>
    <n v="0"/>
    <n v="0"/>
    <n v="0"/>
    <n v="0"/>
  </r>
  <r>
    <m/>
    <m/>
    <m/>
    <m/>
    <m/>
    <m/>
    <n v="9"/>
    <n v="20"/>
    <n v="1"/>
    <n v="0.95"/>
    <n v="0.05"/>
    <s v="Leased or Rented"/>
    <s v="Leased or Rented"/>
    <m/>
    <m/>
    <m/>
    <m/>
    <n v="29.67"/>
    <n v="29.67"/>
    <n v="29.08"/>
    <n v="29.08"/>
    <n v="0.5"/>
    <n v="0"/>
    <n v="0"/>
    <n v="0"/>
    <n v="0"/>
    <n v="0"/>
    <s v="Seionr Support worker"/>
    <n v="13.55"/>
    <n v="13.55"/>
    <n v="13.29"/>
    <n v="13.29"/>
    <n v="1"/>
    <s v="Care and Support Worker (I31))"/>
    <n v="15.52"/>
    <n v="15.52"/>
    <n v="15.21"/>
    <n v="15.21"/>
    <n v="0.1"/>
    <s v="Other manager (specify)"/>
    <n v="0"/>
    <n v="0"/>
    <n v="0"/>
    <n v="0"/>
    <n v="0"/>
    <s v="Care and Support workers "/>
    <n v="11.29"/>
    <n v="11.29"/>
    <n v="11.07"/>
    <n v="11.07"/>
    <n v="2"/>
    <s v="Care and Support workers "/>
    <n v="10.51"/>
    <n v="10.51"/>
    <n v="10.31"/>
    <n v="10.31"/>
    <n v="1.5"/>
    <s v="Care and Support workers "/>
    <n v="10.130000000000001"/>
    <n v="10.130000000000001"/>
    <n v="9.93"/>
    <n v="9.93"/>
    <n v="5.35"/>
    <s v="Care and Support workers "/>
    <n v="9.94"/>
    <n v="9.94"/>
    <n v="9.52"/>
    <n v="9.52"/>
    <n v="5.75"/>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6.4000000000000001E-2"/>
    <n v="584.29999999999995"/>
    <n v="46"/>
    <n v="0"/>
    <n v="0"/>
    <n v="0"/>
    <n v="0"/>
    <n v="17"/>
    <n v="0"/>
    <n v="0"/>
    <n v="0"/>
    <n v="0"/>
    <n v="0"/>
    <n v="15.53"/>
    <n v="0"/>
    <n v="0"/>
    <d v="2020-04-01T00:00:00"/>
    <d v="2021-03-31T00:00:00"/>
    <n v="31839"/>
    <n v="33175.56"/>
    <n v="358389.11"/>
    <n v="0"/>
    <n v="0"/>
    <n v="8817.94"/>
    <n v="1355.72"/>
    <n v="8840"/>
    <n v="2989"/>
    <n v="117"/>
    <n v="715.71"/>
    <n v="1865.94"/>
    <n v="0"/>
    <n v="5127.26"/>
    <s v="Toners, Stationery and postage"/>
    <n v="678.91"/>
    <s v="Other - please specify"/>
    <n v="0"/>
    <n v="3192.02"/>
    <n v="353.85"/>
    <n v="15.12"/>
    <n v="1144.77"/>
    <n v="0"/>
    <n v="1481.06"/>
    <n v="0"/>
    <n v="0"/>
    <s v="Other - please specify"/>
    <n v="0"/>
    <s v="Other - please specify"/>
    <n v="0"/>
    <n v="0"/>
    <n v="46878.27"/>
    <s v="Office and overhead cost for support services"/>
    <n v="8728.25"/>
    <s v="Other overheads - please specify"/>
    <n v="0"/>
    <n v="2314.1"/>
    <n v="0"/>
    <n v="0"/>
    <m/>
    <d v="2021-10-11T14:57:49"/>
    <x v="0"/>
    <n v="21"/>
    <x v="2"/>
    <n v="29.67"/>
    <n v="29.67"/>
    <n v="29.08"/>
    <n v="29.08"/>
    <s v=""/>
    <s v=""/>
    <s v=""/>
    <s v=""/>
    <n v="13.55"/>
    <n v="13.55"/>
    <n v="13.29"/>
    <n v="13.29"/>
    <n v="15.52"/>
    <n v="15.52"/>
    <n v="15.21"/>
    <n v="15.21"/>
    <s v=""/>
    <s v=""/>
    <s v=""/>
    <s v=""/>
    <n v="11.29"/>
    <n v="11.29"/>
    <n v="11.07"/>
    <n v="11.07"/>
    <n v="10.51"/>
    <n v="10.51"/>
    <n v="10.31"/>
    <n v="10.31"/>
    <n v="10.130000000000001"/>
    <n v="10.130000000000001"/>
    <n v="9.93"/>
    <n v="9.93"/>
    <n v="9.94"/>
    <n v="9.94"/>
    <n v="9.52"/>
    <n v="9.52"/>
    <s v=""/>
    <s v=""/>
    <s v=""/>
    <s v=""/>
    <s v=""/>
    <s v=""/>
    <s v=""/>
    <s v=""/>
    <s v=""/>
    <s v=""/>
    <s v=""/>
    <s v=""/>
    <s v=""/>
    <s v=""/>
    <s v=""/>
    <s v=""/>
    <s v=""/>
    <s v=""/>
    <s v=""/>
    <s v=""/>
    <s v=""/>
    <s v=""/>
    <s v=""/>
    <s v=""/>
    <n v="29.67"/>
    <n v="29.67"/>
    <n v="29.08"/>
    <n v="29.08"/>
    <s v=""/>
    <s v=""/>
    <s v=""/>
    <s v=""/>
    <n v="13.55"/>
    <n v="13.55"/>
    <n v="13.29"/>
    <n v="13.29"/>
    <n v="15.52"/>
    <n v="15.52"/>
    <n v="15.21"/>
    <n v="15.21"/>
    <s v=""/>
    <s v=""/>
    <s v=""/>
    <s v=""/>
    <n v="11.29"/>
    <n v="11.29"/>
    <n v="11.07"/>
    <n v="11.07"/>
    <n v="10.51"/>
    <n v="10.51"/>
    <n v="10.31"/>
    <n v="10.31"/>
    <n v="10.130000000000001"/>
    <n v="10.130000000000001"/>
    <n v="9.93"/>
    <n v="9.93"/>
    <n v="9.94"/>
    <n v="9.94"/>
    <n v="9.52"/>
    <n v="9.52"/>
    <s v=""/>
    <s v=""/>
    <s v=""/>
    <s v=""/>
    <s v=""/>
    <s v=""/>
    <s v=""/>
    <s v=""/>
    <s v=""/>
    <s v=""/>
    <s v=""/>
    <s v=""/>
    <s v=""/>
    <s v=""/>
    <s v=""/>
    <s v=""/>
    <s v=""/>
    <s v=""/>
    <s v=""/>
    <s v=""/>
    <s v=""/>
    <s v=""/>
    <s v=""/>
    <s v=""/>
    <n v="1.6"/>
    <n v="14.6"/>
    <n v="0"/>
    <n v="0"/>
    <n v="16.2"/>
    <x v="2"/>
    <n v="630.29999999999995"/>
    <n v="17"/>
    <e v="#VALUE!"/>
    <e v="#VALUE!"/>
    <e v="#VALUE!"/>
    <e v="#VALUE!"/>
    <x v="0"/>
    <n v="413567.32999999996"/>
    <n v="8504.82"/>
    <n v="6186.82"/>
    <n v="55606.52"/>
    <n v="1.0419787053613492"/>
    <n v="11.256292911209522"/>
    <n v="0"/>
    <n v="0"/>
    <n v="0.27695405006438645"/>
    <n v="4.2580483055372341E-2"/>
    <n v="0.2776469110210748"/>
    <n v="9.3878576588460688E-2"/>
    <n v="3.6747385282201073E-3"/>
    <n v="2.2479035145576181E-2"/>
    <n v="5.8605483840572882E-2"/>
    <n v="0"/>
    <n v="0.16103709287351992"/>
    <n v="2.1323219950375324E-2"/>
    <n v="0"/>
    <n v="0.1002550331354628"/>
    <n v="1.1113728446245173E-2"/>
    <n v="4.7488928672382924E-4"/>
    <n v="3.5954960897013097E-2"/>
    <n v="0"/>
    <n v="4.6517164483809166E-2"/>
    <n v="0"/>
    <n v="0"/>
    <n v="0"/>
    <n v="0"/>
    <n v="0"/>
    <n v="1.4723537171393573"/>
    <n v="0.27413706460630044"/>
    <n v="0"/>
    <n v="15.197257765633344"/>
    <n v="7.2681302804736322E-2"/>
    <n v="0"/>
    <n v="9"/>
    <x v="0"/>
    <x v="1"/>
    <x v="0"/>
    <x v="1"/>
    <x v="1"/>
    <b v="1"/>
    <b v="0"/>
    <n v="0"/>
    <s v=""/>
    <n v="0"/>
    <n v="0"/>
    <s v=""/>
    <n v="0"/>
    <n v="0"/>
    <n v="0"/>
    <n v="0"/>
    <s v=""/>
    <s v=""/>
    <s v=""/>
    <s v=""/>
    <s v=""/>
    <n v="0"/>
    <n v="0"/>
    <s v=""/>
    <n v="0"/>
    <n v="0"/>
    <s v=""/>
    <n v="0"/>
    <n v="0"/>
    <n v="0"/>
    <n v="0"/>
    <s v=""/>
    <s v=""/>
    <s v=""/>
    <s v=""/>
    <s v=""/>
    <b v="0"/>
    <b v="1"/>
    <x v="1"/>
    <n v="12.989331637300166"/>
    <n v="0.26711957033826439"/>
    <n v="0.19431577624925406"/>
    <n v="1.7464907817456576"/>
    <n v="0"/>
    <s v=""/>
    <n v="0"/>
    <n v="0"/>
    <s v=""/>
    <n v="0"/>
    <n v="0"/>
    <n v="0"/>
    <n v="0"/>
    <s v=""/>
    <s v=""/>
    <s v=""/>
    <s v=""/>
    <s v=""/>
    <n v="0"/>
    <n v="0"/>
    <s v=""/>
    <n v="0"/>
    <n v="0"/>
    <s v=""/>
    <n v="0"/>
    <n v="0"/>
    <n v="0"/>
    <n v="0"/>
    <s v=""/>
    <s v=""/>
    <s v=""/>
    <s v=""/>
    <s v=""/>
    <n v="14.835000000000001"/>
    <n v="14.835000000000001"/>
    <n v="14.54"/>
    <n v="14.54"/>
    <s v=""/>
    <s v=""/>
    <s v=""/>
    <s v=""/>
    <n v="13.55"/>
    <n v="13.55"/>
    <n v="13.29"/>
    <n v="13.29"/>
    <n v="1.552"/>
    <n v="1.552"/>
    <n v="1.5210000000000001"/>
    <n v="1.5210000000000001"/>
    <s v=""/>
    <s v=""/>
    <s v=""/>
    <s v=""/>
    <n v="22.58"/>
    <n v="22.58"/>
    <n v="22.14"/>
    <n v="22.14"/>
    <n v="15.765000000000001"/>
    <n v="15.765000000000001"/>
    <n v="15.465"/>
    <n v="15.465"/>
    <n v="54.195500000000003"/>
    <n v="54.195500000000003"/>
    <n v="53.125499999999995"/>
    <n v="53.125499999999995"/>
    <n v="57.154999999999994"/>
    <n v="57.154999999999994"/>
    <n v="54.739999999999995"/>
    <n v="54.739999999999995"/>
    <s v=""/>
    <s v=""/>
    <s v=""/>
    <s v=""/>
    <s v=""/>
    <s v=""/>
    <s v=""/>
    <s v=""/>
    <s v=""/>
    <s v=""/>
    <s v=""/>
    <s v=""/>
    <s v=""/>
    <s v=""/>
    <s v=""/>
    <s v=""/>
    <s v=""/>
    <s v=""/>
    <s v=""/>
    <s v=""/>
    <s v=""/>
    <s v=""/>
    <s v=""/>
    <s v=""/>
    <n v="0.5"/>
    <n v="0"/>
    <n v="1"/>
    <n v="0.1"/>
    <n v="0"/>
    <n v="2"/>
    <n v="1.5"/>
    <n v="5.35"/>
    <n v="5.75"/>
    <n v="0"/>
    <n v="0"/>
    <n v="0"/>
    <n v="0"/>
    <n v="0"/>
    <n v="0"/>
  </r>
  <r>
    <m/>
    <m/>
    <m/>
    <m/>
    <m/>
    <m/>
    <n v="10"/>
    <n v="0"/>
    <n v="34"/>
    <n v="0"/>
    <n v="1"/>
    <s v="Mortgaged"/>
    <s v="N/A"/>
    <m/>
    <m/>
    <m/>
    <m/>
    <n v="22"/>
    <n v="22"/>
    <n v="21.7"/>
    <n v="21.7"/>
    <n v="1"/>
    <n v="17.68"/>
    <n v="17.68"/>
    <n v="17.43"/>
    <n v="17.43"/>
    <n v="2"/>
    <s v="Project Leaders"/>
    <n v="15.67"/>
    <n v="15.67"/>
    <n v="15.45"/>
    <n v="15.45"/>
    <n v="4"/>
    <s v="Other manager (specify)"/>
    <n v="0"/>
    <n v="0"/>
    <n v="0"/>
    <n v="0"/>
    <n v="0"/>
    <s v="Other manager (specify)"/>
    <n v="0"/>
    <n v="0"/>
    <n v="0"/>
    <n v="0"/>
    <n v="0"/>
    <s v="Care Staff - Regular"/>
    <n v="9.68"/>
    <n v="9.68"/>
    <n v="9.5399999999999991"/>
    <n v="9.5399999999999991"/>
    <n v="22"/>
    <s v="Care Staff - Waking Night"/>
    <n v="9.68"/>
    <n v="9.68"/>
    <n v="9.5399999999999991"/>
    <n v="9.5399999999999991"/>
    <n v="22"/>
    <s v="Care Staff - Senior"/>
    <n v="10.199999999999999"/>
    <n v="10.199999999999999"/>
    <n v="10.06"/>
    <n v="10.06"/>
    <n v="12"/>
    <s v="Care Staff - Sleep-in"/>
    <n v="9.68"/>
    <n v="9.68"/>
    <n v="9.5399999999999991"/>
    <n v="9.5399999999999991"/>
    <n v="22"/>
    <s v="Administrative Officer"/>
    <n v="12.5"/>
    <n v="12.5"/>
    <n v="12.33"/>
    <n v="12.33"/>
    <n v="0"/>
    <s v="Administrative Officer (specify)"/>
    <n v="0"/>
    <n v="0"/>
    <n v="0"/>
    <n v="0"/>
    <n v="0"/>
    <s v="Administrative Officer (specify)"/>
    <n v="0"/>
    <n v="0"/>
    <n v="0"/>
    <n v="0"/>
    <n v="0"/>
    <s v="On-call"/>
    <n v="15.67"/>
    <n v="15.67"/>
    <n v="15.45"/>
    <n v="15.45"/>
    <n v="5"/>
    <m/>
    <n v="0"/>
    <n v="0"/>
    <n v="0"/>
    <n v="0"/>
    <n v="0"/>
    <m/>
    <n v="0"/>
    <n v="0"/>
    <n v="0"/>
    <n v="0"/>
    <n v="0"/>
    <n v="0.03"/>
    <n v="0"/>
    <n v="0"/>
    <n v="0"/>
    <n v="0"/>
    <n v="0"/>
    <n v="0"/>
    <n v="1286"/>
    <n v="812"/>
    <n v="1036"/>
    <n v="1954"/>
    <n v="0"/>
    <n v="0"/>
    <n v="16.04"/>
    <n v="16.04"/>
    <n v="14.7"/>
    <d v="2020-04-01T00:00:00"/>
    <d v="2021-03-31T00:00:00"/>
    <n v="239308"/>
    <n v="162114.53"/>
    <n v="3305741.51"/>
    <n v="31200"/>
    <n v="0"/>
    <n v="0"/>
    <n v="9620.5300000000007"/>
    <n v="0"/>
    <n v="0"/>
    <n v="2400"/>
    <n v="15044.64"/>
    <n v="14520"/>
    <n v="0"/>
    <n v="9907.0400000000009"/>
    <s v="Cleaning"/>
    <n v="6240"/>
    <s v="Provisions"/>
    <n v="2598.34"/>
    <n v="21045.96"/>
    <n v="8739.64"/>
    <n v="7000.24"/>
    <n v="15086.24"/>
    <n v="2218.84"/>
    <n v="320"/>
    <n v="0"/>
    <n v="0"/>
    <s v="Other - please specify"/>
    <n v="0"/>
    <s v="Other - please specify"/>
    <n v="0"/>
    <n v="0"/>
    <n v="15756"/>
    <s v="Other overheads - please specify"/>
    <n v="0"/>
    <s v="Other overheads - please specify"/>
    <n v="0"/>
    <n v="140400"/>
    <n v="0"/>
    <n v="0"/>
    <m/>
    <d v="2021-10-11T14:57:52"/>
    <x v="4"/>
    <n v="34"/>
    <x v="5"/>
    <n v="22"/>
    <n v="22"/>
    <n v="21.7"/>
    <n v="21.7"/>
    <n v="17.68"/>
    <n v="17.68"/>
    <n v="17.43"/>
    <n v="17.43"/>
    <n v="15.67"/>
    <n v="15.67"/>
    <n v="15.45"/>
    <n v="15.45"/>
    <s v=""/>
    <s v=""/>
    <s v=""/>
    <s v=""/>
    <s v=""/>
    <s v=""/>
    <s v=""/>
    <s v=""/>
    <n v="9.68"/>
    <n v="9.68"/>
    <n v="9.5399999999999991"/>
    <n v="9.5399999999999991"/>
    <n v="9.68"/>
    <n v="9.68"/>
    <n v="9.5399999999999991"/>
    <n v="9.5399999999999991"/>
    <n v="10.199999999999999"/>
    <n v="10.199999999999999"/>
    <n v="10.06"/>
    <n v="10.06"/>
    <n v="9.68"/>
    <n v="9.68"/>
    <n v="9.5399999999999991"/>
    <n v="9.5399999999999991"/>
    <n v="12.5"/>
    <n v="12.5"/>
    <n v="12.33"/>
    <n v="12.33"/>
    <s v=""/>
    <s v=""/>
    <s v=""/>
    <s v=""/>
    <s v=""/>
    <s v=""/>
    <s v=""/>
    <s v=""/>
    <n v="15.67"/>
    <n v="15.67"/>
    <n v="15.45"/>
    <n v="15.45"/>
    <s v=""/>
    <s v=""/>
    <s v=""/>
    <s v=""/>
    <s v=""/>
    <s v=""/>
    <s v=""/>
    <s v=""/>
    <n v="22"/>
    <n v="22"/>
    <n v="21.7"/>
    <n v="21.7"/>
    <n v="17.68"/>
    <n v="17.68"/>
    <n v="17.43"/>
    <n v="17.43"/>
    <n v="15.67"/>
    <n v="15.67"/>
    <n v="15.45"/>
    <n v="15.45"/>
    <s v=""/>
    <s v=""/>
    <s v=""/>
    <s v=""/>
    <s v=""/>
    <s v=""/>
    <s v=""/>
    <s v=""/>
    <n v="9.68"/>
    <n v="9.68"/>
    <n v="9.5399999999999991"/>
    <n v="9.5399999999999991"/>
    <n v="9.68"/>
    <n v="9.68"/>
    <n v="9.5399999999999991"/>
    <n v="9.5399999999999991"/>
    <n v="10.199999999999999"/>
    <n v="10.199999999999999"/>
    <n v="10.06"/>
    <n v="10.06"/>
    <n v="9.68"/>
    <n v="9.68"/>
    <n v="9.5399999999999991"/>
    <n v="9.5399999999999991"/>
    <n v="12.5"/>
    <n v="12.5"/>
    <n v="12.33"/>
    <n v="12.33"/>
    <s v=""/>
    <s v=""/>
    <s v=""/>
    <s v=""/>
    <s v=""/>
    <s v=""/>
    <s v=""/>
    <s v=""/>
    <n v="15.67"/>
    <n v="15.67"/>
    <n v="15.45"/>
    <n v="15.45"/>
    <s v=""/>
    <s v=""/>
    <s v=""/>
    <s v=""/>
    <s v=""/>
    <s v=""/>
    <s v=""/>
    <s v=""/>
    <n v="7"/>
    <n v="78"/>
    <n v="0"/>
    <n v="5"/>
    <n v="90"/>
    <x v="0"/>
    <n v="0"/>
    <n v="5088"/>
    <e v="#VALUE!"/>
    <e v="#VALUE!"/>
    <e v="#VALUE!"/>
    <e v="#VALUE!"/>
    <x v="0"/>
    <n v="3508676.5699999994"/>
    <n v="50710.020000000004"/>
    <n v="54410.92"/>
    <n v="15756"/>
    <n v="0.67743046617747837"/>
    <n v="13.813752611697058"/>
    <n v="0.13037591722800743"/>
    <n v="0"/>
    <n v="0"/>
    <n v="4.0201455864409048E-2"/>
    <n v="0"/>
    <n v="0"/>
    <n v="1.0028916709846725E-2"/>
    <n v="6.286726728734518E-2"/>
    <n v="6.0674946094572683E-2"/>
    <n v="0"/>
    <n v="4.1398699583799957E-2"/>
    <n v="2.6075183445601485E-2"/>
    <n v="1.0857723101609642E-2"/>
    <n v="8.7945074966152406E-2"/>
    <n v="3.6520467347518674E-2"/>
    <n v="2.9252009962057263E-2"/>
    <n v="6.3041101843649194E-2"/>
    <n v="9.2719006468651288E-3"/>
    <n v="1.3371888946462299E-3"/>
    <n v="0"/>
    <n v="0"/>
    <n v="0"/>
    <n v="0"/>
    <n v="0"/>
    <n v="6.5839838200143747E-2"/>
    <n v="0"/>
    <n v="0"/>
    <n v="15.166870769050762"/>
    <n v="0.58669162752603343"/>
    <n v="0"/>
    <n v="10"/>
    <x v="1"/>
    <x v="0"/>
    <x v="0"/>
    <x v="0"/>
    <x v="1"/>
    <b v="0"/>
    <b v="1"/>
    <n v="0"/>
    <n v="0"/>
    <n v="0"/>
    <s v=""/>
    <s v=""/>
    <n v="0"/>
    <n v="0"/>
    <n v="0"/>
    <n v="0"/>
    <n v="0"/>
    <s v=""/>
    <n v="0"/>
    <s v=""/>
    <s v=""/>
    <n v="0"/>
    <n v="0"/>
    <n v="0"/>
    <n v="0"/>
    <s v=""/>
    <s v=""/>
    <n v="0"/>
    <n v="0"/>
    <n v="0"/>
    <n v="0"/>
    <n v="0"/>
    <s v=""/>
    <n v="0"/>
    <s v=""/>
    <s v=""/>
    <b v="1"/>
    <b v="1"/>
    <x v="3"/>
    <n v="14.661760450966954"/>
    <n v="0.21190273622277567"/>
    <n v="0.22736774366088888"/>
    <n v="6.5839838200143747E-2"/>
    <n v="0"/>
    <n v="0"/>
    <n v="0"/>
    <s v=""/>
    <s v=""/>
    <n v="22"/>
    <n v="22"/>
    <n v="0"/>
    <n v="22"/>
    <n v="0"/>
    <s v=""/>
    <n v="0"/>
    <s v=""/>
    <s v=""/>
    <n v="66"/>
    <n v="0"/>
    <n v="0"/>
    <n v="0"/>
    <s v=""/>
    <s v=""/>
    <n v="4.8400000000000141"/>
    <n v="4.8400000000000141"/>
    <n v="0"/>
    <n v="4.8400000000000141"/>
    <n v="0"/>
    <s v=""/>
    <n v="0"/>
    <s v=""/>
    <s v=""/>
    <n v="22"/>
    <n v="22"/>
    <n v="21.7"/>
    <n v="21.7"/>
    <n v="35.36"/>
    <n v="35.36"/>
    <n v="34.86"/>
    <n v="34.86"/>
    <n v="62.68"/>
    <n v="62.68"/>
    <n v="61.8"/>
    <n v="61.8"/>
    <s v=""/>
    <s v=""/>
    <s v=""/>
    <s v=""/>
    <s v=""/>
    <s v=""/>
    <s v=""/>
    <s v=""/>
    <n v="212.95999999999998"/>
    <n v="212.95999999999998"/>
    <n v="209.88"/>
    <n v="209.88"/>
    <n v="212.95999999999998"/>
    <n v="212.95999999999998"/>
    <n v="209.88"/>
    <n v="209.88"/>
    <n v="122.39999999999999"/>
    <n v="122.39999999999999"/>
    <n v="120.72"/>
    <n v="120.72"/>
    <n v="212.95999999999998"/>
    <n v="212.95999999999998"/>
    <n v="209.88"/>
    <n v="209.88"/>
    <s v=""/>
    <s v=""/>
    <s v=""/>
    <s v=""/>
    <s v=""/>
    <s v=""/>
    <s v=""/>
    <s v=""/>
    <s v=""/>
    <s v=""/>
    <s v=""/>
    <s v=""/>
    <n v="78.349999999999994"/>
    <n v="78.349999999999994"/>
    <n v="77.25"/>
    <n v="77.25"/>
    <s v=""/>
    <s v=""/>
    <s v=""/>
    <s v=""/>
    <s v=""/>
    <s v=""/>
    <s v=""/>
    <s v=""/>
    <n v="1"/>
    <n v="2"/>
    <n v="4"/>
    <n v="0"/>
    <n v="0"/>
    <n v="22"/>
    <n v="22"/>
    <n v="12"/>
    <n v="22"/>
    <n v="0"/>
    <n v="0"/>
    <n v="0"/>
    <n v="5"/>
    <n v="0"/>
    <n v="0"/>
  </r>
  <r>
    <m/>
    <m/>
    <m/>
    <m/>
    <m/>
    <m/>
    <n v="11"/>
    <n v="0"/>
    <n v="3"/>
    <m/>
    <n v="1"/>
    <s v="Leased or Rented"/>
    <s v="Leased or Rented"/>
    <m/>
    <m/>
    <m/>
    <m/>
    <n v="1"/>
    <n v="0"/>
    <n v="0"/>
    <n v="0"/>
    <n v="0"/>
    <n v="0"/>
    <n v="0"/>
    <n v="0"/>
    <n v="0"/>
    <n v="0"/>
    <s v="Other manager (specify)"/>
    <n v="0"/>
    <n v="0"/>
    <n v="0"/>
    <n v="0"/>
    <n v="0"/>
    <s v="Other manager (specify)"/>
    <n v="0"/>
    <n v="0"/>
    <n v="0"/>
    <n v="0"/>
    <n v="0"/>
    <s v="Other manager (specify)"/>
    <n v="0"/>
    <n v="0"/>
    <n v="0"/>
    <n v="0"/>
    <n v="0"/>
    <s v="Care Assistant (senior)"/>
    <n v="12.69"/>
    <n v="13.79"/>
    <n v="0"/>
    <n v="0"/>
    <n v="0"/>
    <s v="Care Assistant (specify)"/>
    <n v="9.19"/>
    <n v="10.44"/>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4"/>
    <n v="0"/>
    <n v="0"/>
    <n v="0"/>
    <n v="0"/>
    <n v="0"/>
    <n v="0"/>
    <n v="287"/>
    <n v="189"/>
    <m/>
    <n v="266"/>
    <n v="0"/>
    <n v="0"/>
    <n v="16.350000000000001"/>
    <n v="0"/>
    <n v="0"/>
    <d v="2020-04-01T00:00:00"/>
    <d v="2021-03-31T00:00:00"/>
    <n v="37721"/>
    <n v="54088"/>
    <n v="418933"/>
    <n v="0"/>
    <n v="0"/>
    <n v="69187"/>
    <n v="0"/>
    <n v="0"/>
    <n v="0"/>
    <n v="4878"/>
    <n v="5224"/>
    <n v="0"/>
    <n v="0"/>
    <n v="2642"/>
    <s v="Other - please specify"/>
    <n v="0"/>
    <s v="Other - please specify"/>
    <n v="0"/>
    <n v="1811"/>
    <n v="1378"/>
    <n v="897"/>
    <n v="1950"/>
    <n v="0"/>
    <n v="0"/>
    <n v="0"/>
    <n v="0"/>
    <s v="Other - please specify"/>
    <n v="0"/>
    <s v="Other - please specify"/>
    <n v="0"/>
    <n v="11668"/>
    <n v="5430"/>
    <s v="Other overheads - please specify"/>
    <n v="0"/>
    <s v="Other overheads - please specify"/>
    <n v="0"/>
    <n v="58210"/>
    <n v="0"/>
    <n v="0"/>
    <m/>
    <d v="2021-10-11T14:57:54"/>
    <x v="3"/>
    <n v="3"/>
    <x v="0"/>
    <s v=""/>
    <s v=""/>
    <s v=""/>
    <s v=""/>
    <s v=""/>
    <s v=""/>
    <s v=""/>
    <s v=""/>
    <s v=""/>
    <s v=""/>
    <s v=""/>
    <s v=""/>
    <s v=""/>
    <s v=""/>
    <s v=""/>
    <s v=""/>
    <s v=""/>
    <s v=""/>
    <s v=""/>
    <s v=""/>
    <n v="12.69"/>
    <n v="13.79"/>
    <s v=""/>
    <s v=""/>
    <n v="9.19"/>
    <n v="10.44"/>
    <s v=""/>
    <s v=""/>
    <s v=""/>
    <s v=""/>
    <s v=""/>
    <s v=""/>
    <s v=""/>
    <s v=""/>
    <s v=""/>
    <s v=""/>
    <s v=""/>
    <s v=""/>
    <s v=""/>
    <s v=""/>
    <s v=""/>
    <s v=""/>
    <s v=""/>
    <s v=""/>
    <s v=""/>
    <s v=""/>
    <s v=""/>
    <s v=""/>
    <s v=""/>
    <s v=""/>
    <s v=""/>
    <s v=""/>
    <s v=""/>
    <s v=""/>
    <s v=""/>
    <s v=""/>
    <s v=""/>
    <s v=""/>
    <s v=""/>
    <s v=""/>
    <s v=""/>
    <s v=""/>
    <s v=""/>
    <s v=""/>
    <s v=""/>
    <s v=""/>
    <s v=""/>
    <s v=""/>
    <s v=""/>
    <s v=""/>
    <s v=""/>
    <s v=""/>
    <s v=""/>
    <s v=""/>
    <s v=""/>
    <s v=""/>
    <s v=""/>
    <s v=""/>
    <s v=""/>
    <s v=""/>
    <n v="12.69"/>
    <n v="13.79"/>
    <n v="12.69"/>
    <n v="13.79"/>
    <n v="9.19"/>
    <n v="10.44"/>
    <n v="9.19"/>
    <n v="10.44"/>
    <s v=""/>
    <s v=""/>
    <s v=""/>
    <s v=""/>
    <s v=""/>
    <s v=""/>
    <s v=""/>
    <s v=""/>
    <s v=""/>
    <s v=""/>
    <s v=""/>
    <s v=""/>
    <s v=""/>
    <s v=""/>
    <s v=""/>
    <s v=""/>
    <s v=""/>
    <s v=""/>
    <s v=""/>
    <s v=""/>
    <s v=""/>
    <s v=""/>
    <s v=""/>
    <s v=""/>
    <s v=""/>
    <s v=""/>
    <s v=""/>
    <s v=""/>
    <s v=""/>
    <s v=""/>
    <s v=""/>
    <s v=""/>
    <n v="0"/>
    <n v="0"/>
    <n v="0"/>
    <n v="0"/>
    <n v="0"/>
    <x v="0"/>
    <n v="0"/>
    <n v="742"/>
    <e v="#VALUE!"/>
    <e v="#VALUE!"/>
    <e v="#VALUE!"/>
    <e v="#VALUE!"/>
    <x v="0"/>
    <n v="542208"/>
    <n v="12744"/>
    <n v="6036"/>
    <n v="17098"/>
    <n v="1.4338962381697198"/>
    <n v="11.10609474828345"/>
    <n v="0"/>
    <n v="0"/>
    <n v="1.8341772487473822"/>
    <n v="0"/>
    <n v="0"/>
    <n v="0"/>
    <n v="0.12931788658837254"/>
    <n v="0.13849049601018001"/>
    <n v="0"/>
    <n v="0"/>
    <n v="7.0040560960738046E-2"/>
    <n v="0"/>
    <n v="0"/>
    <n v="4.8010392089287132E-2"/>
    <n v="3.6531375096100313E-2"/>
    <n v="2.3779857373876622E-2"/>
    <n v="5.1695342117123087E-2"/>
    <n v="0"/>
    <n v="0"/>
    <n v="0"/>
    <n v="0"/>
    <n v="0"/>
    <n v="0"/>
    <n v="0.30932371888338062"/>
    <n v="0.14395164497229659"/>
    <n v="0"/>
    <n v="0"/>
    <n v="15.325309509291905"/>
    <n v="1.5431722382757616"/>
    <n v="0"/>
    <n v="11"/>
    <x v="1"/>
    <x v="0"/>
    <x v="0"/>
    <x v="0"/>
    <x v="1"/>
    <b v="0"/>
    <b v="0"/>
    <s v=""/>
    <s v=""/>
    <s v=""/>
    <s v=""/>
    <s v=""/>
    <n v="0"/>
    <n v="0"/>
    <s v=""/>
    <s v=""/>
    <s v=""/>
    <s v=""/>
    <s v=""/>
    <s v=""/>
    <s v=""/>
    <n v="0"/>
    <s v=""/>
    <s v=""/>
    <s v=""/>
    <s v=""/>
    <s v=""/>
    <n v="0"/>
    <n v="0"/>
    <s v=""/>
    <s v=""/>
    <s v=""/>
    <s v=""/>
    <s v=""/>
    <s v=""/>
    <s v=""/>
    <b v="0"/>
    <b v="0"/>
    <x v="0"/>
    <n v="14.374168235200552"/>
    <n v="0.33784894355929063"/>
    <n v="0.16001696667638715"/>
    <n v="0.45327536385567724"/>
    <s v=""/>
    <s v=""/>
    <s v=""/>
    <s v=""/>
    <s v=""/>
    <n v="0"/>
    <n v="0"/>
    <s v=""/>
    <s v=""/>
    <s v=""/>
    <s v=""/>
    <s v=""/>
    <s v=""/>
    <s v=""/>
    <n v="0"/>
    <s v=""/>
    <s v=""/>
    <s v=""/>
    <s v=""/>
    <s v=""/>
    <n v="0"/>
    <n v="0"/>
    <s v=""/>
    <s v=""/>
    <s v=""/>
    <s v=""/>
    <s v=""/>
    <s v=""/>
    <s v=""/>
    <s v=""/>
    <s v=""/>
    <s v=""/>
    <s v=""/>
    <s v=""/>
    <s v=""/>
    <s v=""/>
    <s v=""/>
    <s v=""/>
    <s v=""/>
    <s v=""/>
    <s v=""/>
    <s v=""/>
    <s v=""/>
    <s v=""/>
    <s v=""/>
    <s v=""/>
    <s v=""/>
    <s v=""/>
    <s v=""/>
    <s v=""/>
    <s v=""/>
    <s v=""/>
    <s v=""/>
    <s v=""/>
    <s v=""/>
    <s v=""/>
    <s v=""/>
    <s v=""/>
    <s v=""/>
    <s v=""/>
    <s v=""/>
    <s v=""/>
    <s v=""/>
    <s v=""/>
    <s v=""/>
    <s v=""/>
    <s v=""/>
    <s v=""/>
    <s v=""/>
    <s v=""/>
    <s v=""/>
    <s v=""/>
    <s v=""/>
    <s v=""/>
    <s v=""/>
    <s v=""/>
    <s v=""/>
    <s v=""/>
    <s v=""/>
    <s v=""/>
    <s v=""/>
    <s v=""/>
    <s v=""/>
    <s v=""/>
    <s v=""/>
    <s v=""/>
    <s v=""/>
    <s v=""/>
    <s v=""/>
    <n v="0"/>
    <n v="0"/>
    <n v="0"/>
    <n v="0"/>
    <n v="0"/>
    <n v="0"/>
    <n v="0"/>
    <n v="0"/>
    <n v="0"/>
    <n v="0"/>
    <n v="0"/>
    <n v="0"/>
    <n v="0"/>
    <n v="0"/>
    <n v="0"/>
  </r>
  <r>
    <m/>
    <m/>
    <m/>
    <m/>
    <m/>
    <m/>
    <n v="12"/>
    <n v="20"/>
    <n v="9"/>
    <n v="0.21"/>
    <n v="0.79"/>
    <s v="Leased or Rented"/>
    <s v="Leased or Rented"/>
    <m/>
    <m/>
    <m/>
    <m/>
    <n v="19.71"/>
    <n v="19.71"/>
    <n v="19.23"/>
    <n v="19.23"/>
    <n v="1"/>
    <n v="0"/>
    <n v="0"/>
    <n v="0"/>
    <n v="0"/>
    <n v="0"/>
    <s v="Other manager (specify)"/>
    <n v="0"/>
    <n v="0"/>
    <n v="0"/>
    <n v="0"/>
    <n v="0"/>
    <s v="Other manager (specify)"/>
    <n v="0"/>
    <n v="0"/>
    <n v="0"/>
    <n v="0"/>
    <n v="0"/>
    <s v="Other manager (specify)"/>
    <n v="0"/>
    <n v="0"/>
    <n v="0"/>
    <n v="0"/>
    <n v="0"/>
    <s v="Support Workers Support hours"/>
    <n v="8.91"/>
    <n v="11.94"/>
    <n v="8.7200000000000006"/>
    <n v="11.94"/>
    <n v="88"/>
    <s v="Care Assistant (specify)"/>
    <n v="0"/>
    <n v="0"/>
    <n v="0"/>
    <n v="0"/>
    <n v="0"/>
    <s v="Care Assistant (specify)"/>
    <n v="0"/>
    <n v="0"/>
    <n v="0"/>
    <n v="0"/>
    <n v="0"/>
    <s v="Care Assistant (specify)"/>
    <n v="0"/>
    <n v="0"/>
    <n v="0"/>
    <n v="0"/>
    <n v="0"/>
    <s v="Care Coordinators Office Rate"/>
    <n v="8.91"/>
    <n v="11.93"/>
    <n v="8.5"/>
    <n v="10.58"/>
    <n v="8"/>
    <s v="Care Coordinators Oncall Rate Per Call"/>
    <n v="10"/>
    <n v="10"/>
    <n v="10"/>
    <n v="10"/>
    <n v="0"/>
    <s v="Administrative Officer (specify)"/>
    <n v="0"/>
    <n v="0"/>
    <n v="0"/>
    <n v="0"/>
    <n v="0"/>
    <s v="HR"/>
    <n v="8.91"/>
    <n v="12"/>
    <n v="8.7100000000000009"/>
    <n v="11.05"/>
    <n v="2"/>
    <s v="Finance"/>
    <n v="14.42"/>
    <n v="20.52"/>
    <n v="14.42"/>
    <n v="20.52"/>
    <n v="2"/>
    <s v="Training"/>
    <n v="8.91"/>
    <n v="14.42"/>
    <n v="8.7100000000000009"/>
    <n v="14.42"/>
    <n v="1"/>
    <n v="0.03"/>
    <n v="535.4"/>
    <n v="0"/>
    <n v="0"/>
    <n v="0"/>
    <n v="0"/>
    <n v="115"/>
    <n v="1992.96"/>
    <n v="1393.4"/>
    <n v="801.05"/>
    <n v="0"/>
    <n v="0"/>
    <n v="0"/>
    <n v="15.68"/>
    <n v="14.6"/>
    <n v="15"/>
    <d v="2020-01-01T00:00:00"/>
    <d v="2020-12-31T00:00:00"/>
    <n v="131474.96"/>
    <n v="14005.48"/>
    <n v="1382344.87"/>
    <n v="220752.23"/>
    <n v="0"/>
    <n v="0"/>
    <n v="1336.22"/>
    <n v="0"/>
    <n v="80409.710000000006"/>
    <n v="2369.56"/>
    <n v="8578.51"/>
    <n v="2443.41"/>
    <n v="5729.59"/>
    <n v="41127.96"/>
    <s v="Other - please specify"/>
    <n v="0"/>
    <s v="Other - please specify"/>
    <n v="0"/>
    <n v="6874.05"/>
    <n v="4951.51"/>
    <n v="3976.62"/>
    <n v="39506.22"/>
    <n v="8282.2900000000009"/>
    <n v="3205.61"/>
    <n v="20249.88"/>
    <n v="0"/>
    <s v="Staff Accomodation &amp; Welfare"/>
    <n v="30088.31"/>
    <s v="Other - please specify"/>
    <n v="0"/>
    <n v="0"/>
    <n v="106391.36"/>
    <s v="Printing Postage &amp; Stationary"/>
    <n v="10655.24"/>
    <s v="Accountancy &amp; Other Admin Cost"/>
    <n v="8519.2000000000007"/>
    <n v="46837.55"/>
    <n v="8.6400000000000005E-2"/>
    <n v="542181.81999999995"/>
    <m/>
    <d v="2021-10-11T14:57:57"/>
    <x v="0"/>
    <n v="29"/>
    <x v="2"/>
    <n v="19.71"/>
    <n v="19.71"/>
    <n v="19.23"/>
    <n v="19.23"/>
    <s v=""/>
    <s v=""/>
    <s v=""/>
    <s v=""/>
    <s v=""/>
    <s v=""/>
    <s v=""/>
    <s v=""/>
    <s v=""/>
    <s v=""/>
    <s v=""/>
    <s v=""/>
    <s v=""/>
    <s v=""/>
    <s v=""/>
    <s v=""/>
    <n v="8.91"/>
    <n v="11.94"/>
    <n v="8.7200000000000006"/>
    <n v="11.94"/>
    <s v=""/>
    <s v=""/>
    <s v=""/>
    <s v=""/>
    <s v=""/>
    <s v=""/>
    <s v=""/>
    <s v=""/>
    <s v=""/>
    <s v=""/>
    <s v=""/>
    <s v=""/>
    <n v="8.91"/>
    <n v="11.93"/>
    <n v="8.5"/>
    <n v="10.58"/>
    <n v="10"/>
    <n v="10"/>
    <n v="10"/>
    <n v="10"/>
    <s v=""/>
    <s v=""/>
    <s v=""/>
    <s v=""/>
    <n v="8.91"/>
    <n v="12"/>
    <n v="8.7100000000000009"/>
    <n v="11.05"/>
    <n v="14.42"/>
    <n v="20.52"/>
    <n v="14.42"/>
    <n v="20.52"/>
    <n v="8.91"/>
    <n v="14.42"/>
    <n v="8.7100000000000009"/>
    <n v="14.42"/>
    <n v="19.71"/>
    <n v="19.71"/>
    <n v="19.23"/>
    <n v="19.23"/>
    <s v=""/>
    <s v=""/>
    <s v=""/>
    <s v=""/>
    <s v=""/>
    <s v=""/>
    <s v=""/>
    <s v=""/>
    <s v=""/>
    <s v=""/>
    <s v=""/>
    <s v=""/>
    <s v=""/>
    <s v=""/>
    <s v=""/>
    <s v=""/>
    <n v="8.91"/>
    <n v="11.94"/>
    <n v="8.7200000000000006"/>
    <n v="11.94"/>
    <s v=""/>
    <s v=""/>
    <s v=""/>
    <s v=""/>
    <s v=""/>
    <s v=""/>
    <s v=""/>
    <s v=""/>
    <s v=""/>
    <s v=""/>
    <s v=""/>
    <s v=""/>
    <n v="8.91"/>
    <n v="11.93"/>
    <n v="8.5"/>
    <n v="10.58"/>
    <n v="10"/>
    <n v="10"/>
    <n v="10"/>
    <n v="10"/>
    <s v=""/>
    <s v=""/>
    <s v=""/>
    <s v=""/>
    <n v="8.91"/>
    <n v="12"/>
    <n v="8.7100000000000009"/>
    <n v="11.05"/>
    <n v="14.42"/>
    <n v="20.52"/>
    <n v="14.42"/>
    <n v="20.52"/>
    <n v="8.91"/>
    <n v="14.42"/>
    <n v="8.7100000000000009"/>
    <n v="14.42"/>
    <n v="1"/>
    <n v="88"/>
    <n v="8"/>
    <n v="5"/>
    <n v="102"/>
    <x v="0"/>
    <n v="650.4"/>
    <n v="4187.41"/>
    <e v="#VALUE!"/>
    <e v="#VALUE!"/>
    <e v="#VALUE!"/>
    <e v="#VALUE!"/>
    <x v="0"/>
    <n v="1698848.51"/>
    <n v="60249.03"/>
    <n v="117134.49"/>
    <n v="125565.8"/>
    <n v="0.10652583579413145"/>
    <n v="10.514130371288953"/>
    <n v="1.6790439031128059"/>
    <n v="0"/>
    <n v="0"/>
    <n v="1.0163304099883355E-2"/>
    <n v="0"/>
    <n v="0.61159714366903029"/>
    <n v="1.802289956962147E-2"/>
    <n v="6.5248241946603378E-2"/>
    <n v="1.8584603486473773E-2"/>
    <n v="4.357932491479747E-2"/>
    <n v="0.31281971867494768"/>
    <n v="0"/>
    <n v="0"/>
    <n v="5.2284100333630075E-2"/>
    <n v="3.7661239828481415E-2"/>
    <n v="3.0246215705256728E-2"/>
    <n v="0.3004847462969375"/>
    <n v="6.2995189350124173E-2"/>
    <n v="2.4381905117141701E-2"/>
    <n v="0.15402081126322459"/>
    <n v="0"/>
    <n v="0.22885201866575966"/>
    <n v="0"/>
    <n v="0"/>
    <n v="0.80921386095116521"/>
    <n v="8.1043873297242303E-2"/>
    <n v="6.4797129430577513E-2"/>
    <n v="15.225696436796786"/>
    <n v="0.35624692336852587"/>
    <n v="6.571593556674215E-7"/>
    <n v="12"/>
    <x v="0"/>
    <x v="1"/>
    <x v="0"/>
    <x v="1"/>
    <x v="1"/>
    <b v="0"/>
    <b v="1"/>
    <n v="0"/>
    <s v=""/>
    <s v=""/>
    <s v=""/>
    <s v=""/>
    <n v="0"/>
    <s v=""/>
    <s v=""/>
    <s v=""/>
    <n v="0"/>
    <n v="0"/>
    <n v="0"/>
    <n v="0"/>
    <n v="0"/>
    <n v="0"/>
    <n v="0"/>
    <s v=""/>
    <s v=""/>
    <s v=""/>
    <s v=""/>
    <n v="0"/>
    <s v=""/>
    <s v=""/>
    <s v=""/>
    <n v="0"/>
    <n v="0"/>
    <n v="0"/>
    <n v="0"/>
    <n v="0"/>
    <b v="0"/>
    <b v="1"/>
    <x v="1"/>
    <n v="12.921460557964805"/>
    <n v="0.45825478859244373"/>
    <n v="0.89092622656055576"/>
    <n v="0.95505486367898496"/>
    <n v="0"/>
    <s v=""/>
    <s v=""/>
    <s v=""/>
    <s v=""/>
    <n v="0"/>
    <s v=""/>
    <s v=""/>
    <s v=""/>
    <n v="0"/>
    <n v="0"/>
    <n v="0"/>
    <n v="0"/>
    <n v="0"/>
    <n v="0"/>
    <n v="0"/>
    <s v=""/>
    <s v=""/>
    <s v=""/>
    <s v=""/>
    <n v="0"/>
    <s v=""/>
    <s v=""/>
    <s v=""/>
    <n v="0"/>
    <n v="0"/>
    <n v="0"/>
    <n v="0"/>
    <n v="0"/>
    <n v="19.71"/>
    <n v="19.71"/>
    <n v="19.23"/>
    <n v="19.23"/>
    <s v=""/>
    <s v=""/>
    <s v=""/>
    <s v=""/>
    <s v=""/>
    <s v=""/>
    <s v=""/>
    <s v=""/>
    <s v=""/>
    <s v=""/>
    <s v=""/>
    <s v=""/>
    <s v=""/>
    <s v=""/>
    <s v=""/>
    <s v=""/>
    <n v="784.08"/>
    <n v="1050.72"/>
    <n v="767.36"/>
    <n v="1050.72"/>
    <s v=""/>
    <s v=""/>
    <s v=""/>
    <s v=""/>
    <s v=""/>
    <s v=""/>
    <s v=""/>
    <s v=""/>
    <s v=""/>
    <s v=""/>
    <s v=""/>
    <s v=""/>
    <n v="71.28"/>
    <n v="95.44"/>
    <n v="68"/>
    <n v="84.64"/>
    <s v=""/>
    <s v=""/>
    <s v=""/>
    <s v=""/>
    <s v=""/>
    <s v=""/>
    <s v=""/>
    <s v=""/>
    <n v="17.82"/>
    <n v="24"/>
    <n v="17.420000000000002"/>
    <n v="22.1"/>
    <n v="28.84"/>
    <n v="41.04"/>
    <n v="28.84"/>
    <n v="41.04"/>
    <n v="8.91"/>
    <n v="14.42"/>
    <n v="8.7100000000000009"/>
    <n v="14.42"/>
    <n v="1"/>
    <n v="0"/>
    <n v="0"/>
    <n v="0"/>
    <n v="0"/>
    <n v="88"/>
    <n v="0"/>
    <n v="0"/>
    <n v="0"/>
    <n v="8"/>
    <n v="0"/>
    <n v="0"/>
    <n v="2"/>
    <n v="2"/>
    <n v="1"/>
  </r>
  <r>
    <m/>
    <m/>
    <m/>
    <m/>
    <m/>
    <m/>
    <n v="13"/>
    <n v="13"/>
    <n v="0"/>
    <n v="1"/>
    <n v="0"/>
    <s v="Leased or Rented"/>
    <m/>
    <m/>
    <m/>
    <m/>
    <m/>
    <n v="15"/>
    <n v="15"/>
    <n v="15"/>
    <n v="15"/>
    <n v="1"/>
    <n v="0"/>
    <n v="0"/>
    <n v="0"/>
    <n v="0"/>
    <n v="0"/>
    <s v="Other manager (specify)"/>
    <n v="0"/>
    <n v="0"/>
    <n v="0"/>
    <n v="0"/>
    <n v="0"/>
    <s v="Other manager (specify)"/>
    <n v="0"/>
    <n v="0"/>
    <n v="0"/>
    <n v="0"/>
    <n v="0"/>
    <s v="Other manager (specify)"/>
    <n v="0"/>
    <n v="0"/>
    <n v="0"/>
    <n v="0"/>
    <n v="0"/>
    <s v="Care Assistant (specify)"/>
    <n v="10"/>
    <n v="9"/>
    <n v="8.25"/>
    <n v="8.5"/>
    <n v="12"/>
    <s v="Care Assistant (specify)"/>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m/>
    <n v="186"/>
    <n v="0"/>
    <n v="50"/>
    <n v="0"/>
    <n v="0"/>
    <n v="0"/>
    <n v="0"/>
    <n v="0"/>
    <n v="0"/>
    <n v="0"/>
    <n v="0"/>
    <n v="0"/>
    <n v="0"/>
    <n v="0"/>
    <n v="13"/>
    <d v="2019-01-01T00:00:00"/>
    <d v="2019-12-31T00:00:00"/>
    <n v="12259"/>
    <n v="18924"/>
    <n v="119961"/>
    <n v="10851"/>
    <n v="0"/>
    <n v="0"/>
    <n v="507"/>
    <n v="1046"/>
    <n v="2214"/>
    <n v="860"/>
    <n v="1606"/>
    <n v="1200"/>
    <n v="2268"/>
    <n v="3699"/>
    <s v="Purchases"/>
    <n v="4315"/>
    <s v="Other - please specify"/>
    <n v="0"/>
    <n v="1124.3399999999999"/>
    <n v="0"/>
    <n v="160"/>
    <n v="14804"/>
    <n v="0"/>
    <n v="923"/>
    <n v="500"/>
    <n v="0"/>
    <s v="Other - please specify"/>
    <n v="0"/>
    <s v="Other - please specify"/>
    <n v="0"/>
    <n v="0"/>
    <n v="0"/>
    <s v="Other overheads - please specify"/>
    <n v="0"/>
    <s v="Other overheads - please specify"/>
    <n v="0"/>
    <n v="2945"/>
    <n v="0"/>
    <n v="0"/>
    <m/>
    <d v="2021-10-11T14:58:00"/>
    <x v="0"/>
    <n v="13"/>
    <x v="1"/>
    <n v="15"/>
    <n v="15"/>
    <n v="15"/>
    <n v="15"/>
    <s v=""/>
    <s v=""/>
    <s v=""/>
    <s v=""/>
    <s v=""/>
    <s v=""/>
    <s v=""/>
    <s v=""/>
    <s v=""/>
    <s v=""/>
    <s v=""/>
    <s v=""/>
    <s v=""/>
    <s v=""/>
    <s v=""/>
    <s v=""/>
    <n v="10"/>
    <n v="9"/>
    <n v="8.25"/>
    <n v="8.5"/>
    <s v=""/>
    <s v=""/>
    <s v=""/>
    <s v=""/>
    <s v=""/>
    <s v=""/>
    <s v=""/>
    <s v=""/>
    <s v=""/>
    <s v=""/>
    <s v=""/>
    <s v=""/>
    <s v=""/>
    <s v=""/>
    <s v=""/>
    <s v=""/>
    <s v=""/>
    <s v=""/>
    <s v=""/>
    <s v=""/>
    <s v=""/>
    <s v=""/>
    <s v=""/>
    <s v=""/>
    <s v=""/>
    <s v=""/>
    <s v=""/>
    <s v=""/>
    <s v=""/>
    <s v=""/>
    <s v=""/>
    <s v=""/>
    <s v=""/>
    <s v=""/>
    <s v=""/>
    <s v=""/>
    <n v="15"/>
    <n v="15"/>
    <n v="15"/>
    <n v="15"/>
    <s v=""/>
    <s v=""/>
    <s v=""/>
    <s v=""/>
    <s v=""/>
    <s v=""/>
    <s v=""/>
    <s v=""/>
    <s v=""/>
    <s v=""/>
    <s v=""/>
    <s v=""/>
    <s v=""/>
    <s v=""/>
    <s v=""/>
    <s v=""/>
    <n v="10"/>
    <n v="9"/>
    <n v="8.25"/>
    <n v="8.5"/>
    <s v=""/>
    <s v=""/>
    <s v=""/>
    <s v=""/>
    <s v=""/>
    <s v=""/>
    <s v=""/>
    <s v=""/>
    <s v=""/>
    <s v=""/>
    <s v=""/>
    <s v=""/>
    <s v=""/>
    <s v=""/>
    <s v=""/>
    <s v=""/>
    <s v=""/>
    <s v=""/>
    <s v=""/>
    <s v=""/>
    <s v=""/>
    <s v=""/>
    <s v=""/>
    <s v=""/>
    <s v=""/>
    <s v=""/>
    <s v=""/>
    <s v=""/>
    <s v=""/>
    <s v=""/>
    <s v=""/>
    <s v=""/>
    <s v=""/>
    <s v=""/>
    <s v=""/>
    <s v=""/>
    <n v="1"/>
    <n v="12"/>
    <n v="0"/>
    <n v="0"/>
    <n v="13"/>
    <x v="2"/>
    <n v="236"/>
    <n v="0"/>
    <e v="#VALUE!"/>
    <e v="#VALUE!"/>
    <e v="#VALUE!"/>
    <e v="#VALUE!"/>
    <x v="0"/>
    <n v="153503"/>
    <n v="13948"/>
    <n v="17511.34"/>
    <n v="0"/>
    <n v="1.5436821926747695"/>
    <n v="9.7855453136471162"/>
    <n v="0.88514560730891589"/>
    <n v="0"/>
    <n v="0"/>
    <n v="4.1357370095440084E-2"/>
    <n v="8.5325067297495713E-2"/>
    <n v="0.1806020066889632"/>
    <n v="7.0152540990292847E-2"/>
    <n v="0.13100579166326781"/>
    <n v="9.7887266498083048E-2"/>
    <n v="0.18500693368137694"/>
    <n v="0.30173749898034097"/>
    <n v="0.35198629578269025"/>
    <n v="0"/>
    <n v="9.1715474345378897E-2"/>
    <n v="0"/>
    <n v="1.3051635533077739E-2"/>
    <n v="1.2076025776980177"/>
    <n v="0"/>
    <n v="7.5291622481442208E-2"/>
    <n v="4.0786361040867934E-2"/>
    <n v="0"/>
    <n v="0"/>
    <n v="0"/>
    <n v="0"/>
    <n v="0"/>
    <n v="0"/>
    <n v="0"/>
    <n v="15.087881556407536"/>
    <n v="0.24023166653071212"/>
    <n v="0"/>
    <n v="13"/>
    <x v="0"/>
    <x v="1"/>
    <x v="1"/>
    <x v="1"/>
    <x v="0"/>
    <b v="1"/>
    <b v="1"/>
    <n v="0"/>
    <s v=""/>
    <s v=""/>
    <s v=""/>
    <s v=""/>
    <n v="0"/>
    <s v=""/>
    <s v=""/>
    <s v=""/>
    <s v=""/>
    <s v=""/>
    <s v=""/>
    <s v=""/>
    <s v=""/>
    <n v="0"/>
    <n v="0"/>
    <s v=""/>
    <s v=""/>
    <s v=""/>
    <s v=""/>
    <n v="0"/>
    <s v=""/>
    <s v=""/>
    <s v=""/>
    <s v=""/>
    <s v=""/>
    <s v=""/>
    <s v=""/>
    <s v=""/>
    <b v="1"/>
    <b v="1"/>
    <x v="3"/>
    <n v="12.5216575577127"/>
    <n v="1.1377763275960517"/>
    <n v="1.4284476710987843"/>
    <n v="0"/>
    <n v="0"/>
    <s v=""/>
    <s v=""/>
    <s v=""/>
    <s v=""/>
    <n v="12"/>
    <s v=""/>
    <s v=""/>
    <s v=""/>
    <s v=""/>
    <s v=""/>
    <s v=""/>
    <s v=""/>
    <s v=""/>
    <n v="12"/>
    <n v="0"/>
    <s v=""/>
    <s v=""/>
    <s v=""/>
    <s v=""/>
    <n v="4.8000000000000043"/>
    <s v=""/>
    <s v=""/>
    <s v=""/>
    <s v=""/>
    <s v=""/>
    <s v=""/>
    <s v=""/>
    <s v=""/>
    <n v="15"/>
    <n v="15"/>
    <n v="15"/>
    <n v="15"/>
    <s v=""/>
    <s v=""/>
    <s v=""/>
    <s v=""/>
    <s v=""/>
    <s v=""/>
    <s v=""/>
    <s v=""/>
    <s v=""/>
    <s v=""/>
    <s v=""/>
    <s v=""/>
    <s v=""/>
    <s v=""/>
    <s v=""/>
    <s v=""/>
    <n v="120"/>
    <n v="108"/>
    <n v="99"/>
    <n v="102"/>
    <s v=""/>
    <s v=""/>
    <s v=""/>
    <s v=""/>
    <s v=""/>
    <s v=""/>
    <s v=""/>
    <s v=""/>
    <s v=""/>
    <s v=""/>
    <s v=""/>
    <s v=""/>
    <s v=""/>
    <s v=""/>
    <s v=""/>
    <s v=""/>
    <s v=""/>
    <s v=""/>
    <s v=""/>
    <s v=""/>
    <s v=""/>
    <s v=""/>
    <s v=""/>
    <s v=""/>
    <s v=""/>
    <s v=""/>
    <s v=""/>
    <s v=""/>
    <s v=""/>
    <s v=""/>
    <s v=""/>
    <s v=""/>
    <s v=""/>
    <s v=""/>
    <s v=""/>
    <s v=""/>
    <n v="1"/>
    <n v="0"/>
    <n v="0"/>
    <n v="0"/>
    <n v="0"/>
    <n v="12"/>
    <n v="0"/>
    <n v="0"/>
    <n v="0"/>
    <n v="0"/>
    <n v="0"/>
    <n v="0"/>
    <n v="0"/>
    <n v="0"/>
    <n v="0"/>
  </r>
  <r>
    <m/>
    <m/>
    <m/>
    <m/>
    <m/>
    <m/>
    <n v="14"/>
    <n v="44"/>
    <n v="44"/>
    <n v="0.25"/>
    <n v="0.75"/>
    <s v="Leased or Rented"/>
    <s v="Leased or Rented"/>
    <m/>
    <m/>
    <m/>
    <m/>
    <n v="14.9"/>
    <n v="0"/>
    <n v="0"/>
    <n v="0"/>
    <n v="1"/>
    <n v="11.78"/>
    <n v="0"/>
    <n v="0"/>
    <n v="0"/>
    <n v="2"/>
    <s v="Other manager Senior"/>
    <n v="9.51"/>
    <n v="0"/>
    <n v="0"/>
    <n v="0"/>
    <n v="3"/>
    <s v="Other manager Team Leader"/>
    <n v="9.2100000000000009"/>
    <n v="0"/>
    <n v="0"/>
    <n v="0"/>
    <n v="4"/>
    <s v="Other manager (specify)"/>
    <n v="0"/>
    <n v="0"/>
    <n v="0"/>
    <n v="0"/>
    <n v="0"/>
    <s v="Support Worker"/>
    <n v="8.91"/>
    <n v="0"/>
    <n v="0"/>
    <n v="0"/>
    <n v="20"/>
    <s v="Support Worker NVQ2"/>
    <n v="9.01"/>
    <n v="0"/>
    <n v="0"/>
    <n v="0"/>
    <n v="20"/>
    <s v="Care Assistant (specify)"/>
    <n v="0"/>
    <n v="0"/>
    <n v="0"/>
    <n v="0"/>
    <n v="0"/>
    <s v="Care Assistant (specify)"/>
    <n v="0"/>
    <n v="0"/>
    <n v="0"/>
    <n v="0"/>
    <n v="0"/>
    <s v="Administrative Officer full time"/>
    <n v="9.3699999999999992"/>
    <n v="0"/>
    <n v="0"/>
    <n v="0"/>
    <n v="1"/>
    <s v="Administrative Officer part time "/>
    <n v="9.3699999999999992"/>
    <n v="0"/>
    <n v="0"/>
    <n v="0"/>
    <n v="1"/>
    <s v="Administrative Officer (specify)"/>
    <n v="0"/>
    <n v="0"/>
    <n v="0"/>
    <n v="0"/>
    <n v="0"/>
    <s v="Other staff maintenance part time "/>
    <n v="10"/>
    <n v="0"/>
    <n v="0"/>
    <n v="0"/>
    <n v="1"/>
    <s v="Other staff (specify)"/>
    <n v="0"/>
    <n v="0"/>
    <n v="0"/>
    <n v="0"/>
    <n v="0"/>
    <s v="Other staff (specify)"/>
    <n v="0"/>
    <n v="0"/>
    <n v="0"/>
    <n v="0"/>
    <n v="0"/>
    <n v="0.03"/>
    <n v="0"/>
    <n v="0"/>
    <n v="0"/>
    <n v="0"/>
    <n v="0"/>
    <n v="0"/>
    <n v="1135.5"/>
    <n v="64.3"/>
    <n v="0"/>
    <n v="415.5"/>
    <n v="295.5"/>
    <n v="4"/>
    <n v="17.48"/>
    <n v="15.58"/>
    <n v="15.58"/>
    <d v="2019-12-01T00:00:00"/>
    <d v="2020-11-30T00:00:00"/>
    <n v="84000"/>
    <n v="273505.17"/>
    <n v="944084.09"/>
    <n v="37023.160000000003"/>
    <n v="5268.33"/>
    <n v="9840"/>
    <n v="1040"/>
    <n v="0"/>
    <n v="10123.200000000001"/>
    <n v="1452"/>
    <n v="475"/>
    <n v="2500"/>
    <n v="8346"/>
    <n v="2359"/>
    <s v="Other - please specify"/>
    <n v="0"/>
    <s v="Other - please specify"/>
    <n v="0"/>
    <n v="4585.8599999999997"/>
    <n v="635.88"/>
    <n v="7668.33"/>
    <n v="15000"/>
    <n v="2466"/>
    <n v="247.2"/>
    <n v="0"/>
    <n v="0"/>
    <s v="Other - please specify"/>
    <n v="0"/>
    <s v="Other - please specify"/>
    <n v="0"/>
    <n v="33750"/>
    <n v="2000"/>
    <s v="Other overheads - please specify"/>
    <n v="0"/>
    <s v="Other overheads - please specify"/>
    <n v="0"/>
    <n v="94927"/>
    <n v="94927"/>
    <n v="268996"/>
    <m/>
    <d v="2021-10-11T14:58:03"/>
    <x v="0"/>
    <n v="88"/>
    <x v="6"/>
    <n v="14.9"/>
    <n v="14.9"/>
    <s v=""/>
    <s v=""/>
    <n v="11.78"/>
    <s v=""/>
    <s v=""/>
    <s v=""/>
    <n v="9.51"/>
    <n v="9.51"/>
    <s v=""/>
    <s v=""/>
    <n v="9.2100000000000009"/>
    <n v="9.2100000000000009"/>
    <s v=""/>
    <s v=""/>
    <s v=""/>
    <s v=""/>
    <s v=""/>
    <s v=""/>
    <n v="8.91"/>
    <n v="8.91"/>
    <s v=""/>
    <s v=""/>
    <n v="9.01"/>
    <n v="9.01"/>
    <s v=""/>
    <s v=""/>
    <s v=""/>
    <s v=""/>
    <s v=""/>
    <s v=""/>
    <s v=""/>
    <s v=""/>
    <s v=""/>
    <s v=""/>
    <n v="9.3699999999999992"/>
    <n v="9.3699999999999992"/>
    <s v=""/>
    <s v=""/>
    <n v="9.3699999999999992"/>
    <n v="9.3699999999999992"/>
    <s v=""/>
    <s v=""/>
    <s v=""/>
    <s v=""/>
    <s v=""/>
    <s v=""/>
    <n v="10"/>
    <n v="10"/>
    <s v=""/>
    <s v=""/>
    <s v=""/>
    <s v=""/>
    <s v=""/>
    <s v=""/>
    <s v=""/>
    <s v=""/>
    <s v=""/>
    <s v=""/>
    <n v="14.9"/>
    <n v="14.9"/>
    <n v="14.9"/>
    <n v="14.9"/>
    <n v="11.78"/>
    <s v=""/>
    <n v="11.78"/>
    <s v=""/>
    <n v="9.51"/>
    <n v="9.51"/>
    <n v="9.51"/>
    <n v="9.51"/>
    <n v="9.2100000000000009"/>
    <n v="9.2100000000000009"/>
    <n v="9.2100000000000009"/>
    <n v="9.2100000000000009"/>
    <s v=""/>
    <s v=""/>
    <s v=""/>
    <s v=""/>
    <n v="8.91"/>
    <n v="8.91"/>
    <n v="8.91"/>
    <n v="8.91"/>
    <n v="9.01"/>
    <n v="9.01"/>
    <n v="9.01"/>
    <n v="9.01"/>
    <s v=""/>
    <s v=""/>
    <s v=""/>
    <s v=""/>
    <s v=""/>
    <s v=""/>
    <s v=""/>
    <s v=""/>
    <n v="9.3699999999999992"/>
    <n v="9.3699999999999992"/>
    <n v="9.3699999999999992"/>
    <n v="9.3699999999999992"/>
    <n v="9.3699999999999992"/>
    <n v="9.3699999999999992"/>
    <n v="9.3699999999999992"/>
    <n v="9.3699999999999992"/>
    <s v=""/>
    <s v=""/>
    <s v=""/>
    <s v=""/>
    <n v="10"/>
    <n v="10"/>
    <n v="10"/>
    <n v="10"/>
    <s v=""/>
    <s v=""/>
    <s v=""/>
    <s v=""/>
    <s v=""/>
    <s v=""/>
    <s v=""/>
    <s v=""/>
    <n v="10"/>
    <n v="40"/>
    <n v="2"/>
    <n v="1"/>
    <n v="53"/>
    <x v="0"/>
    <n v="0"/>
    <n v="1914.8"/>
    <e v="#VALUE!"/>
    <e v="#VALUE!"/>
    <e v="#VALUE!"/>
    <e v="#VALUE!"/>
    <x v="0"/>
    <n v="1280883.95"/>
    <n v="15132"/>
    <n v="30603.27"/>
    <n v="35750"/>
    <n v="3.2560139285714285"/>
    <n v="11.239096309523809"/>
    <n v="0.44075190476190479"/>
    <n v="6.271821428571428E-2"/>
    <n v="0.11714285714285715"/>
    <n v="1.2380952380952381E-2"/>
    <n v="0"/>
    <n v="0.12051428571428573"/>
    <n v="1.7285714285714286E-2"/>
    <n v="5.6547619047619046E-3"/>
    <n v="2.976190476190476E-2"/>
    <n v="9.9357142857142852E-2"/>
    <n v="2.8083333333333332E-2"/>
    <n v="0"/>
    <n v="0"/>
    <n v="5.4593571428571422E-2"/>
    <n v="7.5700000000000003E-3"/>
    <n v="9.1289642857142861E-2"/>
    <n v="0.17857142857142858"/>
    <n v="2.9357142857142856E-2"/>
    <n v="2.9428571428571429E-3"/>
    <n v="0"/>
    <n v="0"/>
    <n v="0"/>
    <n v="0"/>
    <n v="0.4017857142857143"/>
    <n v="2.3809523809523808E-2"/>
    <n v="0"/>
    <n v="0"/>
    <n v="16.218681190476193"/>
    <n v="1.1300833333333333"/>
    <n v="1.1300833333333333"/>
    <n v="14"/>
    <x v="0"/>
    <x v="1"/>
    <x v="0"/>
    <x v="0"/>
    <x v="1"/>
    <b v="0"/>
    <b v="0"/>
    <n v="0"/>
    <n v="0"/>
    <n v="0"/>
    <n v="4"/>
    <s v=""/>
    <n v="20"/>
    <n v="20"/>
    <s v=""/>
    <s v=""/>
    <n v="1"/>
    <n v="1"/>
    <n v="0"/>
    <s v=""/>
    <s v=""/>
    <n v="46"/>
    <n v="0"/>
    <n v="0"/>
    <n v="0"/>
    <n v="1.1599999999999966"/>
    <s v=""/>
    <n v="11.799999999999997"/>
    <n v="9.8000000000000043"/>
    <s v=""/>
    <s v=""/>
    <n v="0.13000000000000078"/>
    <n v="0.13000000000000078"/>
    <n v="0"/>
    <s v=""/>
    <s v=""/>
    <b v="0"/>
    <b v="1"/>
    <x v="1"/>
    <n v="15.248618452380954"/>
    <n v="0.18014285714285713"/>
    <n v="0.36432464285714283"/>
    <n v="0.42559523809523814"/>
    <n v="0"/>
    <n v="0"/>
    <n v="3"/>
    <n v="4"/>
    <s v=""/>
    <n v="20"/>
    <n v="20"/>
    <s v=""/>
    <s v=""/>
    <n v="1"/>
    <n v="1"/>
    <n v="0"/>
    <s v=""/>
    <s v=""/>
    <n v="49"/>
    <n v="0"/>
    <n v="0"/>
    <n v="1.1700000000000017"/>
    <n v="2.759999999999998"/>
    <s v=""/>
    <n v="19.800000000000004"/>
    <n v="17.800000000000011"/>
    <s v=""/>
    <s v=""/>
    <n v="0.53000000000000114"/>
    <n v="0.53000000000000114"/>
    <n v="0"/>
    <s v=""/>
    <s v=""/>
    <n v="14.9"/>
    <n v="14.9"/>
    <n v="14.9"/>
    <n v="14.9"/>
    <n v="23.56"/>
    <s v=""/>
    <n v="23.56"/>
    <s v=""/>
    <n v="28.53"/>
    <n v="28.53"/>
    <n v="28.53"/>
    <n v="28.53"/>
    <n v="36.840000000000003"/>
    <n v="36.840000000000003"/>
    <n v="36.840000000000003"/>
    <n v="36.840000000000003"/>
    <s v=""/>
    <s v=""/>
    <s v=""/>
    <s v=""/>
    <n v="178.2"/>
    <n v="178.2"/>
    <n v="178.2"/>
    <n v="178.2"/>
    <n v="180.2"/>
    <n v="180.2"/>
    <n v="180.2"/>
    <n v="180.2"/>
    <s v=""/>
    <s v=""/>
    <s v=""/>
    <s v=""/>
    <s v=""/>
    <s v=""/>
    <s v=""/>
    <s v=""/>
    <n v="9.3699999999999992"/>
    <n v="9.3699999999999992"/>
    <n v="9.3699999999999992"/>
    <n v="9.3699999999999992"/>
    <n v="9.3699999999999992"/>
    <n v="9.3699999999999992"/>
    <n v="9.3699999999999992"/>
    <n v="9.3699999999999992"/>
    <s v=""/>
    <s v=""/>
    <s v=""/>
    <s v=""/>
    <n v="10"/>
    <n v="10"/>
    <n v="10"/>
    <n v="10"/>
    <s v=""/>
    <s v=""/>
    <s v=""/>
    <s v=""/>
    <s v=""/>
    <s v=""/>
    <s v=""/>
    <s v=""/>
    <n v="1"/>
    <n v="0"/>
    <n v="3"/>
    <n v="4"/>
    <n v="0"/>
    <n v="20"/>
    <n v="20"/>
    <n v="0"/>
    <n v="0"/>
    <n v="1"/>
    <n v="1"/>
    <n v="0"/>
    <n v="1"/>
    <n v="0"/>
    <n v="0"/>
  </r>
  <r>
    <m/>
    <m/>
    <m/>
    <m/>
    <m/>
    <m/>
    <n v="15"/>
    <n v="9"/>
    <m/>
    <n v="1"/>
    <m/>
    <s v="Leased or Rented"/>
    <s v="Leased or Rented"/>
    <m/>
    <m/>
    <m/>
    <m/>
    <n v="16.9483"/>
    <n v="16.9483"/>
    <n v="16.499500000000001"/>
    <n v="16.499500000000001"/>
    <n v="1"/>
    <n v="12.5739"/>
    <n v="12.5739"/>
    <n v="12.207700000000001"/>
    <n v="12.207700000000001"/>
    <n v="1"/>
    <s v="Other manager (specify)"/>
    <n v="0"/>
    <n v="0"/>
    <n v="0"/>
    <n v="0"/>
    <n v="0"/>
    <s v="Other manager (specify)"/>
    <n v="0"/>
    <n v="0"/>
    <n v="0"/>
    <n v="0"/>
    <n v="0"/>
    <s v="Other manager (specify)"/>
    <n v="0"/>
    <n v="0"/>
    <n v="0"/>
    <n v="0"/>
    <n v="0"/>
    <s v="Care Assistant (MHRW)"/>
    <n v="9.1"/>
    <n v="9.1"/>
    <n v="8.75"/>
    <n v="8.75"/>
    <n v="1"/>
    <s v="Care Assistant (MHRW)"/>
    <n v="9.1"/>
    <n v="9.1"/>
    <n v="8.75"/>
    <n v="8.75"/>
    <n v="1"/>
    <s v="Care Assistant (MHRW)"/>
    <n v="9.1"/>
    <n v="9.1"/>
    <n v="8.75"/>
    <n v="8.75"/>
    <n v="1"/>
    <s v="Care Assistant (MHRW)"/>
    <n v="9.1"/>
    <n v="9.1"/>
    <n v="8.75"/>
    <n v="8.75"/>
    <n v="1"/>
    <s v="Administrative Officer (specify)"/>
    <n v="0"/>
    <n v="0"/>
    <n v="0"/>
    <n v="0"/>
    <n v="0"/>
    <s v="Administrative Officer (specify)"/>
    <n v="0"/>
    <n v="0"/>
    <n v="0"/>
    <n v="0"/>
    <n v="0"/>
    <s v="Administrative Officer (specify)"/>
    <n v="0"/>
    <n v="0"/>
    <n v="0"/>
    <n v="0"/>
    <n v="0"/>
    <s v="Other staff (Concierge)"/>
    <n v="9"/>
    <n v="9"/>
    <n v="8.5"/>
    <n v="8.5"/>
    <n v="1"/>
    <s v="Other staff (Concierge)"/>
    <n v="9"/>
    <n v="9"/>
    <n v="8.5"/>
    <n v="8.5"/>
    <n v="1"/>
    <s v="Other staff (specify)"/>
    <n v="0"/>
    <n v="0"/>
    <n v="0"/>
    <n v="0"/>
    <n v="0"/>
    <n v="0.13800000000000001"/>
    <n v="96"/>
    <n v="48"/>
    <n v="96"/>
    <n v="48"/>
    <n v="0"/>
    <n v="0"/>
    <n v="0"/>
    <n v="0"/>
    <n v="0"/>
    <n v="0"/>
    <n v="0"/>
    <n v="0"/>
    <n v="15.27"/>
    <n v="0"/>
    <n v="15.27"/>
    <d v="2020-01-04T00:00:00"/>
    <d v="2021-03-31T00:00:00"/>
    <n v="14976"/>
    <n v="62639.839999999997"/>
    <n v="93952.92"/>
    <n v="0"/>
    <n v="0"/>
    <n v="4572.66"/>
    <n v="51.71"/>
    <n v="0"/>
    <n v="1225.1400000000001"/>
    <n v="76"/>
    <n v="0"/>
    <n v="0"/>
    <n v="0"/>
    <n v="1852.99"/>
    <s v="Other - Staff Welfare"/>
    <n v="1016.19"/>
    <s v="Other - Other Expenditures"/>
    <n v="3006.79"/>
    <n v="610.23"/>
    <n v="14016.27"/>
    <n v="525.76"/>
    <n v="33572.28"/>
    <n v="933"/>
    <n v="499.28"/>
    <n v="0"/>
    <n v="1154.69"/>
    <s v="Other - (Health &amp; Safety C19)"/>
    <n v="6611.61"/>
    <s v="Other - please specify"/>
    <n v="0"/>
    <n v="7966.3711000000003"/>
    <n v="10139.0177"/>
    <s v="Other overheads - please specify"/>
    <n v="0"/>
    <s v="Other overheads - please specify"/>
    <n v="0"/>
    <m/>
    <m/>
    <m/>
    <m/>
    <d v="2021-10-11T14:58:05"/>
    <x v="0"/>
    <n v="9"/>
    <x v="0"/>
    <n v="16.9483"/>
    <n v="16.9483"/>
    <n v="16.499500000000001"/>
    <n v="16.499500000000001"/>
    <n v="12.5739"/>
    <n v="12.5739"/>
    <n v="12.207700000000001"/>
    <n v="12.207700000000001"/>
    <s v=""/>
    <s v=""/>
    <s v=""/>
    <s v=""/>
    <s v=""/>
    <s v=""/>
    <s v=""/>
    <s v=""/>
    <s v=""/>
    <s v=""/>
    <s v=""/>
    <s v=""/>
    <n v="9.1"/>
    <n v="9.1"/>
    <n v="8.75"/>
    <n v="8.75"/>
    <n v="9.1"/>
    <n v="9.1"/>
    <n v="8.75"/>
    <n v="8.75"/>
    <n v="9.1"/>
    <n v="9.1"/>
    <n v="8.75"/>
    <n v="8.75"/>
    <n v="9.1"/>
    <n v="9.1"/>
    <n v="8.75"/>
    <n v="8.75"/>
    <s v=""/>
    <s v=""/>
    <s v=""/>
    <s v=""/>
    <s v=""/>
    <s v=""/>
    <s v=""/>
    <s v=""/>
    <s v=""/>
    <s v=""/>
    <s v=""/>
    <s v=""/>
    <n v="9"/>
    <n v="9"/>
    <n v="8.5"/>
    <n v="8.5"/>
    <n v="9"/>
    <n v="9"/>
    <n v="8.5"/>
    <n v="8.5"/>
    <s v=""/>
    <s v=""/>
    <s v=""/>
    <s v=""/>
    <n v="16.9483"/>
    <n v="16.9483"/>
    <n v="16.499500000000001"/>
    <n v="16.499500000000001"/>
    <n v="12.5739"/>
    <n v="12.5739"/>
    <n v="12.207700000000001"/>
    <n v="12.207700000000001"/>
    <s v=""/>
    <s v=""/>
    <s v=""/>
    <s v=""/>
    <s v=""/>
    <s v=""/>
    <s v=""/>
    <s v=""/>
    <s v=""/>
    <s v=""/>
    <s v=""/>
    <s v=""/>
    <n v="9.1"/>
    <n v="9.1"/>
    <n v="8.75"/>
    <n v="8.75"/>
    <n v="9.1"/>
    <n v="9.1"/>
    <n v="8.75"/>
    <n v="8.75"/>
    <n v="9.1"/>
    <n v="9.1"/>
    <n v="8.75"/>
    <n v="8.75"/>
    <n v="9.1"/>
    <n v="9.1"/>
    <n v="8.75"/>
    <n v="8.75"/>
    <s v=""/>
    <s v=""/>
    <s v=""/>
    <s v=""/>
    <s v=""/>
    <s v=""/>
    <s v=""/>
    <s v=""/>
    <s v=""/>
    <s v=""/>
    <s v=""/>
    <s v=""/>
    <n v="9"/>
    <n v="9"/>
    <n v="8.5"/>
    <n v="8.5"/>
    <n v="9"/>
    <n v="9"/>
    <n v="8.5"/>
    <n v="8.5"/>
    <s v=""/>
    <s v=""/>
    <s v=""/>
    <s v=""/>
    <n v="2"/>
    <n v="4"/>
    <n v="0"/>
    <n v="2"/>
    <n v="8"/>
    <x v="2"/>
    <n v="288"/>
    <n v="0"/>
    <e v="#VALUE!"/>
    <e v="#VALUE!"/>
    <e v="#VALUE!"/>
    <e v="#VALUE!"/>
    <x v="0"/>
    <n v="162442.27000000002"/>
    <n v="5951.97"/>
    <n v="57923.12"/>
    <n v="18105.388800000001"/>
    <n v="4.1826816239316233"/>
    <n v="6.2735657051282052"/>
    <n v="0"/>
    <n v="0"/>
    <n v="0.30533253205128202"/>
    <n v="3.452857905982906E-3"/>
    <n v="0"/>
    <n v="8.1806891025641038E-2"/>
    <n v="5.074786324786325E-3"/>
    <n v="0"/>
    <n v="0"/>
    <n v="0"/>
    <n v="0.12373063568376068"/>
    <n v="6.7854567307692307E-2"/>
    <n v="0.2007739049145299"/>
    <n v="4.0747195512820515E-2"/>
    <n v="0.93591546474358978"/>
    <n v="3.5106837606837603E-2"/>
    <n v="2.2417387820512822"/>
    <n v="6.2299679487179488E-2"/>
    <n v="3.3338675213675215E-2"/>
    <n v="0"/>
    <n v="7.7102697649572657E-2"/>
    <n v="0.44148036858974354"/>
    <n v="0"/>
    <n v="0.53194251469017095"/>
    <n v="0.67701774172008544"/>
    <n v="0"/>
    <n v="0"/>
    <n v="16.320963461538458"/>
    <s v=""/>
    <n v="0"/>
    <n v="15"/>
    <x v="0"/>
    <x v="1"/>
    <x v="1"/>
    <x v="1"/>
    <x v="0"/>
    <b v="1"/>
    <b v="0"/>
    <n v="0"/>
    <n v="0"/>
    <s v=""/>
    <s v=""/>
    <s v=""/>
    <n v="1"/>
    <n v="1"/>
    <n v="1"/>
    <n v="1"/>
    <s v=""/>
    <s v=""/>
    <n v="1"/>
    <n v="1"/>
    <s v=""/>
    <n v="6"/>
    <n v="0"/>
    <n v="0"/>
    <s v=""/>
    <s v=""/>
    <s v=""/>
    <n v="0.40000000000000036"/>
    <n v="0.40000000000000036"/>
    <n v="0.40000000000000036"/>
    <n v="0.40000000000000036"/>
    <s v=""/>
    <s v=""/>
    <n v="0.5"/>
    <n v="0.5"/>
    <s v=""/>
    <b v="0"/>
    <b v="1"/>
    <x v="1"/>
    <n v="10.846839610042732"/>
    <n v="0.39743389423076919"/>
    <n v="3.8677297008547007"/>
    <n v="1.2089602564102564"/>
    <n v="0"/>
    <n v="0"/>
    <s v=""/>
    <s v=""/>
    <s v=""/>
    <n v="1"/>
    <n v="1"/>
    <n v="1"/>
    <n v="1"/>
    <s v=""/>
    <s v=""/>
    <n v="1"/>
    <n v="1"/>
    <s v=""/>
    <n v="6"/>
    <n v="0"/>
    <n v="0"/>
    <s v=""/>
    <s v=""/>
    <s v=""/>
    <n v="0.80000000000000071"/>
    <n v="0.80000000000000071"/>
    <n v="0.80000000000000071"/>
    <n v="0.80000000000000071"/>
    <s v=""/>
    <s v=""/>
    <n v="0.90000000000000036"/>
    <n v="0.90000000000000036"/>
    <s v=""/>
    <n v="16.9483"/>
    <n v="16.9483"/>
    <n v="16.499500000000001"/>
    <n v="16.499500000000001"/>
    <n v="12.5739"/>
    <n v="12.5739"/>
    <n v="12.207700000000001"/>
    <n v="12.207700000000001"/>
    <s v=""/>
    <s v=""/>
    <s v=""/>
    <s v=""/>
    <s v=""/>
    <s v=""/>
    <s v=""/>
    <s v=""/>
    <s v=""/>
    <s v=""/>
    <s v=""/>
    <s v=""/>
    <n v="9.1"/>
    <n v="9.1"/>
    <n v="8.75"/>
    <n v="8.75"/>
    <n v="9.1"/>
    <n v="9.1"/>
    <n v="8.75"/>
    <n v="8.75"/>
    <n v="9.1"/>
    <n v="9.1"/>
    <n v="8.75"/>
    <n v="8.75"/>
    <n v="9.1"/>
    <n v="9.1"/>
    <n v="8.75"/>
    <n v="8.75"/>
    <s v=""/>
    <s v=""/>
    <s v=""/>
    <s v=""/>
    <s v=""/>
    <s v=""/>
    <s v=""/>
    <s v=""/>
    <s v=""/>
    <s v=""/>
    <s v=""/>
    <s v=""/>
    <n v="9"/>
    <n v="9"/>
    <n v="8.5"/>
    <n v="8.5"/>
    <n v="9"/>
    <n v="9"/>
    <n v="8.5"/>
    <n v="8.5"/>
    <s v=""/>
    <s v=""/>
    <s v=""/>
    <s v=""/>
    <n v="1"/>
    <n v="1"/>
    <n v="0"/>
    <n v="0"/>
    <n v="0"/>
    <n v="1"/>
    <n v="1"/>
    <n v="1"/>
    <n v="1"/>
    <n v="0"/>
    <n v="0"/>
    <n v="0"/>
    <n v="1"/>
    <n v="1"/>
    <n v="0"/>
  </r>
  <r>
    <m/>
    <m/>
    <m/>
    <m/>
    <m/>
    <m/>
    <n v="16"/>
    <n v="6"/>
    <n v="9"/>
    <m/>
    <m/>
    <s v="Leased or Rented"/>
    <s v="Leased or Rented"/>
    <m/>
    <m/>
    <m/>
    <m/>
    <n v="15.38"/>
    <n v="20.51"/>
    <n v="0"/>
    <n v="0"/>
    <n v="1"/>
    <n v="11.28"/>
    <n v="15.38"/>
    <n v="0"/>
    <n v="0"/>
    <n v="1"/>
    <s v="Other manager (specify)"/>
    <n v="0"/>
    <n v="0"/>
    <n v="0"/>
    <n v="0"/>
    <n v="0"/>
    <s v="Other manager (specify)"/>
    <n v="0"/>
    <n v="0"/>
    <n v="0"/>
    <n v="0"/>
    <n v="0"/>
    <s v="Other manager (specify)"/>
    <n v="0"/>
    <n v="0"/>
    <n v="0"/>
    <n v="0"/>
    <n v="0"/>
    <s v="Care Assistant (Band 2)"/>
    <n v="8.91"/>
    <n v="9"/>
    <n v="8.7200000000000006"/>
    <n v="9"/>
    <n v="19"/>
    <s v="Care Assistant (Band 3)"/>
    <n v="9"/>
    <n v="9"/>
    <n v="9"/>
    <n v="9"/>
    <n v="36"/>
    <s v="Care Assistant (Senior)"/>
    <n v="10"/>
    <n v="11.28"/>
    <n v="10"/>
    <n v="10"/>
    <n v="3"/>
    <m/>
    <m/>
    <m/>
    <m/>
    <m/>
    <m/>
    <s v="Senior Care Assistant (Ami)"/>
    <n v="10.26"/>
    <n v="11.28"/>
    <n v="10.26"/>
    <n v="11.28"/>
    <n v="3"/>
    <s v="Care Administrator (Sophie)"/>
    <n v="9.23"/>
    <n v="10.26"/>
    <n v="9.23"/>
    <n v="10.26"/>
    <n v="1"/>
    <s v="Trainee Care Administrator"/>
    <n v="8.91"/>
    <n v="8.91"/>
    <n v="8.7200000000000006"/>
    <n v="8.7200000000000006"/>
    <n v="1"/>
    <s v="Other staff (Nurse)"/>
    <n v="20.51"/>
    <n v="20.51"/>
    <n v="19.48"/>
    <n v="19.48"/>
    <n v="1"/>
    <s v="Other staff (specify)"/>
    <n v="0"/>
    <n v="0"/>
    <n v="0"/>
    <n v="0"/>
    <n v="0"/>
    <s v="Other staff (specify)"/>
    <n v="0"/>
    <n v="0"/>
    <n v="0"/>
    <n v="0"/>
    <n v="0"/>
    <n v="0.03"/>
    <n v="0"/>
    <n v="0"/>
    <n v="540"/>
    <n v="0"/>
    <n v="50"/>
    <n v="10.75"/>
    <n v="0"/>
    <n v="16"/>
    <n v="833.5"/>
    <n v="0"/>
    <n v="290"/>
    <n v="0"/>
    <n v="14"/>
    <n v="18.75"/>
    <n v="14.95"/>
    <d v="2020-03-01T00:00:00"/>
    <d v="2021-02-28T00:00:00"/>
    <n v="45703"/>
    <n v="35000"/>
    <n v="505601"/>
    <n v="26999.98"/>
    <n v="41000"/>
    <n v="0"/>
    <n v="1560.72"/>
    <n v="3879"/>
    <n v="17030.25"/>
    <n v="2704.79"/>
    <n v="2598.33"/>
    <n v="5128.6099999999997"/>
    <n v="0"/>
    <n v="0"/>
    <s v="Other - please specify"/>
    <n v="0"/>
    <s v="Other - please specify"/>
    <n v="0"/>
    <n v="0"/>
    <n v="8193.07"/>
    <n v="0"/>
    <n v="11529"/>
    <n v="825.6"/>
    <n v="0"/>
    <n v="0"/>
    <n v="2058.87"/>
    <s v="Other - please specify"/>
    <n v="0"/>
    <s v="Other - please specify"/>
    <n v="0"/>
    <n v="0"/>
    <n v="10000"/>
    <s v="Other overheads - please specify"/>
    <n v="0"/>
    <s v="Other overheads - please specify"/>
    <n v="0"/>
    <m/>
    <n v="0"/>
    <n v="0"/>
    <m/>
    <d v="2021-10-11T14:58:07"/>
    <x v="0"/>
    <n v="15"/>
    <x v="1"/>
    <n v="15.38"/>
    <n v="20.51"/>
    <s v=""/>
    <s v=""/>
    <n v="11.28"/>
    <n v="15.38"/>
    <s v=""/>
    <s v=""/>
    <s v=""/>
    <s v=""/>
    <s v=""/>
    <s v=""/>
    <s v=""/>
    <s v=""/>
    <s v=""/>
    <s v=""/>
    <s v=""/>
    <s v=""/>
    <s v=""/>
    <s v=""/>
    <n v="8.91"/>
    <n v="9"/>
    <n v="8.7200000000000006"/>
    <n v="9"/>
    <n v="9"/>
    <n v="9"/>
    <n v="9"/>
    <n v="9"/>
    <n v="10"/>
    <n v="11.28"/>
    <n v="10"/>
    <n v="10"/>
    <s v=""/>
    <s v=""/>
    <s v=""/>
    <s v=""/>
    <n v="10.26"/>
    <n v="11.28"/>
    <n v="10.26"/>
    <n v="11.28"/>
    <n v="9.23"/>
    <n v="10.26"/>
    <n v="9.23"/>
    <n v="10.26"/>
    <n v="8.91"/>
    <n v="8.91"/>
    <n v="8.7200000000000006"/>
    <n v="8.7200000000000006"/>
    <n v="20.51"/>
    <n v="20.51"/>
    <n v="19.48"/>
    <n v="19.48"/>
    <s v=""/>
    <s v=""/>
    <s v=""/>
    <s v=""/>
    <s v=""/>
    <s v=""/>
    <s v=""/>
    <s v=""/>
    <n v="15.38"/>
    <n v="20.51"/>
    <n v="15.38"/>
    <n v="20.51"/>
    <n v="11.28"/>
    <n v="15.38"/>
    <n v="11.28"/>
    <n v="15.38"/>
    <s v=""/>
    <s v=""/>
    <s v=""/>
    <s v=""/>
    <s v=""/>
    <s v=""/>
    <s v=""/>
    <s v=""/>
    <s v=""/>
    <s v=""/>
    <s v=""/>
    <s v=""/>
    <n v="8.91"/>
    <n v="9"/>
    <n v="8.7200000000000006"/>
    <n v="9"/>
    <n v="9"/>
    <n v="9"/>
    <n v="9"/>
    <n v="9"/>
    <n v="10"/>
    <n v="11.28"/>
    <n v="10"/>
    <n v="10"/>
    <s v=""/>
    <s v=""/>
    <s v=""/>
    <s v=""/>
    <n v="10.26"/>
    <n v="11.28"/>
    <n v="10.26"/>
    <n v="11.28"/>
    <n v="9.23"/>
    <n v="10.26"/>
    <n v="9.23"/>
    <n v="10.26"/>
    <n v="8.91"/>
    <n v="8.91"/>
    <n v="8.7200000000000006"/>
    <n v="8.7200000000000006"/>
    <n v="20.51"/>
    <n v="20.51"/>
    <n v="19.48"/>
    <n v="19.48"/>
    <s v=""/>
    <s v=""/>
    <s v=""/>
    <s v=""/>
    <s v=""/>
    <s v=""/>
    <s v=""/>
    <s v=""/>
    <n v="2"/>
    <n v="58"/>
    <n v="4"/>
    <n v="1"/>
    <n v="65"/>
    <x v="1"/>
    <n v="600.75"/>
    <n v="1139.5"/>
    <e v="#VALUE!"/>
    <e v="#VALUE!"/>
    <e v="#VALUE!"/>
    <e v="#VALUE!"/>
    <x v="0"/>
    <n v="631070.94999999995"/>
    <n v="10431.73"/>
    <n v="22606.539999999997"/>
    <n v="10000"/>
    <n v="0.76581406034614796"/>
    <n v="11.062752992144937"/>
    <n v="0.59077040894470823"/>
    <n v="0.89709647069120191"/>
    <n v="0"/>
    <n v="3.4149180578955433E-2"/>
    <n v="8.4874078288077373E-2"/>
    <n v="0.37262871146314247"/>
    <n v="5.918189177953307E-2"/>
    <n v="5.685250421197733E-2"/>
    <n v="0.1122160470866245"/>
    <n v="0"/>
    <n v="0"/>
    <n v="0"/>
    <n v="0"/>
    <n v="0"/>
    <n v="0.17926766295429183"/>
    <n v="0"/>
    <n v="0.25225915147802114"/>
    <n v="1.8064459663479422E-2"/>
    <n v="0"/>
    <n v="0"/>
    <n v="4.5048902697853527E-2"/>
    <n v="0"/>
    <n v="0"/>
    <n v="0"/>
    <n v="0.21880401724175655"/>
    <n v="0"/>
    <n v="0"/>
    <n v="14.749780539570709"/>
    <s v=""/>
    <n v="0"/>
    <n v="16"/>
    <x v="0"/>
    <x v="1"/>
    <x v="0"/>
    <x v="1"/>
    <x v="1"/>
    <b v="0"/>
    <b v="1"/>
    <n v="0"/>
    <n v="0"/>
    <s v=""/>
    <s v=""/>
    <s v=""/>
    <n v="19"/>
    <n v="36"/>
    <n v="0"/>
    <s v=""/>
    <n v="0"/>
    <n v="0"/>
    <n v="0"/>
    <s v=""/>
    <s v=""/>
    <n v="55"/>
    <n v="0"/>
    <n v="0"/>
    <s v=""/>
    <s v=""/>
    <s v=""/>
    <n v="10.354999999999999"/>
    <n v="18"/>
    <n v="0"/>
    <s v=""/>
    <n v="0"/>
    <n v="0"/>
    <n v="0"/>
    <s v=""/>
    <s v=""/>
    <b v="1"/>
    <b v="1"/>
    <x v="3"/>
    <n v="13.80808590245717"/>
    <n v="0.22825044307813491"/>
    <n v="0.49464017679364591"/>
    <n v="0.21880401724175655"/>
    <n v="0"/>
    <n v="0"/>
    <s v=""/>
    <s v=""/>
    <s v=""/>
    <n v="19"/>
    <n v="36"/>
    <n v="0"/>
    <s v=""/>
    <n v="0"/>
    <n v="1"/>
    <n v="0"/>
    <s v=""/>
    <s v=""/>
    <n v="56"/>
    <n v="0"/>
    <n v="0"/>
    <s v=""/>
    <s v=""/>
    <s v=""/>
    <n v="17.955000000000005"/>
    <n v="32.400000000000013"/>
    <n v="0"/>
    <s v=""/>
    <n v="0"/>
    <n v="0.15499999999999936"/>
    <n v="0"/>
    <s v=""/>
    <s v=""/>
    <n v="15.38"/>
    <n v="20.51"/>
    <n v="15.38"/>
    <n v="20.51"/>
    <n v="11.28"/>
    <n v="15.38"/>
    <n v="11.28"/>
    <n v="15.38"/>
    <s v=""/>
    <s v=""/>
    <s v=""/>
    <s v=""/>
    <s v=""/>
    <s v=""/>
    <s v=""/>
    <s v=""/>
    <s v=""/>
    <s v=""/>
    <s v=""/>
    <s v=""/>
    <n v="169.29"/>
    <n v="171"/>
    <n v="165.68"/>
    <n v="171"/>
    <n v="324"/>
    <n v="324"/>
    <n v="324"/>
    <n v="324"/>
    <n v="30"/>
    <n v="33.839999999999996"/>
    <n v="30"/>
    <n v="30"/>
    <s v=""/>
    <s v=""/>
    <s v=""/>
    <s v=""/>
    <n v="30.78"/>
    <n v="33.839999999999996"/>
    <n v="30.78"/>
    <n v="33.839999999999996"/>
    <n v="9.23"/>
    <n v="10.26"/>
    <n v="9.23"/>
    <n v="10.26"/>
    <n v="8.91"/>
    <n v="8.91"/>
    <n v="8.7200000000000006"/>
    <n v="8.7200000000000006"/>
    <n v="20.51"/>
    <n v="20.51"/>
    <n v="19.48"/>
    <n v="19.48"/>
    <s v=""/>
    <s v=""/>
    <s v=""/>
    <s v=""/>
    <s v=""/>
    <s v=""/>
    <s v=""/>
    <s v=""/>
    <n v="1"/>
    <n v="1"/>
    <n v="0"/>
    <n v="0"/>
    <n v="0"/>
    <n v="19"/>
    <n v="36"/>
    <n v="3"/>
    <n v="0"/>
    <n v="3"/>
    <n v="1"/>
    <n v="1"/>
    <n v="1"/>
    <n v="0"/>
    <n v="0"/>
  </r>
  <r>
    <m/>
    <m/>
    <m/>
    <m/>
    <m/>
    <m/>
    <n v="17"/>
    <n v="22"/>
    <n v="0"/>
    <n v="1"/>
    <n v="0"/>
    <s v="Leased or Rented"/>
    <s v="N/A"/>
    <m/>
    <m/>
    <m/>
    <m/>
    <n v="12.73"/>
    <n v="12.73"/>
    <n v="12.73"/>
    <n v="12.73"/>
    <n v="1"/>
    <n v="0"/>
    <n v="0"/>
    <n v="0"/>
    <n v="0"/>
    <n v="0"/>
    <s v="Office Manager"/>
    <n v="9.1999999999999993"/>
    <n v="9.1999999999999993"/>
    <n v="9"/>
    <n v="9"/>
    <n v="1"/>
    <s v="Other manager (specify)"/>
    <n v="0"/>
    <n v="0"/>
    <n v="0"/>
    <n v="0"/>
    <n v="0"/>
    <s v="Other manager (specify)"/>
    <n v="0"/>
    <n v="0"/>
    <n v="0"/>
    <n v="0"/>
    <n v="0"/>
    <s v="Care Co-Ordinator"/>
    <n v="9.11"/>
    <n v="9.11"/>
    <n v="8.91"/>
    <n v="8.91"/>
    <n v="2"/>
    <s v="Senior Care Staff"/>
    <n v="9.01"/>
    <n v="9.01"/>
    <n v="8.82"/>
    <n v="8.82"/>
    <n v="2"/>
    <s v="Care Assistant "/>
    <n v="8.91"/>
    <n v="8.91"/>
    <n v="8.7200000000000006"/>
    <n v="8.7200000000000006"/>
    <n v="31"/>
    <s v="Care Assistant (Bank Staff)"/>
    <n v="8.91"/>
    <n v="8.91"/>
    <n v="8.7200000000000006"/>
    <n v="8.7200000000000006"/>
    <n v="2"/>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38"/>
    <n v="32"/>
    <n v="0.1"/>
    <n v="0"/>
    <n v="27.9"/>
    <n v="2"/>
    <n v="0"/>
    <n v="0"/>
    <n v="0"/>
    <n v="0"/>
    <n v="0"/>
    <n v="0"/>
    <n v="18.32"/>
    <n v="18.32"/>
    <n v="15.87"/>
    <d v="2019-12-01T00:00:00"/>
    <d v="2020-11-30T00:00:00"/>
    <n v="47847"/>
    <n v="55564"/>
    <n v="601173"/>
    <n v="18448"/>
    <n v="0"/>
    <n v="0"/>
    <n v="9426"/>
    <n v="26158"/>
    <n v="5325"/>
    <n v="6097"/>
    <n v="0"/>
    <n v="11978"/>
    <n v="0"/>
    <n v="7072"/>
    <s v="Vehicle running costs"/>
    <n v="13833"/>
    <s v="Other - please specify"/>
    <n v="0"/>
    <n v="6206"/>
    <n v="8247"/>
    <n v="2603"/>
    <n v="35961"/>
    <n v="4289"/>
    <n v="0"/>
    <n v="2328"/>
    <n v="23205"/>
    <s v="PPS"/>
    <n v="4644"/>
    <s v="Other - please specify"/>
    <n v="0"/>
    <n v="0"/>
    <n v="20967"/>
    <s v="Other overheads - please specify"/>
    <n v="0"/>
    <s v="Other overheads - please specify"/>
    <n v="0"/>
    <n v="13362"/>
    <n v="0.85"/>
    <n v="15681"/>
    <m/>
    <d v="2021-10-11T14:58:11"/>
    <x v="4"/>
    <n v="22"/>
    <x v="2"/>
    <n v="12.73"/>
    <n v="12.73"/>
    <n v="12.73"/>
    <n v="12.73"/>
    <s v=""/>
    <s v=""/>
    <s v=""/>
    <s v=""/>
    <n v="9.1999999999999993"/>
    <n v="9.1999999999999993"/>
    <n v="9"/>
    <n v="9"/>
    <s v=""/>
    <s v=""/>
    <s v=""/>
    <s v=""/>
    <s v=""/>
    <s v=""/>
    <s v=""/>
    <s v=""/>
    <n v="9.11"/>
    <n v="9.11"/>
    <n v="8.91"/>
    <n v="8.91"/>
    <n v="9.01"/>
    <n v="9.01"/>
    <n v="8.82"/>
    <n v="8.82"/>
    <n v="8.91"/>
    <n v="8.91"/>
    <n v="8.7200000000000006"/>
    <n v="8.7200000000000006"/>
    <n v="8.91"/>
    <n v="8.91"/>
    <n v="8.7200000000000006"/>
    <n v="8.7200000000000006"/>
    <s v=""/>
    <s v=""/>
    <s v=""/>
    <s v=""/>
    <s v=""/>
    <s v=""/>
    <s v=""/>
    <s v=""/>
    <s v=""/>
    <s v=""/>
    <s v=""/>
    <s v=""/>
    <s v=""/>
    <s v=""/>
    <s v=""/>
    <s v=""/>
    <s v=""/>
    <s v=""/>
    <s v=""/>
    <s v=""/>
    <s v=""/>
    <s v=""/>
    <s v=""/>
    <s v=""/>
    <n v="12.73"/>
    <n v="12.73"/>
    <n v="12.73"/>
    <n v="12.73"/>
    <s v=""/>
    <s v=""/>
    <s v=""/>
    <s v=""/>
    <n v="9.1999999999999993"/>
    <n v="9.1999999999999993"/>
    <n v="9"/>
    <n v="9"/>
    <s v=""/>
    <s v=""/>
    <s v=""/>
    <s v=""/>
    <s v=""/>
    <s v=""/>
    <s v=""/>
    <s v=""/>
    <n v="9.11"/>
    <n v="9.11"/>
    <n v="8.91"/>
    <n v="8.91"/>
    <n v="9.01"/>
    <n v="9.01"/>
    <n v="8.82"/>
    <n v="8.82"/>
    <n v="8.91"/>
    <n v="8.91"/>
    <n v="8.7200000000000006"/>
    <n v="8.7200000000000006"/>
    <n v="8.91"/>
    <n v="8.91"/>
    <n v="8.7200000000000006"/>
    <n v="8.7200000000000006"/>
    <s v=""/>
    <s v=""/>
    <s v=""/>
    <s v=""/>
    <s v=""/>
    <s v=""/>
    <s v=""/>
    <s v=""/>
    <s v=""/>
    <s v=""/>
    <s v=""/>
    <s v=""/>
    <s v=""/>
    <s v=""/>
    <s v=""/>
    <s v=""/>
    <s v=""/>
    <s v=""/>
    <s v=""/>
    <s v=""/>
    <s v=""/>
    <s v=""/>
    <s v=""/>
    <s v=""/>
    <n v="2"/>
    <n v="37"/>
    <n v="0"/>
    <n v="0"/>
    <n v="39"/>
    <x v="2"/>
    <n v="100"/>
    <n v="0"/>
    <e v="#VALUE!"/>
    <e v="#VALUE!"/>
    <e v="#VALUE!"/>
    <e v="#VALUE!"/>
    <x v="0"/>
    <n v="716094"/>
    <n v="38980"/>
    <n v="87483"/>
    <n v="20967"/>
    <n v="1.1612849290446632"/>
    <n v="12.564486801680356"/>
    <n v="0.38556231320667961"/>
    <n v="0"/>
    <n v="0"/>
    <n v="0.19700294689322215"/>
    <n v="0.54670094258783208"/>
    <n v="0.11129224402783873"/>
    <n v="0.12742700691788408"/>
    <n v="0"/>
    <n v="0.2503396242188643"/>
    <n v="0"/>
    <n v="0.14780446004974188"/>
    <n v="0.28910903504921937"/>
    <n v="0"/>
    <n v="0.12970510167826613"/>
    <n v="0.17236190356762179"/>
    <n v="5.4402574874077791E-2"/>
    <n v="0.75158317135870589"/>
    <n v="8.9639893828244194E-2"/>
    <n v="0"/>
    <n v="4.8655088093297383E-2"/>
    <n v="0.48498338453821555"/>
    <n v="9.7059376763433444E-2"/>
    <n v="0"/>
    <n v="0"/>
    <n v="0.43820929211862814"/>
    <n v="0"/>
    <n v="0"/>
    <n v="18.047610090496793"/>
    <n v="0.27926515769013732"/>
    <n v="1.7764959140593976E-5"/>
    <n v="17"/>
    <x v="0"/>
    <x v="1"/>
    <x v="1"/>
    <x v="1"/>
    <x v="0"/>
    <b v="1"/>
    <b v="1"/>
    <n v="0"/>
    <s v=""/>
    <n v="1"/>
    <s v=""/>
    <s v=""/>
    <n v="2"/>
    <n v="2"/>
    <n v="31"/>
    <n v="2"/>
    <s v=""/>
    <s v=""/>
    <s v=""/>
    <s v=""/>
    <s v=""/>
    <n v="38"/>
    <n v="0"/>
    <s v=""/>
    <n v="0.30000000000000071"/>
    <s v=""/>
    <s v=""/>
    <n v="0.78000000000000114"/>
    <n v="0.98000000000000043"/>
    <n v="18.289999999999996"/>
    <n v="1.1799999999999997"/>
    <s v=""/>
    <s v=""/>
    <s v=""/>
    <s v=""/>
    <s v=""/>
    <b v="0"/>
    <b v="1"/>
    <x v="1"/>
    <n v="14.966330177440593"/>
    <n v="0.81468012623570962"/>
    <n v="1.8283904947018621"/>
    <n v="0.43820929211862814"/>
    <n v="0"/>
    <s v=""/>
    <n v="1"/>
    <s v=""/>
    <s v=""/>
    <n v="2"/>
    <n v="2"/>
    <n v="31"/>
    <n v="2"/>
    <s v=""/>
    <s v=""/>
    <s v=""/>
    <s v=""/>
    <s v=""/>
    <n v="38"/>
    <n v="0"/>
    <s v=""/>
    <n v="0.70000000000000107"/>
    <s v=""/>
    <s v=""/>
    <n v="1.5800000000000018"/>
    <n v="1.7800000000000011"/>
    <n v="30.690000000000005"/>
    <n v="1.9800000000000004"/>
    <s v=""/>
    <s v=""/>
    <s v=""/>
    <s v=""/>
    <s v=""/>
    <n v="12.73"/>
    <n v="12.73"/>
    <n v="12.73"/>
    <n v="12.73"/>
    <s v=""/>
    <s v=""/>
    <s v=""/>
    <s v=""/>
    <n v="9.1999999999999993"/>
    <n v="9.1999999999999993"/>
    <n v="9"/>
    <n v="9"/>
    <s v=""/>
    <s v=""/>
    <s v=""/>
    <s v=""/>
    <s v=""/>
    <s v=""/>
    <s v=""/>
    <s v=""/>
    <n v="18.22"/>
    <n v="18.22"/>
    <n v="17.82"/>
    <n v="17.82"/>
    <n v="18.02"/>
    <n v="18.02"/>
    <n v="17.64"/>
    <n v="17.64"/>
    <n v="276.20999999999998"/>
    <n v="276.20999999999998"/>
    <n v="270.32"/>
    <n v="270.32"/>
    <n v="17.82"/>
    <n v="17.82"/>
    <n v="17.440000000000001"/>
    <n v="17.440000000000001"/>
    <s v=""/>
    <s v=""/>
    <s v=""/>
    <s v=""/>
    <s v=""/>
    <s v=""/>
    <s v=""/>
    <s v=""/>
    <s v=""/>
    <s v=""/>
    <s v=""/>
    <s v=""/>
    <s v=""/>
    <s v=""/>
    <s v=""/>
    <s v=""/>
    <s v=""/>
    <s v=""/>
    <s v=""/>
    <s v=""/>
    <s v=""/>
    <s v=""/>
    <s v=""/>
    <s v=""/>
    <n v="1"/>
    <n v="0"/>
    <n v="1"/>
    <n v="0"/>
    <n v="0"/>
    <n v="2"/>
    <n v="2"/>
    <n v="31"/>
    <n v="2"/>
    <n v="0"/>
    <n v="0"/>
    <n v="0"/>
    <n v="0"/>
    <n v="0"/>
    <n v="0"/>
  </r>
  <r>
    <m/>
    <m/>
    <m/>
    <m/>
    <m/>
    <m/>
    <n v="18"/>
    <n v="121"/>
    <n v="0"/>
    <n v="1"/>
    <m/>
    <m/>
    <m/>
    <m/>
    <m/>
    <m/>
    <m/>
    <n v="16.41"/>
    <n v="16.41"/>
    <n v="16.41"/>
    <n v="16.41"/>
    <n v="1"/>
    <n v="12.82"/>
    <n v="12.82"/>
    <n v="12.82"/>
    <n v="12.82"/>
    <n v="1"/>
    <s v="Childrens Service Lead"/>
    <n v="9.85"/>
    <n v="9.85"/>
    <n v="9.85"/>
    <n v="9.85"/>
    <n v="1"/>
    <s v="Training Manager"/>
    <n v="9.9700000000000006"/>
    <n v="9.9700000000000006"/>
    <n v="9.9700000000000006"/>
    <n v="9.9700000000000006"/>
    <n v="1"/>
    <s v="Other manager (specify)"/>
    <n v="0"/>
    <n v="0"/>
    <n v="0"/>
    <n v="0"/>
    <n v="0"/>
    <s v="Care Assistant "/>
    <n v="8.6300000000000008"/>
    <n v="8.91"/>
    <n v="8.36"/>
    <n v="8.91"/>
    <n v="36"/>
    <s v="Support Assistant"/>
    <n v="8.6300000000000008"/>
    <n v="8.91"/>
    <n v="8.36"/>
    <n v="8.91"/>
    <n v="6"/>
    <s v="Care Assistant (specify)"/>
    <n v="0"/>
    <n v="0"/>
    <n v="0"/>
    <n v="0"/>
    <n v="0"/>
    <s v="Care Assistant (specify)"/>
    <n v="0"/>
    <n v="0"/>
    <n v="0"/>
    <n v="0"/>
    <n v="0"/>
    <s v="Training Coordinator"/>
    <n v="10.76"/>
    <n v="10.76"/>
    <n v="10.76"/>
    <n v="10.76"/>
    <n v="2"/>
    <s v="Recruitment Officer"/>
    <n v="9.1999999999999993"/>
    <n v="9.1999999999999993"/>
    <n v="9.1999999999999993"/>
    <n v="9.1999999999999993"/>
    <n v="1"/>
    <s v="Administrative Officer (specify)"/>
    <n v="0"/>
    <n v="0"/>
    <n v="0"/>
    <n v="0"/>
    <n v="0"/>
    <s v="Other staff (specify)"/>
    <n v="0"/>
    <n v="0"/>
    <n v="0"/>
    <n v="0"/>
    <n v="0"/>
    <s v="Other staff (specify)"/>
    <n v="0"/>
    <n v="0"/>
    <n v="0"/>
    <n v="0"/>
    <n v="0"/>
    <s v="Other staff (specify)"/>
    <n v="0"/>
    <n v="0"/>
    <n v="0"/>
    <n v="0"/>
    <n v="0"/>
    <n v="0.83"/>
    <n v="6835"/>
    <n v="0"/>
    <n v="161"/>
    <n v="43"/>
    <n v="1942"/>
    <n v="33"/>
    <n v="0"/>
    <n v="0"/>
    <n v="0"/>
    <n v="0"/>
    <n v="0"/>
    <n v="0"/>
    <n v="15.58"/>
    <n v="17.600000000000001"/>
    <n v="16.5"/>
    <d v="2020-01-01T00:00:00"/>
    <d v="2020-12-31T00:00:00"/>
    <n v="74487"/>
    <n v="109500"/>
    <n v="773781"/>
    <n v="16500"/>
    <n v="0"/>
    <n v="0"/>
    <n v="8990.91"/>
    <n v="4078.49"/>
    <n v="3124"/>
    <n v="4600"/>
    <n v="0"/>
    <n v="3700"/>
    <n v="29575"/>
    <n v="4200"/>
    <s v="Other - please specify"/>
    <n v="0"/>
    <s v="Other - please specify"/>
    <n v="0"/>
    <n v="6839"/>
    <n v="3666"/>
    <n v="0"/>
    <n v="17622"/>
    <n v="39000"/>
    <n v="0"/>
    <n v="3600"/>
    <n v="0"/>
    <s v="Other - please specify"/>
    <n v="0"/>
    <s v="Other - please specify"/>
    <n v="0"/>
    <n v="0"/>
    <n v="0"/>
    <s v="Other overheads - please specify"/>
    <n v="0"/>
    <s v="Other overheads - please specify"/>
    <n v="0"/>
    <m/>
    <n v="0"/>
    <n v="0"/>
    <m/>
    <d v="2021-10-11T14:58:14"/>
    <x v="4"/>
    <n v="121"/>
    <x v="7"/>
    <n v="16.41"/>
    <n v="16.41"/>
    <n v="16.41"/>
    <n v="16.41"/>
    <n v="12.82"/>
    <n v="12.82"/>
    <n v="12.82"/>
    <n v="12.82"/>
    <n v="9.85"/>
    <n v="9.85"/>
    <n v="9.85"/>
    <n v="9.85"/>
    <n v="9.9700000000000006"/>
    <n v="9.9700000000000006"/>
    <n v="9.9700000000000006"/>
    <n v="9.9700000000000006"/>
    <s v=""/>
    <s v=""/>
    <s v=""/>
    <s v=""/>
    <n v="8.6300000000000008"/>
    <n v="8.91"/>
    <n v="8.36"/>
    <n v="8.91"/>
    <n v="8.6300000000000008"/>
    <n v="8.91"/>
    <n v="8.36"/>
    <n v="8.91"/>
    <s v=""/>
    <s v=""/>
    <s v=""/>
    <s v=""/>
    <s v=""/>
    <s v=""/>
    <s v=""/>
    <s v=""/>
    <n v="10.76"/>
    <n v="10.76"/>
    <n v="10.76"/>
    <n v="10.76"/>
    <n v="9.1999999999999993"/>
    <n v="9.1999999999999993"/>
    <n v="9.1999999999999993"/>
    <n v="9.1999999999999993"/>
    <s v=""/>
    <s v=""/>
    <s v=""/>
    <s v=""/>
    <s v=""/>
    <s v=""/>
    <s v=""/>
    <s v=""/>
    <s v=""/>
    <s v=""/>
    <s v=""/>
    <s v=""/>
    <s v=""/>
    <s v=""/>
    <s v=""/>
    <s v=""/>
    <n v="16.41"/>
    <n v="16.41"/>
    <n v="16.41"/>
    <n v="16.41"/>
    <n v="12.82"/>
    <n v="12.82"/>
    <n v="12.82"/>
    <n v="12.82"/>
    <n v="9.85"/>
    <n v="9.85"/>
    <n v="9.85"/>
    <n v="9.85"/>
    <n v="9.9700000000000006"/>
    <n v="9.9700000000000006"/>
    <n v="9.9700000000000006"/>
    <n v="9.9700000000000006"/>
    <s v=""/>
    <s v=""/>
    <s v=""/>
    <s v=""/>
    <n v="8.6300000000000008"/>
    <n v="8.91"/>
    <n v="8.36"/>
    <n v="8.91"/>
    <n v="8.6300000000000008"/>
    <n v="8.91"/>
    <n v="8.36"/>
    <n v="8.91"/>
    <s v=""/>
    <s v=""/>
    <s v=""/>
    <s v=""/>
    <s v=""/>
    <s v=""/>
    <s v=""/>
    <s v=""/>
    <n v="10.76"/>
    <n v="10.76"/>
    <n v="10.76"/>
    <n v="10.76"/>
    <n v="9.1999999999999993"/>
    <n v="9.1999999999999993"/>
    <n v="9.1999999999999993"/>
    <n v="9.1999999999999993"/>
    <s v=""/>
    <s v=""/>
    <s v=""/>
    <s v=""/>
    <s v=""/>
    <s v=""/>
    <s v=""/>
    <s v=""/>
    <s v=""/>
    <s v=""/>
    <s v=""/>
    <s v=""/>
    <s v=""/>
    <s v=""/>
    <s v=""/>
    <s v=""/>
    <n v="4"/>
    <n v="42"/>
    <n v="3"/>
    <n v="0"/>
    <n v="49"/>
    <x v="2"/>
    <n v="9014"/>
    <n v="0"/>
    <e v="#VALUE!"/>
    <e v="#VALUE!"/>
    <e v="#VALUE!"/>
    <e v="#VALUE!"/>
    <x v="0"/>
    <n v="915974.4"/>
    <n v="42075"/>
    <n v="70727"/>
    <n v="0"/>
    <n v="1.4700551774135084"/>
    <n v="10.388134842321479"/>
    <n v="0.22151516371984373"/>
    <n v="0"/>
    <n v="0"/>
    <n v="0.12070441822062911"/>
    <n v="5.4754386671499719E-2"/>
    <n v="4.1940204330957083E-2"/>
    <n v="6.175574261280492E-2"/>
    <n v="0"/>
    <n v="4.967309731899526E-2"/>
    <n v="0.39704914951602294"/>
    <n v="5.6385678037778407E-2"/>
    <n v="0"/>
    <n v="0"/>
    <n v="9.1814679071515831E-2"/>
    <n v="4.9216641830118008E-2"/>
    <n v="0"/>
    <n v="0.23657819485279311"/>
    <n v="0.52358129606508519"/>
    <n v="0"/>
    <n v="4.8330581175238634E-2"/>
    <n v="0"/>
    <n v="0"/>
    <n v="0"/>
    <n v="0"/>
    <n v="0"/>
    <n v="0"/>
    <n v="0"/>
    <n v="13.811489253158271"/>
    <s v=""/>
    <n v="0"/>
    <n v="18"/>
    <x v="1"/>
    <x v="1"/>
    <x v="1"/>
    <x v="1"/>
    <x v="0"/>
    <b v="1"/>
    <b v="1"/>
    <n v="0"/>
    <n v="0"/>
    <n v="0"/>
    <n v="0"/>
    <s v=""/>
    <n v="36"/>
    <n v="6"/>
    <s v=""/>
    <s v=""/>
    <n v="0"/>
    <n v="1"/>
    <s v=""/>
    <s v=""/>
    <s v=""/>
    <n v="43"/>
    <n v="0"/>
    <n v="0"/>
    <n v="0"/>
    <n v="0"/>
    <s v=""/>
    <n v="26.280000000000015"/>
    <n v="4.3800000000000026"/>
    <s v=""/>
    <s v=""/>
    <n v="0"/>
    <n v="0.30000000000000071"/>
    <s v=""/>
    <s v=""/>
    <s v=""/>
    <b v="1"/>
    <b v="1"/>
    <x v="3"/>
    <n v="12.297104192677917"/>
    <n v="0.56486366748560146"/>
    <n v="0.94952139299475069"/>
    <n v="0"/>
    <n v="0"/>
    <n v="0"/>
    <n v="1"/>
    <n v="0"/>
    <s v=""/>
    <n v="36"/>
    <n v="6"/>
    <s v=""/>
    <s v=""/>
    <n v="0"/>
    <n v="1"/>
    <s v=""/>
    <s v=""/>
    <s v=""/>
    <n v="44"/>
    <n v="0"/>
    <n v="0"/>
    <n v="5.0000000000000711E-2"/>
    <n v="0"/>
    <s v=""/>
    <n v="40.680000000000028"/>
    <n v="6.7800000000000047"/>
    <s v=""/>
    <s v=""/>
    <n v="0"/>
    <n v="0.70000000000000107"/>
    <s v=""/>
    <s v=""/>
    <s v=""/>
    <n v="16.41"/>
    <n v="16.41"/>
    <n v="16.41"/>
    <n v="16.41"/>
    <n v="12.82"/>
    <n v="12.82"/>
    <n v="12.82"/>
    <n v="12.82"/>
    <n v="9.85"/>
    <n v="9.85"/>
    <n v="9.85"/>
    <n v="9.85"/>
    <n v="9.9700000000000006"/>
    <n v="9.9700000000000006"/>
    <n v="9.9700000000000006"/>
    <n v="9.9700000000000006"/>
    <s v=""/>
    <s v=""/>
    <s v=""/>
    <s v=""/>
    <n v="310.68"/>
    <n v="320.76"/>
    <n v="300.95999999999998"/>
    <n v="320.76"/>
    <n v="51.78"/>
    <n v="53.46"/>
    <n v="50.16"/>
    <n v="53.46"/>
    <s v=""/>
    <s v=""/>
    <s v=""/>
    <s v=""/>
    <s v=""/>
    <s v=""/>
    <s v=""/>
    <s v=""/>
    <n v="21.52"/>
    <n v="21.52"/>
    <n v="21.52"/>
    <n v="21.52"/>
    <n v="9.1999999999999993"/>
    <n v="9.1999999999999993"/>
    <n v="9.1999999999999993"/>
    <n v="9.1999999999999993"/>
    <s v=""/>
    <s v=""/>
    <s v=""/>
    <s v=""/>
    <s v=""/>
    <s v=""/>
    <s v=""/>
    <s v=""/>
    <s v=""/>
    <s v=""/>
    <s v=""/>
    <s v=""/>
    <s v=""/>
    <s v=""/>
    <s v=""/>
    <s v=""/>
    <n v="1"/>
    <n v="1"/>
    <n v="1"/>
    <n v="1"/>
    <n v="0"/>
    <n v="36"/>
    <n v="6"/>
    <n v="0"/>
    <n v="0"/>
    <n v="2"/>
    <n v="1"/>
    <n v="0"/>
    <n v="0"/>
    <n v="0"/>
    <n v="0"/>
  </r>
  <r>
    <m/>
    <m/>
    <m/>
    <m/>
    <m/>
    <m/>
    <n v="19"/>
    <n v="5"/>
    <n v="0"/>
    <m/>
    <m/>
    <m/>
    <m/>
    <m/>
    <m/>
    <m/>
    <m/>
    <n v="9.1999999999999993"/>
    <n v="9.1999999999999993"/>
    <n v="8.9"/>
    <n v="8.9"/>
    <n v="1"/>
    <n v="9.1999999999999993"/>
    <n v="9.1999999999999993"/>
    <n v="8.9"/>
    <n v="8.9"/>
    <n v="1"/>
    <s v="Other manager (specify)"/>
    <n v="0"/>
    <n v="0"/>
    <n v="0"/>
    <n v="0"/>
    <n v="0"/>
    <s v="Other manager (specify)"/>
    <n v="0"/>
    <n v="0"/>
    <n v="0"/>
    <n v="0"/>
    <n v="0"/>
    <s v="Other manager (specify)"/>
    <n v="0"/>
    <n v="0"/>
    <n v="0"/>
    <n v="0"/>
    <n v="0"/>
    <s v="Care Assistant (specify)"/>
    <n v="9.1999999999999993"/>
    <n v="9.1999999999999993"/>
    <n v="8.9"/>
    <n v="8.9"/>
    <n v="2"/>
    <s v="Care Assistant (specify)"/>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3"/>
    <n v="77.75"/>
    <n v="0"/>
    <n v="18"/>
    <n v="0"/>
    <n v="0"/>
    <n v="0"/>
    <n v="0"/>
    <n v="0"/>
    <n v="0"/>
    <n v="0"/>
    <n v="0"/>
    <n v="0"/>
    <n v="15.27"/>
    <n v="0"/>
    <n v="12.167999999999999"/>
    <d v="2020-04-01T00:00:00"/>
    <d v="2021-03-31T00:00:00"/>
    <n v="5056"/>
    <n v="15456"/>
    <n v="45048.959999999999"/>
    <m/>
    <n v="0"/>
    <n v="0"/>
    <n v="1466.24"/>
    <n v="0"/>
    <n v="2340"/>
    <n v="0"/>
    <n v="0"/>
    <n v="0"/>
    <n v="0"/>
    <n v="0"/>
    <s v="Other - please specify"/>
    <n v="0"/>
    <s v="Other - please specify"/>
    <n v="0"/>
    <n v="1089.5"/>
    <n v="3432"/>
    <n v="456.89"/>
    <n v="3109.92"/>
    <n v="565.99"/>
    <n v="0"/>
    <n v="0"/>
    <n v="0"/>
    <s v="UKHCA"/>
    <n v="846.84"/>
    <s v="office stationery"/>
    <n v="346.19"/>
    <n v="0"/>
    <n v="690"/>
    <s v="Other overheads - please specify"/>
    <n v="0"/>
    <s v="Other overheads - please specify"/>
    <n v="0"/>
    <m/>
    <n v="0"/>
    <n v="0"/>
    <m/>
    <d v="2021-10-11T14:58:18"/>
    <x v="0"/>
    <n v="5"/>
    <x v="0"/>
    <n v="9.1999999999999993"/>
    <n v="9.1999999999999993"/>
    <n v="8.9"/>
    <n v="8.9"/>
    <n v="9.1999999999999993"/>
    <n v="9.1999999999999993"/>
    <n v="8.9"/>
    <n v="8.9"/>
    <s v=""/>
    <s v=""/>
    <s v=""/>
    <s v=""/>
    <s v=""/>
    <s v=""/>
    <s v=""/>
    <s v=""/>
    <s v=""/>
    <s v=""/>
    <s v=""/>
    <s v=""/>
    <n v="9.1999999999999993"/>
    <n v="9.1999999999999993"/>
    <n v="8.9"/>
    <n v="8.9"/>
    <s v=""/>
    <s v=""/>
    <s v=""/>
    <s v=""/>
    <s v=""/>
    <s v=""/>
    <s v=""/>
    <s v=""/>
    <s v=""/>
    <s v=""/>
    <s v=""/>
    <s v=""/>
    <s v=""/>
    <s v=""/>
    <s v=""/>
    <s v=""/>
    <s v=""/>
    <s v=""/>
    <s v=""/>
    <s v=""/>
    <s v=""/>
    <s v=""/>
    <s v=""/>
    <s v=""/>
    <s v=""/>
    <s v=""/>
    <s v=""/>
    <s v=""/>
    <s v=""/>
    <s v=""/>
    <s v=""/>
    <s v=""/>
    <s v=""/>
    <s v=""/>
    <s v=""/>
    <s v=""/>
    <n v="9.1999999999999993"/>
    <n v="9.1999999999999993"/>
    <n v="8.9"/>
    <n v="8.9"/>
    <n v="9.1999999999999993"/>
    <n v="9.1999999999999993"/>
    <n v="8.9"/>
    <n v="8.9"/>
    <s v=""/>
    <s v=""/>
    <s v=""/>
    <s v=""/>
    <s v=""/>
    <s v=""/>
    <s v=""/>
    <s v=""/>
    <s v=""/>
    <s v=""/>
    <s v=""/>
    <s v=""/>
    <n v="9.1999999999999993"/>
    <n v="9.1999999999999993"/>
    <n v="8.9"/>
    <n v="8.9"/>
    <s v=""/>
    <s v=""/>
    <s v=""/>
    <s v=""/>
    <s v=""/>
    <s v=""/>
    <s v=""/>
    <s v=""/>
    <s v=""/>
    <s v=""/>
    <s v=""/>
    <s v=""/>
    <s v=""/>
    <s v=""/>
    <s v=""/>
    <s v=""/>
    <s v=""/>
    <s v=""/>
    <s v=""/>
    <s v=""/>
    <s v=""/>
    <s v=""/>
    <s v=""/>
    <s v=""/>
    <s v=""/>
    <s v=""/>
    <s v=""/>
    <s v=""/>
    <s v=""/>
    <s v=""/>
    <s v=""/>
    <s v=""/>
    <s v=""/>
    <s v=""/>
    <s v=""/>
    <s v=""/>
    <n v="2"/>
    <n v="2"/>
    <n v="0"/>
    <n v="0"/>
    <n v="4"/>
    <x v="1"/>
    <n v="95.75"/>
    <n v="0"/>
    <e v="#VALUE!"/>
    <e v="#VALUE!"/>
    <e v="#VALUE!"/>
    <e v="#VALUE!"/>
    <x v="0"/>
    <n v="64311.199999999997"/>
    <n v="0"/>
    <n v="9847.3300000000017"/>
    <n v="690"/>
    <n v="3.0569620253164556"/>
    <n v="8.91"/>
    <n v="0"/>
    <n v="0"/>
    <n v="0"/>
    <n v="0.28999999999999998"/>
    <n v="0"/>
    <n v="0.46281645569620256"/>
    <n v="0"/>
    <n v="0"/>
    <n v="0"/>
    <n v="0"/>
    <n v="0"/>
    <n v="0"/>
    <n v="0"/>
    <n v="0.21548655063291139"/>
    <n v="0.67879746835443033"/>
    <n v="9.0365901898734169E-2"/>
    <n v="0.61509493670886073"/>
    <n v="0.1119442246835443"/>
    <n v="0"/>
    <n v="0"/>
    <n v="0"/>
    <n v="0.16749208860759493"/>
    <n v="6.8471123417721519E-2"/>
    <n v="0"/>
    <n v="0.13647151898734178"/>
    <n v="0"/>
    <n v="0"/>
    <n v="14.803902294303796"/>
    <s v=""/>
    <n v="0"/>
    <n v="19"/>
    <x v="0"/>
    <x v="1"/>
    <x v="1"/>
    <x v="1"/>
    <x v="0"/>
    <b v="0"/>
    <b v="1"/>
    <n v="1"/>
    <n v="1"/>
    <s v=""/>
    <s v=""/>
    <s v=""/>
    <n v="2"/>
    <s v=""/>
    <s v=""/>
    <s v=""/>
    <s v=""/>
    <s v=""/>
    <s v=""/>
    <s v=""/>
    <s v=""/>
    <n v="4"/>
    <n v="0.30000000000000071"/>
    <n v="0.30000000000000071"/>
    <s v=""/>
    <s v=""/>
    <s v=""/>
    <n v="0.60000000000000142"/>
    <s v=""/>
    <s v=""/>
    <s v=""/>
    <s v=""/>
    <s v=""/>
    <s v=""/>
    <s v=""/>
    <s v=""/>
    <b v="1"/>
    <b v="1"/>
    <x v="3"/>
    <n v="12.719778481012657"/>
    <n v="0"/>
    <n v="1.9476522943037975"/>
    <n v="0.13647151898734178"/>
    <n v="1"/>
    <n v="1"/>
    <s v=""/>
    <s v=""/>
    <s v=""/>
    <n v="2"/>
    <s v=""/>
    <s v=""/>
    <s v=""/>
    <s v=""/>
    <s v=""/>
    <s v=""/>
    <s v=""/>
    <s v=""/>
    <n v="4"/>
    <n v="0.70000000000000107"/>
    <n v="0.70000000000000107"/>
    <s v=""/>
    <s v=""/>
    <s v=""/>
    <n v="1.4000000000000021"/>
    <s v=""/>
    <s v=""/>
    <s v=""/>
    <s v=""/>
    <s v=""/>
    <s v=""/>
    <s v=""/>
    <s v=""/>
    <n v="9.1999999999999993"/>
    <n v="9.1999999999999993"/>
    <n v="8.9"/>
    <n v="8.9"/>
    <n v="9.1999999999999993"/>
    <n v="9.1999999999999993"/>
    <n v="8.9"/>
    <n v="8.9"/>
    <s v=""/>
    <s v=""/>
    <s v=""/>
    <s v=""/>
    <s v=""/>
    <s v=""/>
    <s v=""/>
    <s v=""/>
    <s v=""/>
    <s v=""/>
    <s v=""/>
    <s v=""/>
    <n v="18.399999999999999"/>
    <n v="18.399999999999999"/>
    <n v="17.8"/>
    <n v="17.8"/>
    <s v=""/>
    <s v=""/>
    <s v=""/>
    <s v=""/>
    <s v=""/>
    <s v=""/>
    <s v=""/>
    <s v=""/>
    <s v=""/>
    <s v=""/>
    <s v=""/>
    <s v=""/>
    <s v=""/>
    <s v=""/>
    <s v=""/>
    <s v=""/>
    <s v=""/>
    <s v=""/>
    <s v=""/>
    <s v=""/>
    <s v=""/>
    <s v=""/>
    <s v=""/>
    <s v=""/>
    <s v=""/>
    <s v=""/>
    <s v=""/>
    <s v=""/>
    <s v=""/>
    <s v=""/>
    <s v=""/>
    <s v=""/>
    <s v=""/>
    <s v=""/>
    <s v=""/>
    <s v=""/>
    <n v="1"/>
    <n v="1"/>
    <n v="0"/>
    <n v="0"/>
    <n v="0"/>
    <n v="2"/>
    <n v="0"/>
    <n v="0"/>
    <n v="0"/>
    <n v="0"/>
    <n v="0"/>
    <n v="0"/>
    <n v="0"/>
    <n v="0"/>
    <n v="0"/>
  </r>
  <r>
    <m/>
    <m/>
    <m/>
    <m/>
    <m/>
    <m/>
    <n v="20"/>
    <n v="292"/>
    <n v="0"/>
    <m/>
    <n v="0"/>
    <m/>
    <s v="N/A"/>
    <m/>
    <m/>
    <m/>
    <m/>
    <n v="13.5"/>
    <n v="14.5"/>
    <n v="12.5"/>
    <n v="13.5"/>
    <n v="1"/>
    <n v="12.5"/>
    <n v="13.5"/>
    <n v="11.5"/>
    <n v="12.5"/>
    <n v="1"/>
    <s v="Other manager (specify)"/>
    <n v="10.5"/>
    <n v="12"/>
    <n v="9.5"/>
    <n v="10"/>
    <n v="3"/>
    <s v="Other manager (specify)"/>
    <n v="10"/>
    <n v="10.5"/>
    <n v="9"/>
    <n v="9.5"/>
    <n v="8"/>
    <s v="Other manager (specify)"/>
    <n v="8.91"/>
    <n v="10"/>
    <n v="0"/>
    <n v="0"/>
    <n v="4"/>
    <s v="Care Assistant (specify)"/>
    <n v="10"/>
    <n v="11"/>
    <n v="9.5"/>
    <n v="10"/>
    <n v="18"/>
    <s v="Care Assistant (specify)"/>
    <n v="9.75"/>
    <n v="10"/>
    <n v="9.3000000000000007"/>
    <n v="9.5"/>
    <n v="48"/>
    <s v="Care Assistant (specify)"/>
    <n v="9.5"/>
    <n v="9.75"/>
    <n v="9"/>
    <n v="9.3000000000000007"/>
    <n v="65"/>
    <s v="Care Assistant (specify)"/>
    <n v="9.3000000000000007"/>
    <n v="9.5"/>
    <n v="8.8000000000000007"/>
    <n v="9"/>
    <n v="44"/>
    <s v="Administrative Officer (specify)"/>
    <n v="9.1999999999999993"/>
    <n v="10"/>
    <n v="9"/>
    <n v="9.5"/>
    <n v="6"/>
    <s v="Administrative Officer (specify)"/>
    <n v="8.9"/>
    <n v="9.1999999999999993"/>
    <n v="8.7200000000000006"/>
    <n v="9"/>
    <n v="4"/>
    <s v="Administrative Officer (specify)"/>
    <n v="0"/>
    <n v="0"/>
    <n v="0"/>
    <n v="0"/>
    <n v="0"/>
    <s v="Other staff (specify)"/>
    <n v="0"/>
    <n v="0"/>
    <n v="0"/>
    <n v="0"/>
    <n v="0"/>
    <s v="Other staff (specify)"/>
    <n v="0"/>
    <n v="0"/>
    <n v="0"/>
    <n v="0"/>
    <n v="0"/>
    <s v="Other staff (specify)"/>
    <n v="0"/>
    <n v="0"/>
    <n v="0"/>
    <n v="0"/>
    <n v="0"/>
    <n v="0.03"/>
    <n v="3337"/>
    <n v="0"/>
    <n v="237"/>
    <n v="0"/>
    <n v="311"/>
    <n v="140"/>
    <n v="0"/>
    <n v="0"/>
    <n v="0"/>
    <n v="0"/>
    <n v="0"/>
    <n v="0"/>
    <n v="0"/>
    <n v="16.5"/>
    <n v="16.5"/>
    <d v="2020-08-01T00:00:00"/>
    <d v="2021-07-31T00:00:00"/>
    <n v="201650"/>
    <n v="281546"/>
    <n v="2201985"/>
    <n v="74950"/>
    <n v="15210"/>
    <n v="0"/>
    <n v="98257"/>
    <n v="179384"/>
    <n v="58645"/>
    <n v="31980"/>
    <n v="72540"/>
    <n v="31850"/>
    <n v="24865"/>
    <n v="15985"/>
    <s v="Other - please specify"/>
    <n v="0"/>
    <s v="Other - please specify"/>
    <n v="0"/>
    <n v="8600"/>
    <n v="7642"/>
    <n v="8500"/>
    <n v="20400"/>
    <n v="22500"/>
    <n v="4352"/>
    <n v="0"/>
    <n v="0"/>
    <s v="Other - please specify"/>
    <n v="0"/>
    <s v="Other - please specify"/>
    <n v="0"/>
    <n v="0"/>
    <n v="32465"/>
    <s v="Other overheads - please specify"/>
    <n v="0"/>
    <s v="Other overheads - please specify"/>
    <n v="0"/>
    <n v="135645"/>
    <n v="0"/>
    <n v="0"/>
    <m/>
    <d v="2021-10-11T14:58:22"/>
    <x v="0"/>
    <n v="292"/>
    <x v="8"/>
    <n v="13.5"/>
    <n v="14.5"/>
    <n v="12.5"/>
    <n v="13.5"/>
    <n v="12.5"/>
    <n v="13.5"/>
    <n v="11.5"/>
    <n v="12.5"/>
    <n v="10.5"/>
    <n v="12"/>
    <n v="9.5"/>
    <n v="10"/>
    <n v="10"/>
    <n v="10.5"/>
    <n v="9"/>
    <n v="9.5"/>
    <n v="8.91"/>
    <n v="10"/>
    <s v=""/>
    <s v=""/>
    <n v="10"/>
    <n v="11"/>
    <n v="9.5"/>
    <n v="10"/>
    <n v="9.75"/>
    <n v="10"/>
    <n v="9.3000000000000007"/>
    <n v="9.5"/>
    <n v="9.5"/>
    <n v="9.75"/>
    <n v="9"/>
    <n v="9.3000000000000007"/>
    <n v="9.3000000000000007"/>
    <n v="9.5"/>
    <n v="8.8000000000000007"/>
    <n v="9"/>
    <n v="9.1999999999999993"/>
    <n v="10"/>
    <n v="9"/>
    <n v="9.5"/>
    <n v="8.9"/>
    <n v="9.1999999999999993"/>
    <n v="8.7200000000000006"/>
    <n v="9"/>
    <s v=""/>
    <s v=""/>
    <s v=""/>
    <s v=""/>
    <s v=""/>
    <s v=""/>
    <s v=""/>
    <s v=""/>
    <s v=""/>
    <s v=""/>
    <s v=""/>
    <s v=""/>
    <s v=""/>
    <s v=""/>
    <s v=""/>
    <s v=""/>
    <n v="13.5"/>
    <n v="14.5"/>
    <n v="12.5"/>
    <n v="13.5"/>
    <n v="12.5"/>
    <n v="13.5"/>
    <n v="11.5"/>
    <n v="12.5"/>
    <n v="10.5"/>
    <n v="12"/>
    <n v="9.5"/>
    <n v="10"/>
    <n v="10"/>
    <n v="10.5"/>
    <n v="9"/>
    <n v="9.5"/>
    <n v="8.91"/>
    <n v="10"/>
    <n v="8.91"/>
    <n v="10"/>
    <n v="10"/>
    <n v="11"/>
    <n v="9.5"/>
    <n v="10"/>
    <n v="9.75"/>
    <n v="10"/>
    <n v="9.3000000000000007"/>
    <n v="9.5"/>
    <n v="9.5"/>
    <n v="9.75"/>
    <n v="9"/>
    <n v="9.3000000000000007"/>
    <n v="9.3000000000000007"/>
    <n v="9.5"/>
    <n v="8.8000000000000007"/>
    <n v="9"/>
    <n v="9.1999999999999993"/>
    <n v="10"/>
    <n v="9"/>
    <n v="9.5"/>
    <n v="8.9"/>
    <n v="9.1999999999999993"/>
    <n v="8.7200000000000006"/>
    <n v="9"/>
    <s v=""/>
    <s v=""/>
    <s v=""/>
    <s v=""/>
    <s v=""/>
    <s v=""/>
    <s v=""/>
    <s v=""/>
    <s v=""/>
    <s v=""/>
    <s v=""/>
    <s v=""/>
    <s v=""/>
    <s v=""/>
    <s v=""/>
    <s v=""/>
    <n v="17"/>
    <n v="175"/>
    <n v="10"/>
    <n v="0"/>
    <n v="202"/>
    <x v="1"/>
    <n v="4025"/>
    <n v="0"/>
    <e v="#VALUE!"/>
    <e v="#VALUE!"/>
    <n v="173.14"/>
    <n v="188"/>
    <x v="0"/>
    <n v="2909977"/>
    <n v="177220"/>
    <n v="71994"/>
    <n v="32465"/>
    <n v="1.3962112571286884"/>
    <n v="10.919836350111579"/>
    <n v="0.37168361021572033"/>
    <n v="7.5427721299280936E-2"/>
    <n v="0"/>
    <n v="0.48726506322836599"/>
    <n v="0.88958095710389284"/>
    <n v="0.29082568807339448"/>
    <n v="0.15859161914207787"/>
    <n v="0.3597322092734937"/>
    <n v="0.15794693776345153"/>
    <n v="0.12330771138110588"/>
    <n v="7.9271014133399459E-2"/>
    <n v="0"/>
    <n v="0"/>
    <n v="4.2648152739895862E-2"/>
    <n v="3.7897346888172576E-2"/>
    <n v="4.2152243987106375E-2"/>
    <n v="0.1011653855690553"/>
    <n v="0.11157946937763452"/>
    <n v="2.1581948921398461E-2"/>
    <n v="0"/>
    <n v="0"/>
    <n v="0"/>
    <n v="0"/>
    <n v="0"/>
    <n v="0.16099677659310688"/>
    <n v="0"/>
    <n v="0"/>
    <n v="15.827701462930818"/>
    <n v="0.67267542772129929"/>
    <n v="0"/>
    <n v="20"/>
    <x v="0"/>
    <x v="1"/>
    <x v="1"/>
    <x v="1"/>
    <x v="0"/>
    <b v="0"/>
    <b v="1"/>
    <n v="0"/>
    <n v="0"/>
    <n v="0"/>
    <n v="0"/>
    <n v="4"/>
    <n v="0"/>
    <n v="0"/>
    <n v="0"/>
    <n v="44"/>
    <n v="0"/>
    <n v="4"/>
    <s v=""/>
    <s v=""/>
    <s v=""/>
    <n v="52"/>
    <n v="0"/>
    <n v="0"/>
    <n v="0"/>
    <n v="0"/>
    <n v="0.17999999999999972"/>
    <n v="0"/>
    <n v="0"/>
    <n v="0"/>
    <n v="4.3999999999999844"/>
    <n v="0"/>
    <n v="1.7999999999999972"/>
    <s v=""/>
    <s v=""/>
    <s v=""/>
    <b v="1"/>
    <b v="1"/>
    <x v="3"/>
    <n v="14.430830647160922"/>
    <n v="0.87884949169352833"/>
    <n v="0.35702454748326312"/>
    <n v="0.16099677659310688"/>
    <n v="0"/>
    <n v="0"/>
    <n v="0"/>
    <n v="0"/>
    <n v="4"/>
    <n v="0"/>
    <n v="48"/>
    <n v="65"/>
    <n v="44"/>
    <n v="6"/>
    <n v="4"/>
    <s v=""/>
    <s v=""/>
    <s v=""/>
    <n v="171"/>
    <n v="0"/>
    <n v="0"/>
    <n v="0"/>
    <n v="0"/>
    <n v="1.7800000000000011"/>
    <n v="0"/>
    <n v="1.2000000000000171"/>
    <n v="17.875000000000021"/>
    <n v="22"/>
    <n v="1.8000000000000043"/>
    <n v="3.3999999999999986"/>
    <s v=""/>
    <s v=""/>
    <s v=""/>
    <n v="13.5"/>
    <n v="14.5"/>
    <n v="12.5"/>
    <n v="13.5"/>
    <n v="12.5"/>
    <n v="13.5"/>
    <n v="11.5"/>
    <n v="12.5"/>
    <n v="31.5"/>
    <n v="36"/>
    <n v="28.5"/>
    <n v="30"/>
    <n v="80"/>
    <n v="84"/>
    <n v="72"/>
    <n v="76"/>
    <n v="35.64"/>
    <n v="40"/>
    <n v="35.64"/>
    <n v="40"/>
    <n v="180"/>
    <n v="198"/>
    <n v="171"/>
    <n v="180"/>
    <n v="468"/>
    <n v="480"/>
    <n v="446.40000000000003"/>
    <n v="456"/>
    <n v="617.5"/>
    <n v="633.75"/>
    <n v="585"/>
    <n v="604.5"/>
    <n v="409.20000000000005"/>
    <n v="418"/>
    <n v="387.20000000000005"/>
    <n v="396"/>
    <n v="55.199999999999996"/>
    <n v="60"/>
    <n v="54"/>
    <n v="57"/>
    <n v="35.6"/>
    <n v="36.799999999999997"/>
    <n v="34.880000000000003"/>
    <n v="36"/>
    <s v=""/>
    <s v=""/>
    <s v=""/>
    <s v=""/>
    <s v=""/>
    <s v=""/>
    <s v=""/>
    <s v=""/>
    <s v=""/>
    <s v=""/>
    <s v=""/>
    <s v=""/>
    <s v=""/>
    <s v=""/>
    <s v=""/>
    <s v=""/>
    <n v="1"/>
    <n v="1"/>
    <n v="3"/>
    <n v="8"/>
    <n v="4"/>
    <n v="18"/>
    <n v="48"/>
    <n v="65"/>
    <n v="44"/>
    <n v="6"/>
    <n v="4"/>
    <n v="0"/>
    <n v="0"/>
    <n v="0"/>
    <n v="0"/>
  </r>
  <r>
    <m/>
    <m/>
    <m/>
    <m/>
    <m/>
    <m/>
    <n v="21"/>
    <n v="49"/>
    <n v="0"/>
    <n v="0"/>
    <n v="0"/>
    <s v="Leased or Rented"/>
    <s v="N/A"/>
    <m/>
    <m/>
    <m/>
    <m/>
    <n v="20.51"/>
    <n v="20.51"/>
    <n v="20.51"/>
    <n v="20.51"/>
    <n v="1"/>
    <n v="15.9"/>
    <n v="15.9"/>
    <n v="15.9"/>
    <n v="15.9"/>
    <n v="1"/>
    <s v="Registered Nurse"/>
    <n v="20.51"/>
    <n v="20.51"/>
    <n v="20.51"/>
    <n v="20.51"/>
    <n v="1"/>
    <s v="Senior Care Coordinator"/>
    <n v="12.92"/>
    <n v="12.92"/>
    <n v="12.92"/>
    <n v="12.92"/>
    <n v="1"/>
    <s v="Care Coordinator"/>
    <n v="10"/>
    <n v="10"/>
    <n v="10"/>
    <n v="10"/>
    <n v="2"/>
    <s v="Care Assistant (Band 2)"/>
    <n v="9.5"/>
    <n v="9.5"/>
    <n v="9"/>
    <n v="9"/>
    <m/>
    <s v="Care Assistant (Band 3)"/>
    <n v="9.75"/>
    <n v="9.75"/>
    <n v="9.15"/>
    <n v="9.15"/>
    <n v="0"/>
    <s v="Care Assistant (specify)"/>
    <n v="0"/>
    <n v="0"/>
    <n v="0"/>
    <n v="0"/>
    <n v="0"/>
    <s v="Care Assistant (specify)"/>
    <n v="0"/>
    <n v="0"/>
    <n v="0"/>
    <n v="0"/>
    <n v="0"/>
    <s v="Recruitment consulatant "/>
    <n v="10"/>
    <n v="10"/>
    <n v="10"/>
    <n v="10"/>
    <n v="1"/>
    <s v="Apprentice"/>
    <n v="8"/>
    <n v="8"/>
    <n v="7.75"/>
    <n v="7.75"/>
    <n v="1"/>
    <s v="Administrative Officer (specify)"/>
    <n v="0"/>
    <n v="0"/>
    <n v="0"/>
    <n v="0"/>
    <n v="0"/>
    <s v="Other staff (specify)"/>
    <n v="0"/>
    <n v="0"/>
    <n v="0"/>
    <n v="0"/>
    <n v="0"/>
    <s v="Other staff (specify)"/>
    <n v="0"/>
    <n v="0"/>
    <n v="0"/>
    <n v="0"/>
    <n v="0"/>
    <s v="Other staff (specify)"/>
    <n v="0"/>
    <n v="0"/>
    <n v="0"/>
    <n v="0"/>
    <n v="0"/>
    <n v="0.02"/>
    <n v="700"/>
    <n v="3024"/>
    <n v="600"/>
    <n v="0"/>
    <n v="240"/>
    <n v="70"/>
    <n v="0"/>
    <n v="0"/>
    <n v="0"/>
    <n v="0"/>
    <n v="0"/>
    <n v="0"/>
    <n v="17"/>
    <n v="18"/>
    <n v="15"/>
    <d v="2019-11-01T00:00:00"/>
    <d v="2002-10-31T00:00:00"/>
    <n v="42000"/>
    <n v="155699"/>
    <n v="660902"/>
    <n v="35100"/>
    <n v="0"/>
    <n v="0"/>
    <n v="0"/>
    <n v="50000"/>
    <n v="15000"/>
    <n v="24000"/>
    <n v="0"/>
    <n v="25000"/>
    <n v="30000"/>
    <n v="15000"/>
    <s v="Other - please specify"/>
    <n v="0"/>
    <s v="Other - please specify"/>
    <n v="0"/>
    <m/>
    <n v="5257"/>
    <n v="2970"/>
    <n v="30000"/>
    <n v="0"/>
    <n v="3690"/>
    <n v="0"/>
    <n v="0"/>
    <s v="Other - please specify"/>
    <n v="0"/>
    <s v="Other - please specify"/>
    <n v="0"/>
    <n v="0"/>
    <n v="0"/>
    <s v="Other overheads - please specify"/>
    <n v="0"/>
    <s v="Other overheads - please specify"/>
    <n v="0"/>
    <n v="61985"/>
    <m/>
    <n v="0"/>
    <m/>
    <d v="2021-10-11T14:58:25"/>
    <x v="0"/>
    <n v="49"/>
    <x v="3"/>
    <n v="20.51"/>
    <n v="20.51"/>
    <n v="20.51"/>
    <n v="20.51"/>
    <n v="15.9"/>
    <n v="15.9"/>
    <n v="15.9"/>
    <n v="15.9"/>
    <n v="20.51"/>
    <n v="20.51"/>
    <n v="20.51"/>
    <n v="20.51"/>
    <n v="12.92"/>
    <n v="12.92"/>
    <n v="12.92"/>
    <n v="12.92"/>
    <n v="10"/>
    <n v="10"/>
    <n v="10"/>
    <n v="10"/>
    <n v="9.5"/>
    <n v="9.5"/>
    <n v="9"/>
    <n v="9"/>
    <n v="9.75"/>
    <n v="9.75"/>
    <n v="9.15"/>
    <n v="9.15"/>
    <s v=""/>
    <s v=""/>
    <s v=""/>
    <s v=""/>
    <s v=""/>
    <s v=""/>
    <s v=""/>
    <s v=""/>
    <n v="10"/>
    <n v="10"/>
    <n v="10"/>
    <n v="10"/>
    <n v="8"/>
    <n v="8"/>
    <n v="7.75"/>
    <n v="7.75"/>
    <s v=""/>
    <s v=""/>
    <s v=""/>
    <s v=""/>
    <s v=""/>
    <s v=""/>
    <s v=""/>
    <s v=""/>
    <s v=""/>
    <s v=""/>
    <s v=""/>
    <s v=""/>
    <s v=""/>
    <s v=""/>
    <s v=""/>
    <s v=""/>
    <n v="20.51"/>
    <n v="20.51"/>
    <n v="20.51"/>
    <n v="20.51"/>
    <n v="15.9"/>
    <n v="15.9"/>
    <n v="15.9"/>
    <n v="15.9"/>
    <n v="20.51"/>
    <n v="20.51"/>
    <n v="20.51"/>
    <n v="20.51"/>
    <n v="12.92"/>
    <n v="12.92"/>
    <n v="12.92"/>
    <n v="12.92"/>
    <n v="10"/>
    <n v="10"/>
    <n v="10"/>
    <n v="10"/>
    <n v="9.5"/>
    <n v="9.5"/>
    <n v="9"/>
    <n v="9"/>
    <n v="9.75"/>
    <n v="9.75"/>
    <n v="9.15"/>
    <n v="9.15"/>
    <s v=""/>
    <s v=""/>
    <s v=""/>
    <s v=""/>
    <s v=""/>
    <s v=""/>
    <s v=""/>
    <s v=""/>
    <n v="10"/>
    <n v="10"/>
    <n v="10"/>
    <n v="10"/>
    <n v="8"/>
    <n v="8"/>
    <n v="7.75"/>
    <n v="7.75"/>
    <s v=""/>
    <s v=""/>
    <s v=""/>
    <s v=""/>
    <s v=""/>
    <s v=""/>
    <s v=""/>
    <s v=""/>
    <s v=""/>
    <s v=""/>
    <s v=""/>
    <s v=""/>
    <s v=""/>
    <s v=""/>
    <s v=""/>
    <s v=""/>
    <n v="6"/>
    <n v="0"/>
    <n v="2"/>
    <n v="0"/>
    <n v="8"/>
    <x v="1"/>
    <n v="4634"/>
    <n v="0"/>
    <n v="89.84"/>
    <n v="89.84"/>
    <n v="89.84"/>
    <n v="89.84"/>
    <x v="0"/>
    <n v="916701"/>
    <n v="94000"/>
    <n v="41917"/>
    <n v="0"/>
    <n v="3.7071190476190474"/>
    <n v="15.735761904761905"/>
    <n v="0.83571428571428574"/>
    <n v="0"/>
    <n v="0"/>
    <n v="0"/>
    <n v="1.1904761904761905"/>
    <n v="0.35714285714285715"/>
    <n v="0.5714285714285714"/>
    <n v="0"/>
    <n v="0.59523809523809523"/>
    <n v="0.7142857142857143"/>
    <n v="0.35714285714285715"/>
    <n v="0"/>
    <n v="0"/>
    <n v="0"/>
    <n v="0.12516666666666668"/>
    <n v="7.0714285714285716E-2"/>
    <n v="0.7142857142857143"/>
    <n v="0"/>
    <n v="8.7857142857142856E-2"/>
    <n v="0"/>
    <n v="0"/>
    <n v="0"/>
    <n v="0"/>
    <n v="0"/>
    <n v="0"/>
    <n v="0"/>
    <n v="0"/>
    <n v="25.062333333333335"/>
    <n v="1.4758333333333333"/>
    <n v="0"/>
    <n v="21"/>
    <x v="0"/>
    <x v="1"/>
    <x v="1"/>
    <x v="1"/>
    <x v="0"/>
    <b v="0"/>
    <b v="1"/>
    <n v="0"/>
    <n v="0"/>
    <n v="0"/>
    <n v="0"/>
    <n v="0"/>
    <n v="0"/>
    <n v="0"/>
    <s v=""/>
    <s v=""/>
    <n v="0"/>
    <n v="1"/>
    <s v=""/>
    <s v=""/>
    <s v=""/>
    <n v="1"/>
    <n v="0"/>
    <n v="0"/>
    <n v="0"/>
    <n v="0"/>
    <n v="0"/>
    <n v="0"/>
    <n v="0"/>
    <s v=""/>
    <s v=""/>
    <n v="0"/>
    <n v="1.5"/>
    <s v=""/>
    <s v=""/>
    <s v=""/>
    <b v="1"/>
    <b v="1"/>
    <x v="3"/>
    <n v="21.826214285714286"/>
    <n v="2.2380952380952381"/>
    <n v="0.99802380952380954"/>
    <n v="0"/>
    <n v="0"/>
    <n v="0"/>
    <n v="0"/>
    <n v="0"/>
    <n v="0"/>
    <n v="0"/>
    <n v="0"/>
    <s v=""/>
    <s v=""/>
    <n v="0"/>
    <n v="1"/>
    <s v=""/>
    <s v=""/>
    <s v=""/>
    <n v="1"/>
    <n v="0"/>
    <n v="0"/>
    <n v="0"/>
    <n v="0"/>
    <n v="0"/>
    <n v="0"/>
    <n v="0"/>
    <s v=""/>
    <s v=""/>
    <n v="0"/>
    <n v="1.9000000000000004"/>
    <s v=""/>
    <s v=""/>
    <s v=""/>
    <n v="20.51"/>
    <n v="20.51"/>
    <n v="20.51"/>
    <n v="20.51"/>
    <n v="15.9"/>
    <n v="15.9"/>
    <n v="15.9"/>
    <n v="15.9"/>
    <n v="20.51"/>
    <n v="20.51"/>
    <n v="20.51"/>
    <n v="20.51"/>
    <n v="12.92"/>
    <n v="12.92"/>
    <n v="12.92"/>
    <n v="12.92"/>
    <n v="20"/>
    <n v="20"/>
    <n v="20"/>
    <n v="20"/>
    <s v=""/>
    <s v=""/>
    <s v=""/>
    <s v=""/>
    <s v=""/>
    <s v=""/>
    <s v=""/>
    <s v=""/>
    <s v=""/>
    <s v=""/>
    <s v=""/>
    <s v=""/>
    <s v=""/>
    <s v=""/>
    <s v=""/>
    <s v=""/>
    <n v="10"/>
    <n v="10"/>
    <n v="10"/>
    <n v="10"/>
    <n v="8"/>
    <n v="8"/>
    <n v="7.75"/>
    <n v="7.75"/>
    <s v=""/>
    <s v=""/>
    <s v=""/>
    <s v=""/>
    <s v=""/>
    <s v=""/>
    <s v=""/>
    <s v=""/>
    <s v=""/>
    <s v=""/>
    <s v=""/>
    <s v=""/>
    <s v=""/>
    <s v=""/>
    <s v=""/>
    <s v=""/>
    <n v="1"/>
    <n v="1"/>
    <n v="1"/>
    <n v="1"/>
    <n v="2"/>
    <n v="0"/>
    <n v="0"/>
    <n v="0"/>
    <n v="0"/>
    <n v="1"/>
    <n v="1"/>
    <n v="0"/>
    <n v="0"/>
    <n v="0"/>
    <n v="0"/>
  </r>
  <r>
    <m/>
    <m/>
    <m/>
    <m/>
    <m/>
    <m/>
    <n v="22"/>
    <n v="49"/>
    <n v="0"/>
    <n v="0"/>
    <n v="0"/>
    <s v="Leased or Rented"/>
    <s v="N/A"/>
    <m/>
    <m/>
    <m/>
    <m/>
    <n v="20.51"/>
    <n v="20.51"/>
    <n v="20.51"/>
    <n v="20.51"/>
    <n v="1"/>
    <n v="15.9"/>
    <n v="15.9"/>
    <n v="15.9"/>
    <n v="15.9"/>
    <n v="1"/>
    <s v="Registered Nurse"/>
    <n v="20.51"/>
    <n v="20.51"/>
    <n v="20.51"/>
    <n v="20.51"/>
    <n v="1"/>
    <s v="Senior Care Coordinator"/>
    <n v="12.92"/>
    <n v="12.92"/>
    <n v="12.92"/>
    <n v="12.92"/>
    <n v="1"/>
    <s v="Care Coordinator"/>
    <n v="10"/>
    <n v="10"/>
    <n v="10"/>
    <n v="10"/>
    <n v="2"/>
    <s v="Care Assistant (Band 2)"/>
    <n v="9.5"/>
    <n v="9.5"/>
    <n v="9"/>
    <n v="9"/>
    <m/>
    <s v="Care Assistant (Band 3)"/>
    <n v="9.75"/>
    <n v="9.75"/>
    <n v="9.15"/>
    <n v="9.15"/>
    <n v="0"/>
    <s v="Care Assistant (specify)"/>
    <n v="0"/>
    <n v="0"/>
    <n v="0"/>
    <n v="0"/>
    <n v="0"/>
    <s v="Care Assistant (specify)"/>
    <n v="0"/>
    <n v="0"/>
    <n v="0"/>
    <n v="0"/>
    <n v="0"/>
    <s v="Recruitment consulatant "/>
    <n v="10"/>
    <n v="10"/>
    <n v="10"/>
    <n v="10"/>
    <n v="1"/>
    <s v="Apprentice"/>
    <n v="8"/>
    <n v="8"/>
    <n v="7.75"/>
    <n v="7.75"/>
    <n v="1"/>
    <s v="Administrative Officer (specify)"/>
    <n v="0"/>
    <n v="0"/>
    <n v="0"/>
    <n v="0"/>
    <n v="0"/>
    <s v="Other staff (specify)"/>
    <n v="0"/>
    <n v="0"/>
    <n v="0"/>
    <n v="0"/>
    <n v="0"/>
    <s v="Other staff (specify)"/>
    <n v="0"/>
    <n v="0"/>
    <n v="0"/>
    <n v="0"/>
    <n v="0"/>
    <s v="Other staff (specify)"/>
    <n v="0"/>
    <n v="0"/>
    <n v="0"/>
    <n v="0"/>
    <n v="0"/>
    <n v="0.02"/>
    <n v="700"/>
    <n v="3024"/>
    <n v="600"/>
    <n v="0"/>
    <n v="240"/>
    <n v="70"/>
    <n v="0"/>
    <n v="0"/>
    <n v="0"/>
    <n v="0"/>
    <n v="0"/>
    <n v="0"/>
    <n v="17"/>
    <n v="18"/>
    <n v="15"/>
    <d v="2019-11-01T00:00:00"/>
    <d v="2002-10-31T00:00:00"/>
    <n v="42000"/>
    <n v="155699"/>
    <n v="660902"/>
    <n v="35100"/>
    <n v="0"/>
    <n v="0"/>
    <n v="0"/>
    <n v="50000"/>
    <n v="15000"/>
    <n v="24000"/>
    <n v="0"/>
    <n v="25000"/>
    <n v="30000"/>
    <n v="15000"/>
    <s v="Other - please specify"/>
    <n v="0"/>
    <s v="Other - please specify"/>
    <n v="0"/>
    <n v="5257"/>
    <n v="44965"/>
    <n v="2970"/>
    <n v="30000"/>
    <n v="0"/>
    <n v="3690"/>
    <n v="0"/>
    <n v="0"/>
    <s v="Other - please specify"/>
    <n v="0"/>
    <s v="Other - please specify"/>
    <n v="0"/>
    <n v="0"/>
    <n v="19114"/>
    <s v="Other overheads - please specify"/>
    <n v="0"/>
    <s v="Other overheads - please specify"/>
    <n v="0"/>
    <n v="34015"/>
    <n v="0"/>
    <n v="0"/>
    <m/>
    <d v="2021-10-11T14:58:27"/>
    <x v="0"/>
    <n v="49"/>
    <x v="3"/>
    <n v="20.51"/>
    <n v="20.51"/>
    <n v="20.51"/>
    <n v="20.51"/>
    <n v="15.9"/>
    <n v="15.9"/>
    <n v="15.9"/>
    <n v="15.9"/>
    <n v="20.51"/>
    <n v="20.51"/>
    <n v="20.51"/>
    <n v="20.51"/>
    <n v="12.92"/>
    <n v="12.92"/>
    <n v="12.92"/>
    <n v="12.92"/>
    <n v="10"/>
    <n v="10"/>
    <n v="10"/>
    <n v="10"/>
    <n v="9.5"/>
    <n v="9.5"/>
    <n v="9"/>
    <n v="9"/>
    <n v="9.75"/>
    <n v="9.75"/>
    <n v="9.15"/>
    <n v="9.15"/>
    <s v=""/>
    <s v=""/>
    <s v=""/>
    <s v=""/>
    <s v=""/>
    <s v=""/>
    <s v=""/>
    <s v=""/>
    <n v="10"/>
    <n v="10"/>
    <n v="10"/>
    <n v="10"/>
    <n v="8"/>
    <n v="8"/>
    <n v="7.75"/>
    <n v="7.75"/>
    <s v=""/>
    <s v=""/>
    <s v=""/>
    <s v=""/>
    <s v=""/>
    <s v=""/>
    <s v=""/>
    <s v=""/>
    <s v=""/>
    <s v=""/>
    <s v=""/>
    <s v=""/>
    <s v=""/>
    <s v=""/>
    <s v=""/>
    <s v=""/>
    <n v="20.51"/>
    <n v="20.51"/>
    <n v="20.51"/>
    <n v="20.51"/>
    <n v="15.9"/>
    <n v="15.9"/>
    <n v="15.9"/>
    <n v="15.9"/>
    <n v="20.51"/>
    <n v="20.51"/>
    <n v="20.51"/>
    <n v="20.51"/>
    <n v="12.92"/>
    <n v="12.92"/>
    <n v="12.92"/>
    <n v="12.92"/>
    <n v="10"/>
    <n v="10"/>
    <n v="10"/>
    <n v="10"/>
    <n v="9.5"/>
    <n v="9.5"/>
    <n v="9"/>
    <n v="9"/>
    <n v="9.75"/>
    <n v="9.75"/>
    <n v="9.15"/>
    <n v="9.15"/>
    <s v=""/>
    <s v=""/>
    <s v=""/>
    <s v=""/>
    <s v=""/>
    <s v=""/>
    <s v=""/>
    <s v=""/>
    <n v="10"/>
    <n v="10"/>
    <n v="10"/>
    <n v="10"/>
    <n v="8"/>
    <n v="8"/>
    <n v="7.75"/>
    <n v="7.75"/>
    <s v=""/>
    <s v=""/>
    <s v=""/>
    <s v=""/>
    <s v=""/>
    <s v=""/>
    <s v=""/>
    <s v=""/>
    <s v=""/>
    <s v=""/>
    <s v=""/>
    <s v=""/>
    <s v=""/>
    <s v=""/>
    <s v=""/>
    <s v=""/>
    <n v="6"/>
    <n v="0"/>
    <n v="2"/>
    <n v="0"/>
    <n v="8"/>
    <x v="1"/>
    <n v="4634"/>
    <n v="0"/>
    <n v="89.84"/>
    <n v="89.84"/>
    <n v="89.84"/>
    <n v="89.84"/>
    <x v="0"/>
    <n v="916701"/>
    <n v="94000"/>
    <n v="86882"/>
    <n v="19114"/>
    <n v="3.7071190476190474"/>
    <n v="15.735761904761905"/>
    <n v="0.83571428571428574"/>
    <n v="0"/>
    <n v="0"/>
    <n v="0"/>
    <n v="1.1904761904761905"/>
    <n v="0.35714285714285715"/>
    <n v="0.5714285714285714"/>
    <n v="0"/>
    <n v="0.59523809523809523"/>
    <n v="0.7142857142857143"/>
    <n v="0.35714285714285715"/>
    <n v="0"/>
    <n v="0"/>
    <n v="0.12516666666666668"/>
    <n v="1.0705952380952382"/>
    <n v="7.0714285714285716E-2"/>
    <n v="0.7142857142857143"/>
    <n v="0"/>
    <n v="8.7857142857142856E-2"/>
    <n v="0"/>
    <n v="0"/>
    <n v="0"/>
    <n v="0"/>
    <n v="0"/>
    <n v="0.45509523809523811"/>
    <n v="0"/>
    <n v="0"/>
    <n v="26.588023809523811"/>
    <n v="0.80988095238095237"/>
    <n v="0"/>
    <n v="22"/>
    <x v="0"/>
    <x v="1"/>
    <x v="1"/>
    <x v="1"/>
    <x v="0"/>
    <b v="0"/>
    <b v="1"/>
    <n v="0"/>
    <n v="0"/>
    <n v="0"/>
    <n v="0"/>
    <n v="0"/>
    <n v="0"/>
    <n v="0"/>
    <s v=""/>
    <s v=""/>
    <n v="0"/>
    <n v="1"/>
    <s v=""/>
    <s v=""/>
    <s v=""/>
    <n v="1"/>
    <n v="0"/>
    <n v="0"/>
    <n v="0"/>
    <n v="0"/>
    <n v="0"/>
    <n v="0"/>
    <n v="0"/>
    <s v=""/>
    <s v=""/>
    <n v="0"/>
    <n v="1.5"/>
    <s v=""/>
    <s v=""/>
    <s v=""/>
    <b v="1"/>
    <b v="1"/>
    <x v="3"/>
    <n v="21.826214285714286"/>
    <n v="2.2380952380952381"/>
    <n v="2.0686190476190474"/>
    <n v="0.45509523809523811"/>
    <n v="0"/>
    <n v="0"/>
    <n v="0"/>
    <n v="0"/>
    <n v="0"/>
    <n v="0"/>
    <n v="0"/>
    <s v=""/>
    <s v=""/>
    <n v="0"/>
    <n v="1"/>
    <s v=""/>
    <s v=""/>
    <s v=""/>
    <n v="1"/>
    <n v="0"/>
    <n v="0"/>
    <n v="0"/>
    <n v="0"/>
    <n v="0"/>
    <n v="0"/>
    <n v="0"/>
    <s v=""/>
    <s v=""/>
    <n v="0"/>
    <n v="1.9000000000000004"/>
    <s v=""/>
    <s v=""/>
    <s v=""/>
    <n v="20.51"/>
    <n v="20.51"/>
    <n v="20.51"/>
    <n v="20.51"/>
    <n v="15.9"/>
    <n v="15.9"/>
    <n v="15.9"/>
    <n v="15.9"/>
    <n v="20.51"/>
    <n v="20.51"/>
    <n v="20.51"/>
    <n v="20.51"/>
    <n v="12.92"/>
    <n v="12.92"/>
    <n v="12.92"/>
    <n v="12.92"/>
    <n v="20"/>
    <n v="20"/>
    <n v="20"/>
    <n v="20"/>
    <s v=""/>
    <s v=""/>
    <s v=""/>
    <s v=""/>
    <s v=""/>
    <s v=""/>
    <s v=""/>
    <s v=""/>
    <s v=""/>
    <s v=""/>
    <s v=""/>
    <s v=""/>
    <s v=""/>
    <s v=""/>
    <s v=""/>
    <s v=""/>
    <n v="10"/>
    <n v="10"/>
    <n v="10"/>
    <n v="10"/>
    <n v="8"/>
    <n v="8"/>
    <n v="7.75"/>
    <n v="7.75"/>
    <s v=""/>
    <s v=""/>
    <s v=""/>
    <s v=""/>
    <s v=""/>
    <s v=""/>
    <s v=""/>
    <s v=""/>
    <s v=""/>
    <s v=""/>
    <s v=""/>
    <s v=""/>
    <s v=""/>
    <s v=""/>
    <s v=""/>
    <s v=""/>
    <n v="1"/>
    <n v="1"/>
    <n v="1"/>
    <n v="1"/>
    <n v="2"/>
    <n v="0"/>
    <n v="0"/>
    <n v="0"/>
    <n v="0"/>
    <n v="1"/>
    <n v="1"/>
    <n v="0"/>
    <n v="0"/>
    <n v="0"/>
    <n v="0"/>
  </r>
  <r>
    <m/>
    <m/>
    <m/>
    <m/>
    <m/>
    <m/>
    <n v="23"/>
    <n v="17"/>
    <n v="0"/>
    <n v="0.85"/>
    <n v="0"/>
    <s v="Leased or Rented"/>
    <s v="N/A"/>
    <m/>
    <m/>
    <m/>
    <m/>
    <n v="12"/>
    <n v="13"/>
    <n v="12"/>
    <n v="12"/>
    <n v="0"/>
    <n v="12"/>
    <n v="13"/>
    <n v="12"/>
    <n v="12"/>
    <n v="1"/>
    <s v="Other manager (specify)"/>
    <n v="0"/>
    <n v="0"/>
    <n v="0"/>
    <n v="0"/>
    <n v="0"/>
    <s v="Other manager (specify)"/>
    <n v="0"/>
    <n v="0"/>
    <n v="0"/>
    <n v="0"/>
    <n v="0"/>
    <s v="Other manager (specify)"/>
    <n v="0"/>
    <n v="0"/>
    <n v="0"/>
    <n v="0"/>
    <n v="0"/>
    <s v="Care Assistant (specify)"/>
    <n v="8.4"/>
    <n v="9.1"/>
    <n v="8.1"/>
    <n v="9"/>
    <n v="13"/>
    <s v="Care Assistant (specify)"/>
    <n v="0"/>
    <n v="0"/>
    <n v="0"/>
    <n v="0"/>
    <n v="0"/>
    <s v="Care Assistant (specify)"/>
    <n v="0"/>
    <n v="0"/>
    <n v="0"/>
    <n v="0"/>
    <n v="0"/>
    <s v="Care Assistant (specify)"/>
    <n v="0"/>
    <n v="0"/>
    <n v="0"/>
    <n v="0"/>
    <n v="0"/>
    <s v="Administrative Officer (specify)"/>
    <n v="9"/>
    <n v="9.1"/>
    <n v="9"/>
    <n v="9.1"/>
    <n v="1"/>
    <s v="Administrative Officer (specify)"/>
    <n v="0"/>
    <n v="0"/>
    <n v="0"/>
    <n v="0"/>
    <n v="0"/>
    <s v="Administrative Officer (specify)"/>
    <n v="0"/>
    <n v="0"/>
    <n v="0"/>
    <n v="0"/>
    <n v="0"/>
    <s v="Cleaner"/>
    <n v="10"/>
    <n v="10"/>
    <n v="10"/>
    <n v="10"/>
    <n v="1"/>
    <s v="Other staff (specify)"/>
    <n v="0"/>
    <n v="0"/>
    <n v="0"/>
    <n v="0"/>
    <n v="0"/>
    <s v="Other staff (specify)"/>
    <n v="0"/>
    <n v="0"/>
    <n v="0"/>
    <n v="0"/>
    <n v="0"/>
    <n v="0.03"/>
    <n v="164"/>
    <n v="0"/>
    <n v="7"/>
    <n v="0"/>
    <n v="79"/>
    <n v="0"/>
    <n v="0"/>
    <n v="0"/>
    <n v="0"/>
    <n v="0"/>
    <n v="0"/>
    <n v="0"/>
    <n v="15"/>
    <n v="15"/>
    <n v="17"/>
    <d v="2020-04-01T00:00:00"/>
    <d v="2021-03-31T00:00:00"/>
    <n v="12000"/>
    <n v="23400"/>
    <n v="81000"/>
    <n v="13800"/>
    <n v="2000"/>
    <n v="5000"/>
    <n v="5000"/>
    <n v="2000"/>
    <n v="3000"/>
    <n v="800"/>
    <n v="3000"/>
    <n v="1200"/>
    <n v="1416"/>
    <n v="964"/>
    <s v="Other - please specify"/>
    <n v="0"/>
    <s v="Other - please specify"/>
    <n v="0"/>
    <n v="1440"/>
    <n v="700"/>
    <n v="300"/>
    <n v="3900"/>
    <n v="864"/>
    <n v="1200"/>
    <n v="0"/>
    <n v="0"/>
    <s v="Other - please specify"/>
    <n v="0"/>
    <s v="Other - please specify"/>
    <n v="0"/>
    <n v="0"/>
    <n v="800"/>
    <s v="Other overheads - please specify"/>
    <n v="0"/>
    <s v="Other overheads - please specify"/>
    <n v="0"/>
    <n v="15216"/>
    <n v="1000"/>
    <n v="3000"/>
    <m/>
    <d v="2021-10-11T14:58:30"/>
    <x v="0"/>
    <n v="17"/>
    <x v="1"/>
    <n v="12"/>
    <n v="13"/>
    <n v="12"/>
    <n v="12"/>
    <n v="12"/>
    <n v="13"/>
    <n v="12"/>
    <n v="12"/>
    <s v=""/>
    <s v=""/>
    <s v=""/>
    <s v=""/>
    <s v=""/>
    <s v=""/>
    <s v=""/>
    <s v=""/>
    <s v=""/>
    <s v=""/>
    <s v=""/>
    <s v=""/>
    <n v="8.4"/>
    <n v="9.1"/>
    <n v="8.1"/>
    <n v="9"/>
    <s v=""/>
    <s v=""/>
    <s v=""/>
    <s v=""/>
    <s v=""/>
    <s v=""/>
    <s v=""/>
    <s v=""/>
    <s v=""/>
    <s v=""/>
    <s v=""/>
    <s v=""/>
    <n v="9"/>
    <n v="9.1"/>
    <n v="9"/>
    <n v="9.1"/>
    <s v=""/>
    <s v=""/>
    <s v=""/>
    <s v=""/>
    <s v=""/>
    <s v=""/>
    <s v=""/>
    <s v=""/>
    <n v="10"/>
    <n v="10"/>
    <n v="10"/>
    <n v="10"/>
    <s v=""/>
    <s v=""/>
    <s v=""/>
    <s v=""/>
    <s v=""/>
    <s v=""/>
    <s v=""/>
    <s v=""/>
    <n v="12"/>
    <n v="13"/>
    <n v="12"/>
    <n v="12"/>
    <n v="12"/>
    <n v="13"/>
    <n v="12"/>
    <n v="12"/>
    <s v=""/>
    <s v=""/>
    <s v=""/>
    <s v=""/>
    <s v=""/>
    <s v=""/>
    <s v=""/>
    <s v=""/>
    <s v=""/>
    <s v=""/>
    <s v=""/>
    <s v=""/>
    <n v="8.4"/>
    <n v="9.1"/>
    <n v="8.1"/>
    <n v="9"/>
    <s v=""/>
    <s v=""/>
    <s v=""/>
    <s v=""/>
    <s v=""/>
    <s v=""/>
    <s v=""/>
    <s v=""/>
    <s v=""/>
    <s v=""/>
    <s v=""/>
    <s v=""/>
    <n v="9"/>
    <n v="9.1"/>
    <n v="9"/>
    <n v="9.1"/>
    <s v=""/>
    <s v=""/>
    <s v=""/>
    <s v=""/>
    <s v=""/>
    <s v=""/>
    <s v=""/>
    <s v=""/>
    <n v="10"/>
    <n v="10"/>
    <n v="10"/>
    <n v="10"/>
    <s v=""/>
    <s v=""/>
    <s v=""/>
    <s v=""/>
    <s v=""/>
    <s v=""/>
    <s v=""/>
    <s v=""/>
    <n v="1"/>
    <n v="13"/>
    <n v="1"/>
    <n v="1"/>
    <n v="16"/>
    <x v="2"/>
    <n v="250"/>
    <n v="0"/>
    <e v="#VALUE!"/>
    <e v="#VALUE!"/>
    <e v="#VALUE!"/>
    <e v="#VALUE!"/>
    <x v="0"/>
    <n v="135200"/>
    <n v="7380"/>
    <n v="8404"/>
    <n v="800"/>
    <n v="1.95"/>
    <n v="6.75"/>
    <n v="1.1499999999999999"/>
    <n v="0.16666666666666666"/>
    <n v="0.41666666666666669"/>
    <n v="0.41666666666666669"/>
    <n v="0.16666666666666666"/>
    <n v="0.25"/>
    <n v="6.6666666666666666E-2"/>
    <n v="0.25"/>
    <n v="0.1"/>
    <n v="0.11799999999999999"/>
    <n v="8.033333333333334E-2"/>
    <n v="0"/>
    <n v="0"/>
    <n v="0.12"/>
    <n v="5.8333333333333334E-2"/>
    <n v="2.5000000000000001E-2"/>
    <n v="0.32500000000000001"/>
    <n v="7.1999999999999995E-2"/>
    <n v="0.1"/>
    <n v="0"/>
    <n v="0"/>
    <n v="0"/>
    <n v="0"/>
    <n v="0"/>
    <n v="6.6666666666666666E-2"/>
    <n v="0"/>
    <n v="0"/>
    <n v="12.648666666666662"/>
    <n v="1.268"/>
    <n v="8.3333333333333329E-2"/>
    <n v="23"/>
    <x v="0"/>
    <x v="1"/>
    <x v="1"/>
    <x v="1"/>
    <x v="0"/>
    <b v="1"/>
    <b v="0"/>
    <n v="0"/>
    <n v="0"/>
    <s v=""/>
    <s v=""/>
    <s v=""/>
    <n v="13"/>
    <s v=""/>
    <s v=""/>
    <s v=""/>
    <n v="1"/>
    <s v=""/>
    <n v="0"/>
    <s v=""/>
    <s v=""/>
    <n v="14"/>
    <n v="0"/>
    <n v="0"/>
    <s v=""/>
    <s v=""/>
    <s v=""/>
    <n v="9.75"/>
    <s v=""/>
    <s v=""/>
    <s v=""/>
    <n v="0.44999999999999929"/>
    <s v=""/>
    <n v="0"/>
    <s v=""/>
    <s v=""/>
    <b v="0"/>
    <b v="1"/>
    <x v="1"/>
    <n v="11.266666666666664"/>
    <n v="0.61499999999999999"/>
    <n v="0.70033333333333325"/>
    <n v="6.6666666666666666E-2"/>
    <n v="0"/>
    <n v="0"/>
    <s v=""/>
    <s v=""/>
    <s v=""/>
    <n v="13"/>
    <s v=""/>
    <s v=""/>
    <s v=""/>
    <n v="1"/>
    <s v=""/>
    <n v="0"/>
    <s v=""/>
    <s v=""/>
    <n v="14"/>
    <n v="0"/>
    <n v="0"/>
    <s v=""/>
    <s v=""/>
    <s v=""/>
    <n v="14.950000000000005"/>
    <s v=""/>
    <s v=""/>
    <s v=""/>
    <n v="0.84999999999999964"/>
    <s v=""/>
    <n v="0"/>
    <s v=""/>
    <s v=""/>
    <s v=""/>
    <s v=""/>
    <s v=""/>
    <s v=""/>
    <n v="12"/>
    <n v="13"/>
    <n v="12"/>
    <n v="12"/>
    <s v=""/>
    <s v=""/>
    <s v=""/>
    <s v=""/>
    <s v=""/>
    <s v=""/>
    <s v=""/>
    <s v=""/>
    <s v=""/>
    <s v=""/>
    <s v=""/>
    <s v=""/>
    <n v="109.2"/>
    <n v="118.3"/>
    <n v="105.3"/>
    <n v="117"/>
    <s v=""/>
    <s v=""/>
    <s v=""/>
    <s v=""/>
    <s v=""/>
    <s v=""/>
    <s v=""/>
    <s v=""/>
    <s v=""/>
    <s v=""/>
    <s v=""/>
    <s v=""/>
    <n v="9"/>
    <n v="9.1"/>
    <n v="9"/>
    <n v="9.1"/>
    <s v=""/>
    <s v=""/>
    <s v=""/>
    <s v=""/>
    <s v=""/>
    <s v=""/>
    <s v=""/>
    <s v=""/>
    <n v="10"/>
    <n v="10"/>
    <n v="10"/>
    <n v="10"/>
    <s v=""/>
    <s v=""/>
    <s v=""/>
    <s v=""/>
    <s v=""/>
    <s v=""/>
    <s v=""/>
    <s v=""/>
    <n v="0"/>
    <n v="1"/>
    <n v="0"/>
    <n v="0"/>
    <n v="0"/>
    <n v="13"/>
    <n v="0"/>
    <n v="0"/>
    <n v="0"/>
    <n v="1"/>
    <n v="0"/>
    <n v="0"/>
    <n v="1"/>
    <n v="0"/>
    <n v="0"/>
  </r>
  <r>
    <m/>
    <m/>
    <m/>
    <m/>
    <m/>
    <m/>
    <n v="24"/>
    <n v="24"/>
    <n v="15"/>
    <n v="0.18"/>
    <n v="0.82"/>
    <s v="Leased or Rented"/>
    <s v="N/A"/>
    <m/>
    <m/>
    <m/>
    <m/>
    <n v="16.03"/>
    <n v="16.03"/>
    <n v="16.03"/>
    <n v="16.03"/>
    <n v="1.2"/>
    <n v="11.9"/>
    <n v="11.9"/>
    <n v="11.9"/>
    <n v="11.9"/>
    <n v="1.2"/>
    <s v="Support Manager"/>
    <n v="10.99"/>
    <n v="10.99"/>
    <n v="10.99"/>
    <n v="10.99"/>
    <n v="1.3"/>
    <s v="Office Manager"/>
    <n v="12"/>
    <n v="12"/>
    <n v="12"/>
    <n v="12"/>
    <n v="1.2"/>
    <s v="Accounts Manager"/>
    <n v="10.5"/>
    <n v="10.5"/>
    <n v="8.25"/>
    <n v="8.25"/>
    <n v="1.2"/>
    <s v="Care Assistant (Over 23)"/>
    <n v="9.42"/>
    <n v="9.8000000000000007"/>
    <n v="8.91"/>
    <n v="9.25"/>
    <n v="10.06"/>
    <s v="Care Assistant (Under 23)"/>
    <n v="8.8000000000000007"/>
    <n v="9.1999999999999993"/>
    <n v="8.5"/>
    <n v="8.8000000000000007"/>
    <n v="1.2"/>
    <s v="Support Worker (Grade 1)"/>
    <n v="9.42"/>
    <n v="10.6"/>
    <n v="9.1"/>
    <n v="9.25"/>
    <n v="30.1"/>
    <s v="Support Worker (Grade 2)"/>
    <n v="9.8000000000000007"/>
    <n v="10.8"/>
    <n v="9.1"/>
    <n v="9.5"/>
    <n v="3.3"/>
    <s v="Human Resources Administator"/>
    <n v="9.6199999999999992"/>
    <n v="9.6199999999999992"/>
    <n v="9.15"/>
    <n v="9.15"/>
    <n v="1.2"/>
    <s v="Domestic Cleaner"/>
    <n v="9.42"/>
    <n v="9.5"/>
    <n v="9"/>
    <n v="9"/>
    <n v="0.43"/>
    <s v="Maintenance Worker"/>
    <n v="12"/>
    <n v="12"/>
    <n v="10"/>
    <n v="10"/>
    <n v="0.86"/>
    <s v="Senior Care Worker"/>
    <n v="10.6"/>
    <n v="10.6"/>
    <n v="10"/>
    <n v="10"/>
    <n v="1.2"/>
    <s v="Senior Support Worker"/>
    <n v="10"/>
    <n v="10.3"/>
    <n v="9.5"/>
    <n v="9.8000000000000007"/>
    <n v="13.4"/>
    <s v="Support Team Leader"/>
    <n v="10.3"/>
    <n v="10.6"/>
    <n v="10"/>
    <n v="10"/>
    <n v="0"/>
    <n v="0.03"/>
    <n v="0"/>
    <n v="390.75"/>
    <n v="31.5"/>
    <n v="0"/>
    <n v="0"/>
    <n v="32"/>
    <n v="187"/>
    <n v="808"/>
    <n v="105"/>
    <n v="616.5"/>
    <n v="0"/>
    <n v="0"/>
    <n v="16.97"/>
    <n v="19.86"/>
    <n v="16.21"/>
    <d v="2020-07-01T00:00:00"/>
    <d v="2021-06-30T00:00:00"/>
    <n v="103030.85"/>
    <n v="222793"/>
    <n v="905027"/>
    <n v="33635"/>
    <n v="92576"/>
    <n v="0"/>
    <n v="15046"/>
    <n v="20115"/>
    <n v="12972"/>
    <n v="8509"/>
    <n v="3807"/>
    <n v="13511.68"/>
    <n v="6465.6"/>
    <n v="33702.400000000001"/>
    <s v="DBS checks"/>
    <n v="2138"/>
    <s v="Entertainment"/>
    <n v="2127"/>
    <n v="4877"/>
    <n v="3107"/>
    <n v="5409"/>
    <n v="14480"/>
    <n v="2085"/>
    <n v="4286"/>
    <n v="260"/>
    <n v="7788"/>
    <s v="Accountancy fees"/>
    <n v="9798"/>
    <s v="Legal and Professional fees"/>
    <n v="7779"/>
    <n v="0"/>
    <n v="0"/>
    <s v="Other overheads - please specify"/>
    <n v="0"/>
    <s v="Other overheads - please specify"/>
    <n v="0"/>
    <n v="298880"/>
    <m/>
    <n v="716456"/>
    <m/>
    <d v="2021-10-11T14:58:32"/>
    <x v="1"/>
    <n v="39"/>
    <x v="5"/>
    <n v="16.03"/>
    <n v="16.03"/>
    <n v="16.03"/>
    <n v="16.03"/>
    <n v="11.9"/>
    <n v="11.9"/>
    <n v="11.9"/>
    <n v="11.9"/>
    <n v="10.99"/>
    <n v="10.99"/>
    <n v="10.99"/>
    <n v="10.99"/>
    <n v="12"/>
    <n v="12"/>
    <n v="12"/>
    <n v="12"/>
    <n v="10.5"/>
    <n v="10.5"/>
    <n v="8.25"/>
    <n v="8.25"/>
    <n v="9.42"/>
    <n v="9.8000000000000007"/>
    <n v="8.91"/>
    <n v="9.25"/>
    <n v="8.8000000000000007"/>
    <n v="9.1999999999999993"/>
    <n v="8.5"/>
    <n v="8.8000000000000007"/>
    <n v="9.42"/>
    <n v="10.6"/>
    <n v="9.1"/>
    <n v="9.25"/>
    <n v="9.8000000000000007"/>
    <n v="10.8"/>
    <n v="9.1"/>
    <n v="9.5"/>
    <n v="9.6199999999999992"/>
    <n v="9.6199999999999992"/>
    <n v="9.15"/>
    <n v="9.15"/>
    <n v="9.42"/>
    <n v="9.5"/>
    <n v="9"/>
    <n v="9"/>
    <n v="12"/>
    <n v="12"/>
    <n v="10"/>
    <n v="10"/>
    <n v="10.6"/>
    <n v="10.6"/>
    <n v="10"/>
    <n v="10"/>
    <n v="10"/>
    <n v="10.3"/>
    <n v="9.5"/>
    <n v="9.8000000000000007"/>
    <n v="10.3"/>
    <n v="10.6"/>
    <n v="10"/>
    <n v="10"/>
    <n v="16.03"/>
    <n v="16.03"/>
    <n v="16.03"/>
    <n v="16.03"/>
    <n v="11.9"/>
    <n v="11.9"/>
    <n v="11.9"/>
    <n v="11.9"/>
    <n v="10.99"/>
    <n v="10.99"/>
    <n v="10.99"/>
    <n v="10.99"/>
    <n v="12"/>
    <n v="12"/>
    <n v="12"/>
    <n v="12"/>
    <n v="10.5"/>
    <n v="10.5"/>
    <n v="8.25"/>
    <n v="8.25"/>
    <n v="9.42"/>
    <n v="9.8000000000000007"/>
    <n v="8.91"/>
    <n v="9.25"/>
    <n v="8.8000000000000007"/>
    <n v="9.1999999999999993"/>
    <n v="8.5"/>
    <n v="8.8000000000000007"/>
    <n v="9.42"/>
    <n v="10.6"/>
    <n v="9.1"/>
    <n v="9.25"/>
    <n v="9.8000000000000007"/>
    <n v="10.8"/>
    <n v="9.1"/>
    <n v="9.5"/>
    <n v="9.6199999999999992"/>
    <n v="9.6199999999999992"/>
    <n v="9.15"/>
    <n v="9.15"/>
    <n v="9.42"/>
    <n v="9.5"/>
    <n v="9"/>
    <n v="9"/>
    <n v="12"/>
    <n v="12"/>
    <n v="10"/>
    <n v="10"/>
    <n v="10.6"/>
    <n v="10.6"/>
    <n v="10"/>
    <n v="10"/>
    <n v="10"/>
    <n v="10.3"/>
    <n v="9.5"/>
    <n v="9.8000000000000007"/>
    <n v="10.3"/>
    <n v="10.6"/>
    <n v="10"/>
    <n v="10"/>
    <n v="6.1000000000000005"/>
    <n v="44.66"/>
    <n v="1.63"/>
    <n v="14.6"/>
    <n v="66.989999999999995"/>
    <x v="0"/>
    <n v="454.25"/>
    <n v="1716.5"/>
    <n v="72.102999999999994"/>
    <n v="72.102999999999994"/>
    <n v="74.802999999999997"/>
    <n v="74.802999999999997"/>
    <x v="0"/>
    <n v="1302164"/>
    <n v="70260.679999999993"/>
    <n v="59869"/>
    <n v="0"/>
    <n v="2.1623911673057146"/>
    <n v="8.7840389553226039"/>
    <n v="0.32645561984590049"/>
    <n v="0.89852699458463159"/>
    <n v="0"/>
    <n v="0.14603393061398601"/>
    <n v="0.19523278707299802"/>
    <n v="0.12590403748003631"/>
    <n v="8.258691450182154E-2"/>
    <n v="3.6950097956097612E-2"/>
    <n v="0.13114208026042684"/>
    <n v="6.2754019791159632E-2"/>
    <n v="0.32710979284359976"/>
    <n v="2.0751066306839164E-2"/>
    <n v="2.0644302167748783E-2"/>
    <n v="4.7335336940343593E-2"/>
    <n v="3.0156016377618933E-2"/>
    <n v="5.2498838939987393E-2"/>
    <n v="0.14054043036624467"/>
    <n v="2.0236657273040064E-2"/>
    <n v="4.1599190921942308E-2"/>
    <n v="2.5235160148635092E-3"/>
    <n v="7.5589010475988497E-2"/>
    <n v="9.5097730437048708E-2"/>
    <n v="7.5501657998550908E-2"/>
    <n v="0"/>
    <n v="0"/>
    <n v="0"/>
    <n v="0"/>
    <n v="13.901600151799194"/>
    <n v="2.9008787173938679"/>
    <n v="0"/>
    <n v="24"/>
    <x v="1"/>
    <x v="1"/>
    <x v="0"/>
    <x v="1"/>
    <x v="1"/>
    <b v="0"/>
    <b v="1"/>
    <n v="0"/>
    <n v="0"/>
    <n v="0"/>
    <n v="0"/>
    <n v="0"/>
    <n v="0"/>
    <n v="1.2"/>
    <n v="0"/>
    <n v="0"/>
    <n v="0"/>
    <n v="0.43"/>
    <n v="0"/>
    <n v="0"/>
    <n v="0"/>
    <n v="1.63"/>
    <n v="0"/>
    <n v="0"/>
    <n v="0"/>
    <n v="0"/>
    <n v="0"/>
    <n v="0"/>
    <n v="0.6"/>
    <n v="0"/>
    <n v="0"/>
    <n v="0"/>
    <n v="1.7199999999999632E-2"/>
    <n v="0"/>
    <n v="0"/>
    <n v="0"/>
    <b v="1"/>
    <b v="0"/>
    <x v="2"/>
    <n v="12.638583492225871"/>
    <n v="0.68193827382769334"/>
    <n v="0.58107838574562853"/>
    <n v="0"/>
    <n v="0"/>
    <n v="0"/>
    <n v="0"/>
    <n v="0"/>
    <n v="0"/>
    <n v="10.06"/>
    <n v="1.2"/>
    <n v="0"/>
    <n v="0"/>
    <n v="1.2"/>
    <n v="0.43"/>
    <n v="0"/>
    <n v="0"/>
    <n v="0"/>
    <n v="12.889999999999999"/>
    <n v="0"/>
    <n v="0"/>
    <n v="0"/>
    <n v="0"/>
    <n v="0"/>
    <n v="2.9174000000000095"/>
    <n v="1.0800000000000003"/>
    <n v="0"/>
    <n v="0"/>
    <n v="0.33600000000000135"/>
    <n v="0.18919999999999979"/>
    <n v="0"/>
    <n v="0"/>
    <n v="0"/>
    <n v="19.236000000000001"/>
    <n v="19.236000000000001"/>
    <n v="19.236000000000001"/>
    <n v="19.236000000000001"/>
    <n v="14.28"/>
    <n v="14.28"/>
    <n v="14.28"/>
    <n v="14.28"/>
    <n v="14.287000000000001"/>
    <n v="14.287000000000001"/>
    <n v="14.287000000000001"/>
    <n v="14.287000000000001"/>
    <n v="14.399999999999999"/>
    <n v="14.399999999999999"/>
    <n v="14.399999999999999"/>
    <n v="14.399999999999999"/>
    <n v="12.6"/>
    <n v="12.6"/>
    <n v="9.9"/>
    <n v="9.9"/>
    <n v="94.765200000000007"/>
    <n v="98.588000000000008"/>
    <n v="89.634600000000006"/>
    <n v="93.055000000000007"/>
    <n v="10.56"/>
    <n v="11.04"/>
    <n v="10.199999999999999"/>
    <n v="10.56"/>
    <n v="283.54200000000003"/>
    <n v="319.06"/>
    <n v="273.91000000000003"/>
    <n v="278.42500000000001"/>
    <n v="32.340000000000003"/>
    <n v="35.64"/>
    <n v="30.029999999999998"/>
    <n v="31.349999999999998"/>
    <n v="11.543999999999999"/>
    <n v="11.543999999999999"/>
    <n v="10.98"/>
    <n v="10.98"/>
    <n v="4.0506000000000002"/>
    <n v="4.085"/>
    <n v="3.87"/>
    <n v="3.87"/>
    <n v="10.32"/>
    <n v="10.32"/>
    <n v="8.6"/>
    <n v="8.6"/>
    <n v="12.719999999999999"/>
    <n v="12.719999999999999"/>
    <n v="12"/>
    <n v="12"/>
    <n v="134"/>
    <n v="138.02000000000001"/>
    <n v="127.3"/>
    <n v="131.32000000000002"/>
    <s v=""/>
    <s v=""/>
    <s v=""/>
    <s v=""/>
    <n v="1.2"/>
    <n v="1.2"/>
    <n v="1.3"/>
    <n v="1.2"/>
    <n v="1.2"/>
    <n v="10.06"/>
    <n v="1.2"/>
    <n v="30.1"/>
    <n v="3.3"/>
    <n v="1.2"/>
    <n v="0.43"/>
    <n v="0.86"/>
    <n v="1.2"/>
    <n v="13.4"/>
    <n v="0"/>
  </r>
  <r>
    <m/>
    <m/>
    <m/>
    <m/>
    <m/>
    <m/>
    <n v="25"/>
    <n v="32"/>
    <n v="12"/>
    <n v="0.6"/>
    <n v="0.4"/>
    <s v="Owned outright"/>
    <s v="Mortgaged"/>
    <m/>
    <m/>
    <m/>
    <m/>
    <n v="18"/>
    <n v="18"/>
    <n v="15"/>
    <n v="15"/>
    <n v="1"/>
    <n v="10"/>
    <n v="10"/>
    <n v="10"/>
    <n v="10"/>
    <n v="1"/>
    <s v="Other manager (specify)  Deputy Mgr"/>
    <n v="12"/>
    <n v="12"/>
    <n v="12"/>
    <n v="12"/>
    <n v="1"/>
    <s v="Other manager (specify)  "/>
    <n v="0"/>
    <n v="0"/>
    <n v="0"/>
    <n v="0"/>
    <n v="0"/>
    <s v="Other manager (specify)"/>
    <n v="0"/>
    <n v="0"/>
    <n v="0"/>
    <n v="0"/>
    <n v="0"/>
    <s v="Care Assistant (specify)  team leader"/>
    <n v="12"/>
    <n v="12"/>
    <n v="9.5"/>
    <n v="9.5"/>
    <n v="1"/>
    <s v="Care Assistant (specify) team leader"/>
    <n v="9.5"/>
    <n v="9.5"/>
    <n v="9.5"/>
    <n v="9.5"/>
    <n v="1"/>
    <s v="Care Assistant (specify) senior carers"/>
    <n v="9.15"/>
    <n v="9.15"/>
    <n v="8.85"/>
    <n v="8.85"/>
    <n v="1"/>
    <s v="Care Assistant (specify)"/>
    <n v="9"/>
    <n v="9"/>
    <n v="9"/>
    <n v="9"/>
    <n v="19"/>
    <s v="Administrative Officer   (Finance)"/>
    <n v="13"/>
    <n v="13"/>
    <n v="13"/>
    <n v="13"/>
    <n v="1"/>
    <s v="Administrative Officer (specify)"/>
    <n v="0"/>
    <n v="0"/>
    <n v="0"/>
    <n v="0"/>
    <n v="0"/>
    <s v="Administrative Officer (specify)"/>
    <n v="0"/>
    <n v="0"/>
    <n v="0"/>
    <n v="0"/>
    <n v="0"/>
    <s v="Other staff (specify)"/>
    <n v="0"/>
    <n v="0"/>
    <n v="0"/>
    <n v="0"/>
    <n v="0"/>
    <s v="Other staff (specify)"/>
    <n v="0"/>
    <n v="0"/>
    <n v="0"/>
    <n v="0"/>
    <n v="0"/>
    <s v="Other staff (specify)"/>
    <n v="0"/>
    <n v="0"/>
    <n v="0"/>
    <n v="0"/>
    <n v="0"/>
    <m/>
    <n v="0"/>
    <n v="41.75"/>
    <n v="416"/>
    <n v="0"/>
    <n v="670"/>
    <n v="57"/>
    <n v="806"/>
    <n v="0"/>
    <n v="0"/>
    <n v="0"/>
    <n v="0"/>
    <n v="0"/>
    <n v="14.96"/>
    <n v="16"/>
    <n v="16"/>
    <d v="2019-07-01T00:00:00"/>
    <d v="2020-06-30T00:00:00"/>
    <n v="103100"/>
    <n v="85800"/>
    <n v="595941"/>
    <n v="14870"/>
    <n v="0"/>
    <n v="0"/>
    <n v="0"/>
    <n v="0"/>
    <n v="0"/>
    <n v="1300"/>
    <n v="3600"/>
    <n v="3200"/>
    <n v="25000"/>
    <n v="10426"/>
    <s v="Other - please specify"/>
    <n v="0"/>
    <s v="Other - please specify"/>
    <n v="0"/>
    <n v="4800"/>
    <n v="10000"/>
    <n v="1450"/>
    <n v="21000"/>
    <n v="3200"/>
    <n v="4655.7"/>
    <n v="2394"/>
    <n v="0"/>
    <s v="Other - please specify  Transport"/>
    <n v="14580"/>
    <s v="Other - please specify  Accountancy"/>
    <n v="7200"/>
    <n v="0"/>
    <n v="1000"/>
    <s v="Other overheads - please specify"/>
    <n v="0"/>
    <s v="Other overheads - please specify"/>
    <n v="0"/>
    <n v="169000"/>
    <n v="0"/>
    <n v="0"/>
    <m/>
    <d v="2021-10-11T14:58:35"/>
    <x v="0"/>
    <n v="44"/>
    <x v="3"/>
    <n v="18"/>
    <n v="18"/>
    <n v="15"/>
    <n v="15"/>
    <n v="10"/>
    <n v="10"/>
    <n v="10"/>
    <n v="10"/>
    <n v="12"/>
    <n v="12"/>
    <n v="12"/>
    <n v="12"/>
    <s v=""/>
    <s v=""/>
    <s v=""/>
    <s v=""/>
    <s v=""/>
    <s v=""/>
    <s v=""/>
    <s v=""/>
    <n v="12"/>
    <n v="12"/>
    <n v="9.5"/>
    <n v="9.5"/>
    <n v="9.5"/>
    <n v="9.5"/>
    <n v="9.5"/>
    <n v="9.5"/>
    <n v="9.15"/>
    <n v="9.15"/>
    <n v="8.85"/>
    <n v="8.85"/>
    <n v="9"/>
    <n v="9"/>
    <n v="9"/>
    <n v="9"/>
    <n v="13"/>
    <n v="13"/>
    <n v="13"/>
    <n v="13"/>
    <s v=""/>
    <s v=""/>
    <s v=""/>
    <s v=""/>
    <s v=""/>
    <s v=""/>
    <s v=""/>
    <s v=""/>
    <s v=""/>
    <s v=""/>
    <s v=""/>
    <s v=""/>
    <s v=""/>
    <s v=""/>
    <s v=""/>
    <s v=""/>
    <s v=""/>
    <s v=""/>
    <s v=""/>
    <s v=""/>
    <n v="18"/>
    <n v="18"/>
    <n v="15"/>
    <n v="15"/>
    <n v="10"/>
    <n v="10"/>
    <n v="10"/>
    <n v="10"/>
    <n v="12"/>
    <n v="12"/>
    <n v="12"/>
    <n v="12"/>
    <s v=""/>
    <s v=""/>
    <s v=""/>
    <s v=""/>
    <s v=""/>
    <s v=""/>
    <s v=""/>
    <s v=""/>
    <n v="12"/>
    <n v="12"/>
    <n v="9.5"/>
    <n v="9.5"/>
    <n v="9.5"/>
    <n v="9.5"/>
    <n v="9.5"/>
    <n v="9.5"/>
    <n v="9.15"/>
    <n v="9.15"/>
    <n v="8.85"/>
    <n v="8.85"/>
    <n v="9"/>
    <n v="9"/>
    <n v="9"/>
    <n v="9"/>
    <n v="13"/>
    <n v="13"/>
    <n v="13"/>
    <n v="13"/>
    <s v=""/>
    <s v=""/>
    <s v=""/>
    <s v=""/>
    <s v=""/>
    <s v=""/>
    <s v=""/>
    <s v=""/>
    <s v=""/>
    <s v=""/>
    <s v=""/>
    <s v=""/>
    <s v=""/>
    <s v=""/>
    <s v=""/>
    <s v=""/>
    <s v=""/>
    <s v=""/>
    <s v=""/>
    <s v=""/>
    <n v="3"/>
    <n v="22"/>
    <n v="1"/>
    <n v="0"/>
    <n v="26"/>
    <x v="2"/>
    <n v="1184.75"/>
    <n v="806"/>
    <e v="#VALUE!"/>
    <e v="#VALUE!"/>
    <e v="#VALUE!"/>
    <e v="#VALUE!"/>
    <x v="0"/>
    <n v="696611"/>
    <n v="43526"/>
    <n v="69279.7"/>
    <n v="1000"/>
    <n v="0.8322017458777885"/>
    <n v="5.7802230843840929"/>
    <n v="0.14422890397672164"/>
    <n v="0"/>
    <n v="0"/>
    <n v="0"/>
    <n v="0"/>
    <n v="0"/>
    <n v="1.2609117361784675E-2"/>
    <n v="3.4917555771096023E-2"/>
    <n v="3.1037827352085354E-2"/>
    <n v="0.24248302618816683"/>
    <n v="0.1011251212415131"/>
    <n v="0"/>
    <n v="0"/>
    <n v="4.6556741028128033E-2"/>
    <n v="9.6993210475266725E-2"/>
    <n v="1.4064015518913677E-2"/>
    <n v="0.20368574199806014"/>
    <n v="3.1037827352085354E-2"/>
    <n v="4.515712900096993E-2"/>
    <n v="2.3220174587778857E-2"/>
    <n v="0"/>
    <n v="0.1414161008729389"/>
    <n v="6.9835111542192047E-2"/>
    <n v="0"/>
    <n v="9.6993210475266739E-3"/>
    <n v="0"/>
    <n v="0"/>
    <n v="7.8604917555771099"/>
    <n v="1.6391852570320078"/>
    <n v="0"/>
    <n v="25"/>
    <x v="0"/>
    <x v="1"/>
    <x v="0"/>
    <x v="1"/>
    <x v="1"/>
    <b v="1"/>
    <b v="1"/>
    <n v="0"/>
    <n v="0"/>
    <n v="0"/>
    <s v=""/>
    <s v=""/>
    <n v="0"/>
    <n v="0"/>
    <n v="1"/>
    <n v="19"/>
    <n v="0"/>
    <s v=""/>
    <s v=""/>
    <s v=""/>
    <s v=""/>
    <n v="20"/>
    <n v="0"/>
    <n v="0"/>
    <n v="0"/>
    <s v=""/>
    <s v=""/>
    <n v="0"/>
    <n v="0"/>
    <n v="0.34999999999999964"/>
    <n v="9.5"/>
    <n v="0"/>
    <s v=""/>
    <s v=""/>
    <s v=""/>
    <s v=""/>
    <b v="1"/>
    <b v="1"/>
    <x v="3"/>
    <n v="6.7566537342386033"/>
    <n v="0.42217264791464593"/>
    <n v="0.67196605237633367"/>
    <n v="9.6993210475266739E-3"/>
    <n v="0"/>
    <n v="0"/>
    <n v="0"/>
    <s v=""/>
    <s v=""/>
    <n v="0"/>
    <n v="1"/>
    <n v="1"/>
    <n v="19"/>
    <n v="0"/>
    <s v=""/>
    <s v=""/>
    <s v=""/>
    <s v=""/>
    <n v="21"/>
    <n v="0"/>
    <n v="0"/>
    <n v="0"/>
    <s v=""/>
    <s v=""/>
    <n v="0"/>
    <n v="0.40000000000000036"/>
    <n v="0.75"/>
    <n v="17.100000000000009"/>
    <n v="0"/>
    <s v=""/>
    <s v=""/>
    <s v=""/>
    <s v=""/>
    <n v="18"/>
    <n v="18"/>
    <n v="15"/>
    <n v="15"/>
    <n v="10"/>
    <n v="10"/>
    <n v="10"/>
    <n v="10"/>
    <n v="12"/>
    <n v="12"/>
    <n v="12"/>
    <n v="12"/>
    <s v=""/>
    <s v=""/>
    <s v=""/>
    <s v=""/>
    <s v=""/>
    <s v=""/>
    <s v=""/>
    <s v=""/>
    <n v="12"/>
    <n v="12"/>
    <n v="9.5"/>
    <n v="9.5"/>
    <n v="9.5"/>
    <n v="9.5"/>
    <n v="9.5"/>
    <n v="9.5"/>
    <n v="9.15"/>
    <n v="9.15"/>
    <n v="8.85"/>
    <n v="8.85"/>
    <n v="171"/>
    <n v="171"/>
    <n v="171"/>
    <n v="171"/>
    <n v="13"/>
    <n v="13"/>
    <n v="13"/>
    <n v="13"/>
    <s v=""/>
    <s v=""/>
    <s v=""/>
    <s v=""/>
    <s v=""/>
    <s v=""/>
    <s v=""/>
    <s v=""/>
    <s v=""/>
    <s v=""/>
    <s v=""/>
    <s v=""/>
    <s v=""/>
    <s v=""/>
    <s v=""/>
    <s v=""/>
    <s v=""/>
    <s v=""/>
    <s v=""/>
    <s v=""/>
    <n v="1"/>
    <n v="1"/>
    <n v="1"/>
    <n v="0"/>
    <n v="0"/>
    <n v="1"/>
    <n v="1"/>
    <n v="1"/>
    <n v="19"/>
    <n v="1"/>
    <n v="0"/>
    <n v="0"/>
    <n v="0"/>
    <n v="0"/>
    <n v="0"/>
  </r>
  <r>
    <m/>
    <m/>
    <m/>
    <m/>
    <m/>
    <m/>
    <n v="26"/>
    <n v="131"/>
    <n v="0"/>
    <n v="1"/>
    <n v="0"/>
    <s v="Leased or Rented"/>
    <s v="Leased or Rented"/>
    <m/>
    <m/>
    <m/>
    <m/>
    <n v="19.23"/>
    <n v="19.23"/>
    <n v="19.23"/>
    <n v="19.23"/>
    <n v="1"/>
    <n v="14.42"/>
    <n v="14.42"/>
    <n v="14.42"/>
    <n v="14.42"/>
    <n v="1"/>
    <s v="Compliance Manager"/>
    <n v="14.42"/>
    <n v="14.42"/>
    <n v="14.42"/>
    <n v="14.42"/>
    <n v="1"/>
    <s v="Training Manager"/>
    <n v="12.02"/>
    <n v="12.02"/>
    <n v="12.02"/>
    <n v="12.02"/>
    <n v="1"/>
    <s v="Managing Director"/>
    <n v="28.85"/>
    <n v="28.85"/>
    <n v="28.85"/>
    <n v="28.85"/>
    <n v="1"/>
    <s v="Care Assistant (specify)"/>
    <n v="8.91"/>
    <n v="8.91"/>
    <n v="8.91"/>
    <n v="8.91"/>
    <n v="98"/>
    <s v="Senior Care Worker"/>
    <n v="9.5"/>
    <n v="9.5"/>
    <n v="9.5"/>
    <n v="9.5"/>
    <n v="6"/>
    <s v="Care Assistant (specify)"/>
    <n v="0"/>
    <n v="0"/>
    <n v="0"/>
    <n v="0"/>
    <n v="0"/>
    <s v="Care Assistant (specify)"/>
    <n v="0"/>
    <n v="0"/>
    <n v="0"/>
    <n v="0"/>
    <n v="0"/>
    <s v="Trainee Care Coordinator"/>
    <n v="9.6199999999999992"/>
    <n v="9.6199999999999992"/>
    <n v="9.6199999999999992"/>
    <n v="9.6199999999999992"/>
    <n v="1"/>
    <s v="Care Coordinator"/>
    <n v="11.06"/>
    <n v="11.06"/>
    <n v="11.06"/>
    <n v="11.06"/>
    <n v="3"/>
    <s v="Internal Recruiter"/>
    <n v="11.06"/>
    <n v="11.06"/>
    <n v="11.06"/>
    <n v="11.06"/>
    <n v="1"/>
    <s v="Finance Manager"/>
    <n v="12.02"/>
    <n v="12.02"/>
    <n v="12.02"/>
    <n v="12.02"/>
    <n v="1"/>
    <s v="Finance Admin"/>
    <n v="9.1300000000000008"/>
    <n v="9.1300000000000008"/>
    <n v="9.1300000000000008"/>
    <n v="9.1300000000000008"/>
    <n v="1"/>
    <s v="Other staff (specify)"/>
    <n v="0"/>
    <n v="0"/>
    <n v="0"/>
    <n v="0"/>
    <n v="0"/>
    <n v="0.03"/>
    <n v="0"/>
    <n v="1556"/>
    <n v="384"/>
    <n v="286"/>
    <n v="345"/>
    <n v="278"/>
    <n v="0"/>
    <n v="0"/>
    <n v="0"/>
    <n v="0"/>
    <n v="0"/>
    <n v="0"/>
    <n v="16.34"/>
    <n v="18.5"/>
    <n v="17.760000000000002"/>
    <d v="2019-12-01T00:00:00"/>
    <d v="2020-11-30T00:00:00"/>
    <n v="82767.5"/>
    <n v="125000"/>
    <n v="804267.07"/>
    <n v="0"/>
    <n v="0"/>
    <n v="0"/>
    <n v="11072"/>
    <n v="23275.93"/>
    <n v="24419"/>
    <n v="21320"/>
    <n v="7077"/>
    <n v="23401"/>
    <n v="36725"/>
    <n v="25001"/>
    <s v="Other - please specify"/>
    <n v="0"/>
    <s v="Other - please specify"/>
    <n v="0"/>
    <n v="5136"/>
    <n v="1471"/>
    <n v="68399"/>
    <n v="22800"/>
    <n v="7908"/>
    <n v="11378"/>
    <n v="44472"/>
    <n v="30230"/>
    <s v="Other - please specify"/>
    <n v="0"/>
    <s v="Other - please specify"/>
    <n v="0"/>
    <n v="0"/>
    <n v="0"/>
    <s v="Other overheads - please specify"/>
    <n v="0"/>
    <s v="Other overheads - please specify"/>
    <n v="0"/>
    <n v="71200"/>
    <n v="100"/>
    <n v="62619"/>
    <m/>
    <d v="2021-10-11T14:58:37"/>
    <x v="5"/>
    <n v="131"/>
    <x v="9"/>
    <n v="19.23"/>
    <n v="19.23"/>
    <n v="19.23"/>
    <n v="19.23"/>
    <n v="14.42"/>
    <n v="14.42"/>
    <n v="14.42"/>
    <n v="14.42"/>
    <n v="14.42"/>
    <n v="14.42"/>
    <n v="14.42"/>
    <n v="14.42"/>
    <n v="12.02"/>
    <n v="12.02"/>
    <n v="12.02"/>
    <n v="12.02"/>
    <n v="28.85"/>
    <n v="28.85"/>
    <n v="28.85"/>
    <n v="28.85"/>
    <n v="8.91"/>
    <n v="8.91"/>
    <n v="8.91"/>
    <n v="8.91"/>
    <n v="9.5"/>
    <n v="9.5"/>
    <n v="9.5"/>
    <n v="9.5"/>
    <s v=""/>
    <s v=""/>
    <s v=""/>
    <s v=""/>
    <s v=""/>
    <s v=""/>
    <s v=""/>
    <s v=""/>
    <n v="9.6199999999999992"/>
    <n v="9.6199999999999992"/>
    <n v="9.6199999999999992"/>
    <n v="9.6199999999999992"/>
    <n v="11.06"/>
    <n v="11.06"/>
    <n v="11.06"/>
    <n v="11.06"/>
    <n v="11.06"/>
    <n v="11.06"/>
    <n v="11.06"/>
    <n v="11.06"/>
    <n v="12.02"/>
    <n v="12.02"/>
    <n v="12.02"/>
    <n v="12.02"/>
    <n v="9.1300000000000008"/>
    <n v="9.1300000000000008"/>
    <n v="9.1300000000000008"/>
    <n v="9.1300000000000008"/>
    <s v=""/>
    <s v=""/>
    <s v=""/>
    <s v=""/>
    <n v="19.23"/>
    <n v="19.23"/>
    <n v="19.23"/>
    <n v="19.23"/>
    <n v="14.42"/>
    <n v="14.42"/>
    <n v="14.42"/>
    <n v="14.42"/>
    <n v="14.42"/>
    <n v="14.42"/>
    <n v="14.42"/>
    <n v="14.42"/>
    <n v="12.02"/>
    <n v="12.02"/>
    <n v="12.02"/>
    <n v="12.02"/>
    <n v="28.85"/>
    <n v="28.85"/>
    <n v="28.85"/>
    <n v="28.85"/>
    <n v="8.91"/>
    <n v="8.91"/>
    <n v="8.91"/>
    <n v="8.91"/>
    <n v="9.5"/>
    <n v="9.5"/>
    <n v="9.5"/>
    <n v="9.5"/>
    <s v=""/>
    <s v=""/>
    <s v=""/>
    <s v=""/>
    <s v=""/>
    <s v=""/>
    <s v=""/>
    <s v=""/>
    <n v="9.6199999999999992"/>
    <n v="9.6199999999999992"/>
    <n v="9.6199999999999992"/>
    <n v="9.6199999999999992"/>
    <n v="11.06"/>
    <n v="11.06"/>
    <n v="11.06"/>
    <n v="11.06"/>
    <n v="11.06"/>
    <n v="11.06"/>
    <n v="11.06"/>
    <n v="11.06"/>
    <n v="12.02"/>
    <n v="12.02"/>
    <n v="12.02"/>
    <n v="12.02"/>
    <n v="9.1300000000000008"/>
    <n v="9.1300000000000008"/>
    <n v="9.1300000000000008"/>
    <n v="9.1300000000000008"/>
    <s v=""/>
    <s v=""/>
    <s v=""/>
    <s v=""/>
    <n v="5"/>
    <n v="104"/>
    <n v="4"/>
    <n v="2"/>
    <n v="115"/>
    <x v="2"/>
    <n v="2849"/>
    <n v="0"/>
    <n v="88.94"/>
    <n v="88.94"/>
    <n v="88.94"/>
    <n v="88.94"/>
    <x v="0"/>
    <n v="988034"/>
    <n v="113524"/>
    <n v="191794"/>
    <n v="0"/>
    <n v="1.5102546289304377"/>
    <n v="9.7171845229105624"/>
    <n v="0"/>
    <n v="0"/>
    <n v="0"/>
    <n v="0.13377231401214246"/>
    <n v="0.28122064820128673"/>
    <n v="0.29503126227081888"/>
    <n v="0.25758902951037543"/>
    <n v="8.5504576071525659E-2"/>
    <n v="0.28273174857280936"/>
    <n v="0.44371280997976259"/>
    <n v="0.30206300782311896"/>
    <n v="0"/>
    <n v="0"/>
    <n v="6.2053342193493823E-2"/>
    <n v="1.7772676473253389E-2"/>
    <n v="0.82639925091370403"/>
    <n v="0.27547044431691181"/>
    <n v="9.5544748844655206E-2"/>
    <n v="0.13746941734376417"/>
    <n v="0.5373123508623554"/>
    <n v="0.36523997946053705"/>
    <n v="0"/>
    <n v="0"/>
    <n v="0"/>
    <n v="0"/>
    <n v="0"/>
    <n v="0"/>
    <n v="15.626326758691517"/>
    <n v="0.86024103663877727"/>
    <n v="1.2082037031443502E-3"/>
    <n v="26"/>
    <x v="1"/>
    <x v="1"/>
    <x v="1"/>
    <x v="1"/>
    <x v="0"/>
    <b v="1"/>
    <b v="1"/>
    <n v="0"/>
    <n v="0"/>
    <n v="0"/>
    <n v="0"/>
    <n v="0"/>
    <n v="98"/>
    <n v="0"/>
    <s v=""/>
    <s v=""/>
    <n v="0"/>
    <n v="0"/>
    <n v="0"/>
    <n v="1"/>
    <s v=""/>
    <n v="99"/>
    <n v="0"/>
    <n v="0"/>
    <n v="0"/>
    <n v="0"/>
    <n v="0"/>
    <n v="57.819999999999986"/>
    <n v="0"/>
    <s v=""/>
    <s v=""/>
    <n v="0"/>
    <n v="0"/>
    <n v="0"/>
    <n v="0.36999999999999922"/>
    <s v=""/>
    <b v="0"/>
    <b v="1"/>
    <x v="1"/>
    <n v="11.937463376325249"/>
    <n v="1.3716011719575922"/>
    <n v="2.3172622104086749"/>
    <n v="0"/>
    <n v="0"/>
    <n v="0"/>
    <n v="0"/>
    <n v="0"/>
    <n v="0"/>
    <n v="98"/>
    <n v="6"/>
    <s v=""/>
    <s v=""/>
    <n v="1"/>
    <n v="0"/>
    <n v="0"/>
    <n v="1"/>
    <s v=""/>
    <n v="106"/>
    <n v="0"/>
    <n v="0"/>
    <n v="0"/>
    <n v="0"/>
    <n v="0"/>
    <n v="97.020000000000024"/>
    <n v="2.4000000000000021"/>
    <s v=""/>
    <s v=""/>
    <n v="0.28000000000000114"/>
    <n v="0"/>
    <n v="0"/>
    <n v="0.76999999999999957"/>
    <s v=""/>
    <n v="19.23"/>
    <n v="19.23"/>
    <n v="19.23"/>
    <n v="19.23"/>
    <n v="14.42"/>
    <n v="14.42"/>
    <n v="14.42"/>
    <n v="14.42"/>
    <n v="14.42"/>
    <n v="14.42"/>
    <n v="14.42"/>
    <n v="14.42"/>
    <n v="12.02"/>
    <n v="12.02"/>
    <n v="12.02"/>
    <n v="12.02"/>
    <n v="28.85"/>
    <n v="28.85"/>
    <n v="28.85"/>
    <n v="28.85"/>
    <n v="873.18000000000006"/>
    <n v="873.18000000000006"/>
    <n v="873.18000000000006"/>
    <n v="873.18000000000006"/>
    <n v="57"/>
    <n v="57"/>
    <n v="57"/>
    <n v="57"/>
    <s v=""/>
    <s v=""/>
    <s v=""/>
    <s v=""/>
    <s v=""/>
    <s v=""/>
    <s v=""/>
    <s v=""/>
    <n v="9.6199999999999992"/>
    <n v="9.6199999999999992"/>
    <n v="9.6199999999999992"/>
    <n v="9.6199999999999992"/>
    <n v="33.18"/>
    <n v="33.18"/>
    <n v="33.18"/>
    <n v="33.18"/>
    <n v="11.06"/>
    <n v="11.06"/>
    <n v="11.06"/>
    <n v="11.06"/>
    <n v="12.02"/>
    <n v="12.02"/>
    <n v="12.02"/>
    <n v="12.02"/>
    <n v="9.1300000000000008"/>
    <n v="9.1300000000000008"/>
    <n v="9.1300000000000008"/>
    <n v="9.1300000000000008"/>
    <s v=""/>
    <s v=""/>
    <s v=""/>
    <s v=""/>
    <n v="1"/>
    <n v="1"/>
    <n v="1"/>
    <n v="1"/>
    <n v="1"/>
    <n v="98"/>
    <n v="6"/>
    <n v="0"/>
    <n v="0"/>
    <n v="1"/>
    <n v="3"/>
    <n v="1"/>
    <n v="1"/>
    <n v="1"/>
    <n v="0"/>
  </r>
  <r>
    <m/>
    <m/>
    <m/>
    <m/>
    <m/>
    <m/>
    <n v="27"/>
    <n v="18"/>
    <n v="1"/>
    <n v="0.9"/>
    <n v="0.1"/>
    <s v="Leased or Rented"/>
    <s v="N/A"/>
    <m/>
    <m/>
    <m/>
    <m/>
    <n v="9"/>
    <n v="11"/>
    <n v="8.2899999999999991"/>
    <n v="9"/>
    <n v="2"/>
    <n v="9"/>
    <n v="11"/>
    <n v="8.1999999999999993"/>
    <n v="9"/>
    <n v="0"/>
    <s v="Other manager (specify)"/>
    <n v="0"/>
    <n v="0"/>
    <n v="0"/>
    <n v="0"/>
    <n v="0"/>
    <s v="Other manager (specify)"/>
    <n v="0"/>
    <n v="0"/>
    <n v="0"/>
    <n v="0"/>
    <n v="0"/>
    <s v="Other manager (specify)"/>
    <n v="0"/>
    <n v="0"/>
    <n v="0"/>
    <n v="0"/>
    <n v="0"/>
    <s v="Care Assistant (BAND 1)"/>
    <n v="8.5"/>
    <n v="11"/>
    <n v="8.5"/>
    <n v="9"/>
    <n v="3"/>
    <s v="Care Assistant (BAND 2)"/>
    <n v="9"/>
    <n v="11.5"/>
    <n v="9"/>
    <n v="10.5"/>
    <n v="5"/>
    <s v="Care Assistant (BAND 3)"/>
    <n v="11"/>
    <n v="12"/>
    <n v="0"/>
    <n v="0"/>
    <n v="2"/>
    <s v="Care Assistant (specify)"/>
    <n v="0"/>
    <n v="0"/>
    <n v="0"/>
    <n v="0"/>
    <n v="0"/>
    <s v="Administrative Officer (specify)"/>
    <n v="8.75"/>
    <n v="9.5"/>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14380000000000001"/>
    <n v="0"/>
    <n v="0"/>
    <n v="450"/>
    <n v="0"/>
    <n v="100"/>
    <n v="0"/>
    <n v="0"/>
    <n v="0"/>
    <n v="0"/>
    <n v="0"/>
    <n v="0"/>
    <n v="0"/>
    <n v="15.58"/>
    <n v="15.58"/>
    <n v="17"/>
    <d v="2019-07-01T00:00:00"/>
    <d v="2020-07-31T00:00:00"/>
    <n v="224000"/>
    <n v="5000"/>
    <n v="140000"/>
    <n v="9000"/>
    <n v="0"/>
    <n v="0"/>
    <n v="3000"/>
    <n v="2000"/>
    <n v="8000"/>
    <n v="2400"/>
    <n v="6000"/>
    <n v="10000"/>
    <n v="1500"/>
    <n v="1200"/>
    <s v="Other - please specify"/>
    <n v="0"/>
    <s v="Other - please specify"/>
    <n v="0"/>
    <n v="1300"/>
    <n v="5000"/>
    <n v="500"/>
    <n v="4000"/>
    <n v="3000"/>
    <n v="600"/>
    <n v="0"/>
    <n v="0"/>
    <s v="Other - please specify"/>
    <n v="0"/>
    <s v="Other - please specify"/>
    <n v="0"/>
    <n v="0"/>
    <n v="2000"/>
    <s v="Other overheads - please specify"/>
    <n v="0"/>
    <s v="Other overheads - please specify"/>
    <n v="0"/>
    <m/>
    <n v="0"/>
    <n v="0"/>
    <m/>
    <d v="2021-10-11T14:58:42"/>
    <x v="0"/>
    <n v="19"/>
    <x v="1"/>
    <n v="9"/>
    <n v="11"/>
    <n v="8.2899999999999991"/>
    <n v="9"/>
    <n v="9"/>
    <n v="11"/>
    <n v="8.1999999999999993"/>
    <n v="9"/>
    <s v=""/>
    <s v=""/>
    <s v=""/>
    <s v=""/>
    <s v=""/>
    <s v=""/>
    <s v=""/>
    <s v=""/>
    <s v=""/>
    <s v=""/>
    <s v=""/>
    <s v=""/>
    <n v="8.5"/>
    <n v="11"/>
    <n v="8.5"/>
    <n v="9"/>
    <n v="9"/>
    <n v="11.5"/>
    <n v="9"/>
    <n v="10.5"/>
    <n v="11"/>
    <n v="12"/>
    <s v=""/>
    <s v=""/>
    <s v=""/>
    <s v=""/>
    <s v=""/>
    <s v=""/>
    <n v="8.75"/>
    <n v="9.5"/>
    <s v=""/>
    <s v=""/>
    <s v=""/>
    <s v=""/>
    <s v=""/>
    <s v=""/>
    <s v=""/>
    <s v=""/>
    <s v=""/>
    <s v=""/>
    <s v=""/>
    <s v=""/>
    <s v=""/>
    <s v=""/>
    <s v=""/>
    <s v=""/>
    <s v=""/>
    <s v=""/>
    <s v=""/>
    <s v=""/>
    <s v=""/>
    <s v=""/>
    <n v="9"/>
    <n v="11"/>
    <n v="8.2899999999999991"/>
    <n v="9"/>
    <n v="9"/>
    <n v="11"/>
    <n v="8.1999999999999993"/>
    <n v="9"/>
    <s v=""/>
    <s v=""/>
    <s v=""/>
    <s v=""/>
    <s v=""/>
    <s v=""/>
    <s v=""/>
    <s v=""/>
    <s v=""/>
    <s v=""/>
    <s v=""/>
    <s v=""/>
    <n v="8.5"/>
    <n v="11"/>
    <n v="8.5"/>
    <n v="9"/>
    <n v="9"/>
    <n v="11.5"/>
    <n v="9"/>
    <n v="10.5"/>
    <n v="11"/>
    <n v="12"/>
    <n v="11"/>
    <n v="12"/>
    <s v=""/>
    <s v=""/>
    <s v=""/>
    <s v=""/>
    <n v="8.75"/>
    <n v="9.5"/>
    <n v="8.75"/>
    <n v="9.5"/>
    <s v=""/>
    <s v=""/>
    <s v=""/>
    <s v=""/>
    <s v=""/>
    <s v=""/>
    <s v=""/>
    <s v=""/>
    <s v=""/>
    <s v=""/>
    <s v=""/>
    <s v=""/>
    <s v=""/>
    <s v=""/>
    <s v=""/>
    <s v=""/>
    <s v=""/>
    <s v=""/>
    <s v=""/>
    <s v=""/>
    <n v="2"/>
    <n v="10"/>
    <n v="0"/>
    <n v="0"/>
    <n v="12"/>
    <x v="2"/>
    <n v="550"/>
    <n v="0"/>
    <e v="#VALUE!"/>
    <e v="#VALUE!"/>
    <e v="#VALUE!"/>
    <e v="#VALUE!"/>
    <x v="0"/>
    <n v="167000"/>
    <n v="21100"/>
    <n v="14400"/>
    <n v="2000"/>
    <n v="2.2321428571428572E-2"/>
    <n v="0.625"/>
    <n v="4.0178571428571432E-2"/>
    <n v="0"/>
    <n v="0"/>
    <n v="1.3392857142857142E-2"/>
    <n v="8.9285714285714281E-3"/>
    <n v="3.5714285714285712E-2"/>
    <n v="1.0714285714285714E-2"/>
    <n v="2.6785714285714284E-2"/>
    <n v="4.4642857142857144E-2"/>
    <n v="6.6964285714285711E-3"/>
    <n v="5.3571428571428572E-3"/>
    <n v="0"/>
    <n v="0"/>
    <n v="5.8035714285714288E-3"/>
    <n v="2.2321428571428572E-2"/>
    <n v="2.232142857142857E-3"/>
    <n v="1.7857142857142856E-2"/>
    <n v="1.3392857142857142E-2"/>
    <n v="2.6785714285714286E-3"/>
    <n v="0"/>
    <n v="0"/>
    <n v="0"/>
    <n v="0"/>
    <n v="0"/>
    <n v="8.9285714285714281E-3"/>
    <n v="0"/>
    <n v="0"/>
    <n v="0.91294642857142849"/>
    <s v=""/>
    <n v="0"/>
    <n v="27"/>
    <x v="0"/>
    <x v="1"/>
    <x v="0"/>
    <x v="1"/>
    <x v="0"/>
    <b v="1"/>
    <b v="1"/>
    <n v="0"/>
    <n v="0"/>
    <s v=""/>
    <s v=""/>
    <s v=""/>
    <n v="0"/>
    <n v="0"/>
    <n v="0"/>
    <s v=""/>
    <n v="0"/>
    <s v=""/>
    <s v=""/>
    <s v=""/>
    <s v=""/>
    <n v="0"/>
    <n v="0"/>
    <n v="0"/>
    <s v=""/>
    <s v=""/>
    <s v=""/>
    <n v="0"/>
    <n v="0"/>
    <n v="0"/>
    <s v=""/>
    <n v="0"/>
    <s v=""/>
    <s v=""/>
    <s v=""/>
    <s v=""/>
    <b v="1"/>
    <b v="1"/>
    <x v="3"/>
    <n v="0.74553571428571419"/>
    <n v="9.419642857142857E-2"/>
    <n v="6.4285714285714279E-2"/>
    <n v="8.9285714285714281E-3"/>
    <n v="0"/>
    <n v="0"/>
    <s v=""/>
    <s v=""/>
    <s v=""/>
    <n v="3"/>
    <n v="0"/>
    <n v="0"/>
    <s v=""/>
    <n v="0"/>
    <s v=""/>
    <s v=""/>
    <s v=""/>
    <s v=""/>
    <n v="3"/>
    <n v="0"/>
    <n v="0"/>
    <s v=""/>
    <s v=""/>
    <s v=""/>
    <n v="0.45000000000000107"/>
    <n v="0"/>
    <n v="0"/>
    <s v=""/>
    <n v="0"/>
    <s v=""/>
    <s v=""/>
    <s v=""/>
    <s v=""/>
    <n v="18"/>
    <n v="22"/>
    <n v="16.579999999999998"/>
    <n v="18"/>
    <s v=""/>
    <s v=""/>
    <s v=""/>
    <s v=""/>
    <s v=""/>
    <s v=""/>
    <s v=""/>
    <s v=""/>
    <s v=""/>
    <s v=""/>
    <s v=""/>
    <s v=""/>
    <s v=""/>
    <s v=""/>
    <s v=""/>
    <s v=""/>
    <n v="25.5"/>
    <n v="33"/>
    <n v="25.5"/>
    <n v="27"/>
    <n v="45"/>
    <n v="57.5"/>
    <n v="45"/>
    <n v="52.5"/>
    <n v="22"/>
    <n v="24"/>
    <n v="22"/>
    <n v="24"/>
    <s v=""/>
    <s v=""/>
    <s v=""/>
    <s v=""/>
    <s v=""/>
    <s v=""/>
    <s v=""/>
    <s v=""/>
    <s v=""/>
    <s v=""/>
    <s v=""/>
    <s v=""/>
    <s v=""/>
    <s v=""/>
    <s v=""/>
    <s v=""/>
    <s v=""/>
    <s v=""/>
    <s v=""/>
    <s v=""/>
    <s v=""/>
    <s v=""/>
    <s v=""/>
    <s v=""/>
    <s v=""/>
    <s v=""/>
    <s v=""/>
    <s v=""/>
    <n v="2"/>
    <n v="0"/>
    <n v="0"/>
    <n v="0"/>
    <n v="0"/>
    <n v="3"/>
    <n v="5"/>
    <n v="2"/>
    <n v="0"/>
    <n v="0"/>
    <n v="0"/>
    <n v="0"/>
    <n v="0"/>
    <n v="0"/>
    <n v="0"/>
  </r>
  <r>
    <m/>
    <m/>
    <m/>
    <m/>
    <m/>
    <m/>
    <n v="28"/>
    <m/>
    <n v="13"/>
    <m/>
    <n v="1"/>
    <m/>
    <s v="Leased or Rented"/>
    <m/>
    <m/>
    <m/>
    <m/>
    <n v="16.559999999999999"/>
    <n v="16.559999999999999"/>
    <n v="16.2"/>
    <n v="16.2"/>
    <n v="1"/>
    <n v="10.98"/>
    <n v="10.98"/>
    <n v="10.79"/>
    <n v="10.79"/>
    <n v="1"/>
    <s v="Other manager (specify)"/>
    <n v="0"/>
    <n v="0"/>
    <n v="0"/>
    <n v="0"/>
    <n v="0"/>
    <s v="Other manager (specify)"/>
    <n v="0"/>
    <n v="0"/>
    <n v="0"/>
    <n v="0"/>
    <n v="0"/>
    <s v="Other manager (specify)"/>
    <n v="0"/>
    <n v="0"/>
    <n v="0"/>
    <n v="0"/>
    <n v="0"/>
    <s v="Care Assistant (specify)"/>
    <n v="9.26"/>
    <n v="9.26"/>
    <n v="9.07"/>
    <n v="9.07"/>
    <n v="8.6022857142857134"/>
    <s v="Care Assistant (specify)"/>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5"/>
    <n v="0"/>
    <n v="0"/>
    <n v="0"/>
    <n v="0"/>
    <n v="0"/>
    <n v="0"/>
    <n v="229.14"/>
    <n v="57.52"/>
    <n v="0"/>
    <n v="0"/>
    <n v="0"/>
    <n v="20.5"/>
    <n v="15.27"/>
    <n v="15.27"/>
    <n v="0"/>
    <d v="2020-04-01T00:00:00"/>
    <d v="2021-03-31T00:00:00"/>
    <n v="18769"/>
    <n v="62305.985099999998"/>
    <n v="179064.35339999999"/>
    <n v="0"/>
    <n v="0"/>
    <n v="0"/>
    <n v="107"/>
    <n v="0"/>
    <n v="5701.6385"/>
    <n v="0"/>
    <n v="0"/>
    <n v="338"/>
    <n v="0"/>
    <n v="934"/>
    <s v="Death in Service"/>
    <n v="621"/>
    <s v="Other - please specify"/>
    <n v="0"/>
    <n v="0"/>
    <n v="0"/>
    <n v="0"/>
    <n v="0"/>
    <n v="2843"/>
    <n v="0"/>
    <n v="0"/>
    <n v="0"/>
    <s v="Depreciation"/>
    <n v="206"/>
    <s v="Stationery"/>
    <n v="75"/>
    <n v="30902.400000000001"/>
    <n v="35791.800000000003"/>
    <s v="Other overheads - please specify"/>
    <n v="0"/>
    <s v="Other overheads - please specify"/>
    <n v="0"/>
    <m/>
    <m/>
    <n v="1000"/>
    <m/>
    <d v="2021-10-11T14:58:44"/>
    <x v="0"/>
    <n v="13"/>
    <x v="1"/>
    <n v="16.559999999999999"/>
    <n v="16.559999999999999"/>
    <n v="16.2"/>
    <n v="16.2"/>
    <n v="10.98"/>
    <n v="10.98"/>
    <n v="10.79"/>
    <n v="10.79"/>
    <s v=""/>
    <s v=""/>
    <s v=""/>
    <s v=""/>
    <s v=""/>
    <s v=""/>
    <s v=""/>
    <s v=""/>
    <s v=""/>
    <s v=""/>
    <s v=""/>
    <s v=""/>
    <n v="9.26"/>
    <n v="9.26"/>
    <n v="9.07"/>
    <n v="9.07"/>
    <s v=""/>
    <s v=""/>
    <s v=""/>
    <s v=""/>
    <s v=""/>
    <s v=""/>
    <s v=""/>
    <s v=""/>
    <s v=""/>
    <s v=""/>
    <s v=""/>
    <s v=""/>
    <s v=""/>
    <s v=""/>
    <s v=""/>
    <s v=""/>
    <s v=""/>
    <s v=""/>
    <s v=""/>
    <s v=""/>
    <s v=""/>
    <s v=""/>
    <s v=""/>
    <s v=""/>
    <s v=""/>
    <s v=""/>
    <s v=""/>
    <s v=""/>
    <s v=""/>
    <s v=""/>
    <s v=""/>
    <s v=""/>
    <s v=""/>
    <s v=""/>
    <s v=""/>
    <s v=""/>
    <n v="16.559999999999999"/>
    <n v="16.559999999999999"/>
    <n v="16.2"/>
    <n v="16.2"/>
    <n v="10.98"/>
    <n v="10.98"/>
    <n v="10.79"/>
    <n v="10.79"/>
    <s v=""/>
    <s v=""/>
    <s v=""/>
    <s v=""/>
    <s v=""/>
    <s v=""/>
    <s v=""/>
    <s v=""/>
    <s v=""/>
    <s v=""/>
    <s v=""/>
    <s v=""/>
    <n v="9.26"/>
    <n v="9.26"/>
    <n v="9.07"/>
    <n v="9.07"/>
    <s v=""/>
    <s v=""/>
    <s v=""/>
    <s v=""/>
    <s v=""/>
    <s v=""/>
    <s v=""/>
    <s v=""/>
    <s v=""/>
    <s v=""/>
    <s v=""/>
    <s v=""/>
    <s v=""/>
    <s v=""/>
    <s v=""/>
    <s v=""/>
    <s v=""/>
    <s v=""/>
    <s v=""/>
    <s v=""/>
    <s v=""/>
    <s v=""/>
    <s v=""/>
    <s v=""/>
    <s v=""/>
    <s v=""/>
    <s v=""/>
    <s v=""/>
    <s v=""/>
    <s v=""/>
    <s v=""/>
    <s v=""/>
    <s v=""/>
    <s v=""/>
    <s v=""/>
    <s v=""/>
    <n v="2"/>
    <n v="8.6022857142857134"/>
    <n v="0"/>
    <n v="0"/>
    <n v="10.602285714285713"/>
    <x v="0"/>
    <n v="0"/>
    <n v="307.15999999999997"/>
    <e v="#VALUE!"/>
    <e v="#VALUE!"/>
    <e v="#VALUE!"/>
    <e v="#VALUE!"/>
    <x v="0"/>
    <n v="247178.97699999998"/>
    <n v="1893"/>
    <n v="3124"/>
    <n v="66694.200000000012"/>
    <n v="3.3196219883851028"/>
    <n v="9.5404312110394791"/>
    <n v="0"/>
    <n v="0"/>
    <n v="0"/>
    <n v="5.7008897650380952E-3"/>
    <n v="0"/>
    <n v="0.30377955671586127"/>
    <n v="0"/>
    <n v="0"/>
    <n v="1.8008418136288562E-2"/>
    <n v="0"/>
    <n v="4.9762906920986734E-2"/>
    <n v="3.3086472374660343E-2"/>
    <n v="0"/>
    <n v="0"/>
    <n v="0"/>
    <n v="0"/>
    <n v="0"/>
    <n v="0.15147317385049816"/>
    <n v="0"/>
    <n v="0"/>
    <n v="0"/>
    <n v="1.0975544781288295E-2"/>
    <n v="3.9959507698865146E-3"/>
    <n v="1.6464595876178807"/>
    <n v="1.9069636102083223"/>
    <n v="0"/>
    <n v="0"/>
    <n v="16.990259310565293"/>
    <s v=""/>
    <n v="0"/>
    <n v="28"/>
    <x v="0"/>
    <x v="0"/>
    <x v="0"/>
    <x v="0"/>
    <x v="1"/>
    <b v="0"/>
    <b v="1"/>
    <n v="0"/>
    <n v="0"/>
    <s v=""/>
    <s v=""/>
    <s v=""/>
    <n v="8.6022857142857134"/>
    <s v=""/>
    <s v=""/>
    <s v=""/>
    <s v=""/>
    <s v=""/>
    <s v=""/>
    <s v=""/>
    <s v=""/>
    <n v="8.6022857142857134"/>
    <n v="0"/>
    <n v="0"/>
    <s v=""/>
    <s v=""/>
    <s v=""/>
    <n v="2.0645485714285732"/>
    <s v=""/>
    <s v=""/>
    <s v=""/>
    <s v=""/>
    <s v=""/>
    <s v=""/>
    <s v=""/>
    <s v=""/>
    <b v="0"/>
    <b v="1"/>
    <x v="1"/>
    <n v="13.169533645905481"/>
    <n v="0.10085779743193563"/>
    <n v="0.16644466940167296"/>
    <n v="3.553423197826203"/>
    <n v="0"/>
    <n v="0"/>
    <s v=""/>
    <s v=""/>
    <s v=""/>
    <n v="8.6022857142857134"/>
    <s v=""/>
    <s v=""/>
    <s v=""/>
    <s v=""/>
    <s v=""/>
    <s v=""/>
    <s v=""/>
    <s v=""/>
    <n v="8.6022857142857134"/>
    <n v="0"/>
    <n v="0"/>
    <s v=""/>
    <s v=""/>
    <s v=""/>
    <n v="5.5054628571428612"/>
    <s v=""/>
    <s v=""/>
    <s v=""/>
    <s v=""/>
    <s v=""/>
    <s v=""/>
    <s v=""/>
    <s v=""/>
    <n v="16.559999999999999"/>
    <n v="16.559999999999999"/>
    <n v="16.2"/>
    <n v="16.2"/>
    <n v="10.98"/>
    <n v="10.98"/>
    <n v="10.79"/>
    <n v="10.79"/>
    <s v=""/>
    <s v=""/>
    <s v=""/>
    <s v=""/>
    <s v=""/>
    <s v=""/>
    <s v=""/>
    <s v=""/>
    <s v=""/>
    <s v=""/>
    <s v=""/>
    <s v=""/>
    <n v="79.657165714285711"/>
    <n v="79.657165714285711"/>
    <n v="78.022731428571419"/>
    <n v="78.022731428571419"/>
    <s v=""/>
    <s v=""/>
    <s v=""/>
    <s v=""/>
    <s v=""/>
    <s v=""/>
    <s v=""/>
    <s v=""/>
    <s v=""/>
    <s v=""/>
    <s v=""/>
    <s v=""/>
    <s v=""/>
    <s v=""/>
    <s v=""/>
    <s v=""/>
    <s v=""/>
    <s v=""/>
    <s v=""/>
    <s v=""/>
    <s v=""/>
    <s v=""/>
    <s v=""/>
    <s v=""/>
    <s v=""/>
    <s v=""/>
    <s v=""/>
    <s v=""/>
    <s v=""/>
    <s v=""/>
    <s v=""/>
    <s v=""/>
    <s v=""/>
    <s v=""/>
    <s v=""/>
    <s v=""/>
    <n v="1"/>
    <n v="1"/>
    <n v="0"/>
    <n v="0"/>
    <n v="0"/>
    <n v="8.6022857142857134"/>
    <n v="0"/>
    <n v="0"/>
    <n v="0"/>
    <n v="0"/>
    <n v="0"/>
    <n v="0"/>
    <n v="0"/>
    <n v="0"/>
    <n v="0"/>
  </r>
  <r>
    <m/>
    <m/>
    <m/>
    <m/>
    <m/>
    <m/>
    <n v="29"/>
    <n v="30"/>
    <n v="0"/>
    <n v="1"/>
    <n v="0"/>
    <s v="Leased or Rented"/>
    <s v="Leased or Rented"/>
    <m/>
    <m/>
    <m/>
    <m/>
    <n v="10"/>
    <n v="10"/>
    <n v="10"/>
    <n v="10"/>
    <n v="1"/>
    <n v="0"/>
    <n v="0"/>
    <n v="0"/>
    <n v="0"/>
    <n v="0"/>
    <s v="Other manager (specify)"/>
    <n v="0"/>
    <n v="0"/>
    <n v="0"/>
    <n v="0"/>
    <n v="0"/>
    <s v="Other manager (specify)"/>
    <n v="0"/>
    <n v="0"/>
    <n v="0"/>
    <n v="0"/>
    <n v="0"/>
    <s v="Other manager (specify)"/>
    <n v="0"/>
    <n v="0"/>
    <n v="0"/>
    <n v="0"/>
    <n v="0"/>
    <s v="Care Assistant (carers)"/>
    <n v="9.01"/>
    <n v="9.76"/>
    <n v="8.7200000000000006"/>
    <n v="9.49"/>
    <n v="26"/>
    <s v="Care Assistant (senior carers)"/>
    <n v="9.11"/>
    <n v="9.8699999999999992"/>
    <n v="9.01"/>
    <n v="9.76"/>
    <n v="2"/>
    <s v="Care Assistant (specify)"/>
    <n v="0"/>
    <n v="0"/>
    <n v="0"/>
    <n v="0"/>
    <n v="0"/>
    <s v="Care Assistant (specify)"/>
    <n v="0"/>
    <n v="0"/>
    <n v="0"/>
    <n v="0"/>
    <n v="0"/>
    <s v="Administrative Officer (co-ordinator)"/>
    <n v="9.01"/>
    <n v="9.01"/>
    <n v="10"/>
    <n v="10"/>
    <n v="1"/>
    <s v="Administrative Officer (office assistants)"/>
    <n v="9.01"/>
    <n v="9.01"/>
    <n v="9.01"/>
    <n v="9.01"/>
    <n v="4"/>
    <s v="Administrative Officer (specify)"/>
    <n v="0"/>
    <n v="0"/>
    <n v="0"/>
    <n v="0"/>
    <n v="0"/>
    <s v="Other staff (specify)"/>
    <n v="0"/>
    <n v="0"/>
    <n v="0"/>
    <n v="0"/>
    <n v="0"/>
    <s v="Other staff (specify)"/>
    <n v="0"/>
    <n v="0"/>
    <n v="0"/>
    <n v="0"/>
    <n v="0"/>
    <s v="Other staff (specify)"/>
    <n v="0"/>
    <n v="0"/>
    <n v="0"/>
    <n v="0"/>
    <n v="0"/>
    <n v="0.03"/>
    <n v="20.25"/>
    <n v="68.25"/>
    <n v="153"/>
    <n v="0"/>
    <n v="301.5"/>
    <n v="0"/>
    <n v="0"/>
    <n v="0"/>
    <n v="0"/>
    <n v="0"/>
    <n v="0"/>
    <n v="0"/>
    <n v="15.58"/>
    <n v="15.58"/>
    <n v="14"/>
    <d v="2019-09-01T00:00:00"/>
    <d v="2020-08-30T00:00:00"/>
    <n v="19476"/>
    <n v="11500"/>
    <n v="195343"/>
    <n v="0"/>
    <n v="0"/>
    <n v="0"/>
    <n v="0"/>
    <n v="11614"/>
    <n v="0"/>
    <n v="0"/>
    <n v="0"/>
    <n v="4400"/>
    <n v="0"/>
    <n v="0"/>
    <s v="Other - please specify"/>
    <n v="0"/>
    <s v="Other - please specify"/>
    <n v="0"/>
    <n v="1121"/>
    <n v="0"/>
    <n v="0"/>
    <n v="8340"/>
    <n v="0"/>
    <n v="1677"/>
    <n v="7094"/>
    <n v="1200"/>
    <s v="Other - please specify"/>
    <n v="0"/>
    <s v="Other - please specify"/>
    <n v="0"/>
    <n v="0"/>
    <n v="2815"/>
    <s v="Other overheads - please specify"/>
    <n v="0"/>
    <s v="Other overheads - please specify"/>
    <n v="0"/>
    <m/>
    <n v="0"/>
    <n v="0"/>
    <m/>
    <d v="2021-10-11T14:58:47"/>
    <x v="0"/>
    <n v="30"/>
    <x v="2"/>
    <n v="10"/>
    <n v="10"/>
    <n v="10"/>
    <n v="10"/>
    <s v=""/>
    <s v=""/>
    <s v=""/>
    <s v=""/>
    <s v=""/>
    <s v=""/>
    <s v=""/>
    <s v=""/>
    <s v=""/>
    <s v=""/>
    <s v=""/>
    <s v=""/>
    <s v=""/>
    <s v=""/>
    <s v=""/>
    <s v=""/>
    <n v="9.01"/>
    <n v="9.76"/>
    <n v="8.7200000000000006"/>
    <n v="9.49"/>
    <n v="9.11"/>
    <n v="9.8699999999999992"/>
    <n v="9.01"/>
    <n v="9.76"/>
    <s v=""/>
    <s v=""/>
    <s v=""/>
    <s v=""/>
    <s v=""/>
    <s v=""/>
    <s v=""/>
    <s v=""/>
    <n v="9.01"/>
    <n v="9.01"/>
    <n v="10"/>
    <n v="10"/>
    <n v="9.01"/>
    <n v="9.01"/>
    <n v="9.01"/>
    <n v="9.01"/>
    <s v=""/>
    <s v=""/>
    <s v=""/>
    <s v=""/>
    <s v=""/>
    <s v=""/>
    <s v=""/>
    <s v=""/>
    <s v=""/>
    <s v=""/>
    <s v=""/>
    <s v=""/>
    <s v=""/>
    <s v=""/>
    <s v=""/>
    <s v=""/>
    <n v="10"/>
    <n v="10"/>
    <n v="10"/>
    <n v="10"/>
    <s v=""/>
    <s v=""/>
    <s v=""/>
    <s v=""/>
    <s v=""/>
    <s v=""/>
    <s v=""/>
    <s v=""/>
    <s v=""/>
    <s v=""/>
    <s v=""/>
    <s v=""/>
    <s v=""/>
    <s v=""/>
    <s v=""/>
    <s v=""/>
    <n v="9.01"/>
    <n v="9.76"/>
    <n v="8.7200000000000006"/>
    <n v="9.49"/>
    <n v="9.11"/>
    <n v="9.8699999999999992"/>
    <n v="9.01"/>
    <n v="9.76"/>
    <s v=""/>
    <s v=""/>
    <s v=""/>
    <s v=""/>
    <s v=""/>
    <s v=""/>
    <s v=""/>
    <s v=""/>
    <n v="9.01"/>
    <n v="9.01"/>
    <n v="10"/>
    <n v="10"/>
    <n v="9.01"/>
    <n v="9.01"/>
    <n v="9.01"/>
    <n v="9.01"/>
    <s v=""/>
    <s v=""/>
    <s v=""/>
    <s v=""/>
    <s v=""/>
    <s v=""/>
    <s v=""/>
    <s v=""/>
    <s v=""/>
    <s v=""/>
    <s v=""/>
    <s v=""/>
    <s v=""/>
    <s v=""/>
    <s v=""/>
    <s v=""/>
    <n v="1"/>
    <n v="28"/>
    <n v="5"/>
    <n v="0"/>
    <n v="34"/>
    <x v="2"/>
    <n v="543"/>
    <n v="0"/>
    <e v="#VALUE!"/>
    <e v="#VALUE!"/>
    <e v="#VALUE!"/>
    <e v="#VALUE!"/>
    <x v="0"/>
    <n v="218457"/>
    <n v="4400"/>
    <n v="19432"/>
    <n v="2815"/>
    <n v="0.59047032244814135"/>
    <n v="10.029934278085848"/>
    <n v="0"/>
    <n v="0"/>
    <n v="0"/>
    <n v="0"/>
    <n v="0.59632368042719242"/>
    <n v="0"/>
    <n v="0"/>
    <n v="0"/>
    <n v="0.2259190798932019"/>
    <n v="0"/>
    <n v="0"/>
    <n v="0"/>
    <n v="0"/>
    <n v="5.7558020127336205E-2"/>
    <n v="0"/>
    <n v="0"/>
    <n v="0.42821934688847813"/>
    <n v="0"/>
    <n v="8.6105976586568087E-2"/>
    <n v="0.36424317108235776"/>
    <n v="6.1614294516327786E-2"/>
    <n v="0"/>
    <n v="0"/>
    <n v="0"/>
    <n v="0.14453686588621895"/>
    <n v="0"/>
    <n v="0"/>
    <n v="12.584925035941669"/>
    <s v=""/>
    <n v="0"/>
    <n v="29"/>
    <x v="0"/>
    <x v="1"/>
    <x v="1"/>
    <x v="1"/>
    <x v="0"/>
    <b v="1"/>
    <b v="1"/>
    <n v="0"/>
    <s v=""/>
    <s v=""/>
    <s v=""/>
    <s v=""/>
    <n v="26"/>
    <n v="2"/>
    <s v=""/>
    <s v=""/>
    <n v="1"/>
    <n v="4"/>
    <s v=""/>
    <s v=""/>
    <s v=""/>
    <n v="33"/>
    <n v="0"/>
    <s v=""/>
    <s v=""/>
    <s v=""/>
    <s v=""/>
    <n v="2.9900000000000055"/>
    <n v="2.0000000000003126E-2"/>
    <s v=""/>
    <s v=""/>
    <n v="0.49000000000000021"/>
    <n v="1.9600000000000009"/>
    <s v=""/>
    <s v=""/>
    <s v=""/>
    <b v="1"/>
    <b v="1"/>
    <x v="3"/>
    <n v="11.216728280961181"/>
    <n v="0.2259190798932019"/>
    <n v="0.997740809201068"/>
    <n v="0.14453686588621895"/>
    <n v="0"/>
    <s v=""/>
    <s v=""/>
    <s v=""/>
    <s v=""/>
    <n v="26"/>
    <n v="2"/>
    <s v=""/>
    <s v=""/>
    <n v="1"/>
    <n v="4"/>
    <s v=""/>
    <s v=""/>
    <s v=""/>
    <n v="33"/>
    <n v="0"/>
    <s v=""/>
    <s v=""/>
    <s v=""/>
    <s v=""/>
    <n v="13.390000000000015"/>
    <n v="0.82000000000000384"/>
    <s v=""/>
    <s v=""/>
    <n v="0.89000000000000057"/>
    <n v="3.5600000000000023"/>
    <s v=""/>
    <s v=""/>
    <s v=""/>
    <n v="10"/>
    <n v="10"/>
    <n v="10"/>
    <n v="10"/>
    <s v=""/>
    <s v=""/>
    <s v=""/>
    <s v=""/>
    <s v=""/>
    <s v=""/>
    <s v=""/>
    <s v=""/>
    <s v=""/>
    <s v=""/>
    <s v=""/>
    <s v=""/>
    <s v=""/>
    <s v=""/>
    <s v=""/>
    <s v=""/>
    <n v="234.26"/>
    <n v="253.76"/>
    <n v="226.72000000000003"/>
    <n v="246.74"/>
    <n v="18.22"/>
    <n v="19.739999999999998"/>
    <n v="18.02"/>
    <n v="19.52"/>
    <s v=""/>
    <s v=""/>
    <s v=""/>
    <s v=""/>
    <s v=""/>
    <s v=""/>
    <s v=""/>
    <s v=""/>
    <n v="9.01"/>
    <n v="9.01"/>
    <n v="10"/>
    <n v="10"/>
    <n v="36.04"/>
    <n v="36.04"/>
    <n v="36.04"/>
    <n v="36.04"/>
    <s v=""/>
    <s v=""/>
    <s v=""/>
    <s v=""/>
    <s v=""/>
    <s v=""/>
    <s v=""/>
    <s v=""/>
    <s v=""/>
    <s v=""/>
    <s v=""/>
    <s v=""/>
    <s v=""/>
    <s v=""/>
    <s v=""/>
    <s v=""/>
    <n v="1"/>
    <n v="0"/>
    <n v="0"/>
    <n v="0"/>
    <n v="0"/>
    <n v="26"/>
    <n v="2"/>
    <n v="0"/>
    <n v="0"/>
    <n v="1"/>
    <n v="4"/>
    <n v="0"/>
    <n v="0"/>
    <n v="0"/>
    <n v="0"/>
  </r>
  <r>
    <m/>
    <m/>
    <m/>
    <m/>
    <m/>
    <m/>
    <n v="30"/>
    <n v="112"/>
    <n v="0"/>
    <n v="1"/>
    <n v="0"/>
    <s v="Leased or Rented"/>
    <s v="N/A"/>
    <m/>
    <m/>
    <m/>
    <m/>
    <n v="17"/>
    <n v="17"/>
    <n v="15"/>
    <n v="0"/>
    <n v="1"/>
    <n v="14.5"/>
    <n v="14.5"/>
    <n v="14"/>
    <n v="0"/>
    <n v="1"/>
    <s v="Other manager (quality)"/>
    <n v="12"/>
    <n v="12"/>
    <n v="11.5"/>
    <n v="0"/>
    <n v="1"/>
    <s v="Other manager (specify)"/>
    <n v="0"/>
    <n v="0"/>
    <n v="0"/>
    <n v="0"/>
    <n v="0"/>
    <s v="Other manager (specify)"/>
    <n v="0"/>
    <n v="0"/>
    <n v="0"/>
    <n v="0"/>
    <n v="0"/>
    <s v="Care Assistant (senior)"/>
    <n v="9.6"/>
    <n v="9.6"/>
    <n v="9.25"/>
    <n v="0"/>
    <n v="6"/>
    <s v="Care Assistant (worker)"/>
    <n v="8.91"/>
    <n v="8.91"/>
    <n v="8.7200000000000006"/>
    <n v="0"/>
    <n v="65"/>
    <s v="Care Assistant (specify)"/>
    <n v="0"/>
    <n v="0"/>
    <n v="0"/>
    <n v="0"/>
    <n v="0"/>
    <s v="Care Assistant (specify)"/>
    <n v="0"/>
    <n v="0"/>
    <n v="0"/>
    <n v="0"/>
    <n v="0"/>
    <s v="Administrative Officer (accounts)"/>
    <n v="25"/>
    <n v="25"/>
    <n v="25"/>
    <n v="25"/>
    <n v="0.2"/>
    <s v="Administrative Officer (admin)"/>
    <n v="12"/>
    <n v="12"/>
    <n v="11.5"/>
    <n v="11.5"/>
    <n v="1"/>
    <s v="Administrative Officer (co-ordinator)"/>
    <n v="12"/>
    <n v="12"/>
    <n v="11.5"/>
    <n v="11.5"/>
    <n v="1"/>
    <s v="Other staff (apprentice)"/>
    <n v="4.3"/>
    <n v="4.3"/>
    <n v="4.1500000000000004"/>
    <n v="4.1500000000000004"/>
    <n v="1"/>
    <s v="Other staff (recruitment/office)"/>
    <n v="12"/>
    <n v="12"/>
    <n v="11"/>
    <n v="11"/>
    <n v="1"/>
    <s v="Other staff (specify)"/>
    <n v="0"/>
    <n v="0"/>
    <n v="0"/>
    <n v="0"/>
    <n v="0"/>
    <n v="0.03"/>
    <n v="757"/>
    <n v="128"/>
    <n v="83"/>
    <n v="0"/>
    <n v="509"/>
    <n v="212"/>
    <n v="0"/>
    <n v="0"/>
    <n v="0"/>
    <n v="0"/>
    <n v="0"/>
    <n v="0"/>
    <n v="15.58"/>
    <n v="17"/>
    <n v="15.27"/>
    <d v="2020-04-01T00:00:00"/>
    <d v="2021-03-31T00:00:00"/>
    <n v="84895"/>
    <n v="108000"/>
    <n v="956000"/>
    <n v="61000"/>
    <n v="34800"/>
    <n v="0"/>
    <n v="20100"/>
    <n v="29468"/>
    <n v="0"/>
    <n v="2000"/>
    <n v="3800"/>
    <n v="13000"/>
    <n v="8000"/>
    <n v="12000"/>
    <s v="Other - please specify"/>
    <n v="0"/>
    <s v="Other - please specify"/>
    <n v="0"/>
    <n v="3400"/>
    <n v="9000"/>
    <n v="4500"/>
    <n v="8000"/>
    <n v="3200"/>
    <n v="800"/>
    <n v="0"/>
    <n v="0"/>
    <s v="Other - please specify"/>
    <n v="0"/>
    <s v="Other - please specify"/>
    <n v="0"/>
    <n v="0"/>
    <n v="65000"/>
    <s v="Other overheads - please specify"/>
    <n v="0"/>
    <s v="Other overheads - please specify"/>
    <n v="0"/>
    <n v="42000"/>
    <m/>
    <n v="220000"/>
    <m/>
    <d v="2021-10-11T14:58:50"/>
    <x v="0"/>
    <n v="112"/>
    <x v="10"/>
    <n v="17"/>
    <n v="17"/>
    <n v="15"/>
    <n v="15"/>
    <n v="14.5"/>
    <n v="14.5"/>
    <n v="14"/>
    <n v="14"/>
    <n v="12"/>
    <n v="12"/>
    <n v="11.5"/>
    <n v="11.5"/>
    <s v=""/>
    <s v=""/>
    <s v=""/>
    <s v=""/>
    <s v=""/>
    <s v=""/>
    <s v=""/>
    <s v=""/>
    <n v="9.6"/>
    <n v="9.6"/>
    <n v="9.25"/>
    <n v="9.25"/>
    <n v="8.91"/>
    <n v="8.91"/>
    <n v="8.7200000000000006"/>
    <n v="8.7200000000000006"/>
    <s v=""/>
    <s v=""/>
    <s v=""/>
    <s v=""/>
    <s v=""/>
    <s v=""/>
    <s v=""/>
    <s v=""/>
    <n v="25"/>
    <n v="25"/>
    <n v="25"/>
    <n v="25"/>
    <n v="12"/>
    <n v="12"/>
    <n v="11.5"/>
    <n v="11.5"/>
    <n v="12"/>
    <n v="12"/>
    <n v="11.5"/>
    <n v="11.5"/>
    <n v="4.3"/>
    <n v="4.3"/>
    <n v="4.1500000000000004"/>
    <n v="4.1500000000000004"/>
    <n v="12"/>
    <n v="12"/>
    <n v="11"/>
    <n v="11"/>
    <s v=""/>
    <s v=""/>
    <s v=""/>
    <s v=""/>
    <n v="17"/>
    <n v="17"/>
    <n v="15"/>
    <n v="15"/>
    <n v="14.5"/>
    <n v="14.5"/>
    <n v="14"/>
    <n v="14"/>
    <n v="12"/>
    <n v="12"/>
    <n v="11.5"/>
    <n v="11.5"/>
    <s v=""/>
    <s v=""/>
    <s v=""/>
    <s v=""/>
    <s v=""/>
    <s v=""/>
    <s v=""/>
    <s v=""/>
    <n v="9.6"/>
    <n v="9.6"/>
    <n v="9.25"/>
    <n v="9.25"/>
    <n v="8.91"/>
    <n v="8.91"/>
    <n v="8.7200000000000006"/>
    <n v="8.7200000000000006"/>
    <s v=""/>
    <s v=""/>
    <s v=""/>
    <s v=""/>
    <s v=""/>
    <s v=""/>
    <s v=""/>
    <s v=""/>
    <n v="25"/>
    <n v="25"/>
    <n v="25"/>
    <n v="25"/>
    <n v="12"/>
    <n v="12"/>
    <n v="11.5"/>
    <n v="11.5"/>
    <n v="12"/>
    <n v="12"/>
    <n v="11.5"/>
    <n v="11.5"/>
    <n v="4.3"/>
    <n v="4.3"/>
    <n v="4.1500000000000004"/>
    <n v="4.1500000000000004"/>
    <n v="12"/>
    <n v="12"/>
    <n v="11"/>
    <n v="11"/>
    <s v=""/>
    <s v=""/>
    <s v=""/>
    <s v=""/>
    <n v="3"/>
    <n v="71"/>
    <n v="1.2"/>
    <n v="2"/>
    <n v="77.2"/>
    <x v="2"/>
    <n v="1689"/>
    <n v="0"/>
    <e v="#VALUE!"/>
    <e v="#VALUE!"/>
    <e v="#VALUE!"/>
    <e v="#VALUE!"/>
    <x v="0"/>
    <n v="1209368"/>
    <n v="38800"/>
    <n v="28900"/>
    <n v="65000"/>
    <n v="1.2721597267212439"/>
    <n v="11.260969432828789"/>
    <n v="0.7185346604629248"/>
    <n v="0.40991813416573414"/>
    <n v="0"/>
    <n v="0.23676306025089816"/>
    <n v="0.34711113728723719"/>
    <n v="0"/>
    <n v="2.3558513457800814E-2"/>
    <n v="4.4761175569821544E-2"/>
    <n v="0.15313033747570529"/>
    <n v="9.4234053831203257E-2"/>
    <n v="0.14135108074680489"/>
    <n v="0"/>
    <n v="0"/>
    <n v="4.0049472878261383E-2"/>
    <n v="0.10601331056010366"/>
    <n v="5.3006655280051829E-2"/>
    <n v="9.4234053831203257E-2"/>
    <n v="3.7693621532481299E-2"/>
    <n v="9.4234053831203247E-3"/>
    <n v="0"/>
    <n v="0"/>
    <n v="0"/>
    <n v="0"/>
    <n v="0"/>
    <n v="0.7656516873785264"/>
    <n v="0"/>
    <n v="0"/>
    <n v="15.808563519641908"/>
    <n v="0.49472878261381709"/>
    <n v="0"/>
    <n v="30"/>
    <x v="0"/>
    <x v="1"/>
    <x v="1"/>
    <x v="1"/>
    <x v="0"/>
    <b v="1"/>
    <b v="1"/>
    <n v="0"/>
    <n v="0"/>
    <n v="0"/>
    <s v=""/>
    <s v=""/>
    <n v="0"/>
    <n v="65"/>
    <s v=""/>
    <s v=""/>
    <n v="0"/>
    <n v="0"/>
    <n v="1"/>
    <n v="0"/>
    <s v=""/>
    <n v="66"/>
    <n v="0"/>
    <n v="0"/>
    <n v="0"/>
    <s v=""/>
    <s v=""/>
    <n v="0"/>
    <n v="38.349999999999994"/>
    <s v=""/>
    <s v=""/>
    <n v="0"/>
    <n v="0"/>
    <n v="5.2"/>
    <n v="0"/>
    <s v=""/>
    <b v="1"/>
    <b v="1"/>
    <x v="3"/>
    <n v="14.245456151716827"/>
    <n v="0.45703516108133579"/>
    <n v="0.34042051946522173"/>
    <n v="0.7656516873785264"/>
    <n v="0"/>
    <n v="0"/>
    <n v="0"/>
    <s v=""/>
    <s v=""/>
    <n v="6"/>
    <n v="65"/>
    <s v=""/>
    <s v=""/>
    <n v="0"/>
    <n v="0"/>
    <n v="1"/>
    <n v="0"/>
    <s v=""/>
    <n v="72"/>
    <n v="0"/>
    <n v="0"/>
    <n v="0"/>
    <s v=""/>
    <s v=""/>
    <n v="1.8000000000000043"/>
    <n v="64.350000000000009"/>
    <s v=""/>
    <s v=""/>
    <n v="0"/>
    <n v="0"/>
    <n v="5.6000000000000005"/>
    <n v="0"/>
    <s v=""/>
    <n v="17"/>
    <n v="17"/>
    <n v="15"/>
    <n v="15"/>
    <n v="14.5"/>
    <n v="14.5"/>
    <n v="14"/>
    <n v="14"/>
    <n v="12"/>
    <n v="12"/>
    <n v="11.5"/>
    <n v="11.5"/>
    <s v=""/>
    <s v=""/>
    <s v=""/>
    <s v=""/>
    <s v=""/>
    <s v=""/>
    <s v=""/>
    <s v=""/>
    <n v="57.599999999999994"/>
    <n v="57.599999999999994"/>
    <n v="55.5"/>
    <n v="55.5"/>
    <n v="579.15"/>
    <n v="579.15"/>
    <n v="566.80000000000007"/>
    <n v="566.80000000000007"/>
    <s v=""/>
    <s v=""/>
    <s v=""/>
    <s v=""/>
    <s v=""/>
    <s v=""/>
    <s v=""/>
    <s v=""/>
    <n v="5"/>
    <n v="5"/>
    <n v="5"/>
    <n v="5"/>
    <n v="12"/>
    <n v="12"/>
    <n v="11.5"/>
    <n v="11.5"/>
    <n v="12"/>
    <n v="12"/>
    <n v="11.5"/>
    <n v="11.5"/>
    <n v="4.3"/>
    <n v="4.3"/>
    <n v="4.1500000000000004"/>
    <n v="4.1500000000000004"/>
    <n v="12"/>
    <n v="12"/>
    <n v="11"/>
    <n v="11"/>
    <s v=""/>
    <s v=""/>
    <s v=""/>
    <s v=""/>
    <n v="1"/>
    <n v="1"/>
    <n v="1"/>
    <n v="0"/>
    <n v="0"/>
    <n v="6"/>
    <n v="65"/>
    <n v="0"/>
    <n v="0"/>
    <n v="0.2"/>
    <n v="1"/>
    <n v="1"/>
    <n v="1"/>
    <n v="1"/>
    <n v="0"/>
  </r>
  <r>
    <m/>
    <m/>
    <m/>
    <m/>
    <m/>
    <m/>
    <n v="31"/>
    <n v="0"/>
    <n v="1"/>
    <n v="0"/>
    <n v="1"/>
    <s v="Leased or Rented"/>
    <s v="N/A"/>
    <m/>
    <m/>
    <m/>
    <m/>
    <n v="15.38"/>
    <n v="15.34"/>
    <n v="15.34"/>
    <n v="15.34"/>
    <n v="1"/>
    <n v="0"/>
    <n v="0"/>
    <n v="0"/>
    <n v="0"/>
    <n v="0"/>
    <s v="Other manager (specify)"/>
    <n v="0"/>
    <n v="0"/>
    <n v="0"/>
    <n v="0"/>
    <n v="0"/>
    <s v="Other manager (specify)"/>
    <n v="0"/>
    <n v="0"/>
    <n v="0"/>
    <n v="0"/>
    <n v="0"/>
    <s v="Other manager (specify)"/>
    <n v="0"/>
    <n v="0"/>
    <n v="0"/>
    <n v="0"/>
    <n v="0"/>
    <s v="Care Assistant (specify)"/>
    <n v="10"/>
    <n v="10"/>
    <n v="10"/>
    <n v="10"/>
    <n v="1"/>
    <s v="Care Assistant (specify)"/>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25"/>
    <n v="0"/>
    <n v="0"/>
    <n v="0"/>
    <n v="0"/>
    <n v="0"/>
    <n v="0"/>
    <n v="16.5"/>
    <n v="0"/>
    <d v="2020-04-01T00:00:00"/>
    <d v="2021-03-31T00:00:00"/>
    <n v="1303.5"/>
    <n v="2000"/>
    <n v="15000"/>
    <n v="0"/>
    <n v="0"/>
    <n v="0"/>
    <n v="400"/>
    <n v="500"/>
    <n v="500"/>
    <n v="90"/>
    <n v="0"/>
    <n v="75"/>
    <n v="20"/>
    <n v="0"/>
    <s v="Other - please specify"/>
    <n v="0"/>
    <s v="Other - please specify"/>
    <n v="0"/>
    <n v="3500"/>
    <n v="0"/>
    <n v="0"/>
    <n v="0"/>
    <n v="960"/>
    <n v="2000"/>
    <n v="0"/>
    <n v="0"/>
    <s v="Furniture &amp; Equipment"/>
    <n v="200"/>
    <s v="Office Related Costs"/>
    <n v="4320"/>
    <n v="0"/>
    <n v="0"/>
    <s v="Other overheads - please specify"/>
    <n v="0"/>
    <s v="Other overheads - please specify"/>
    <n v="0"/>
    <m/>
    <n v="0"/>
    <n v="0"/>
    <m/>
    <d v="2021-10-11T14:58:52"/>
    <x v="0"/>
    <n v="1"/>
    <x v="0"/>
    <n v="15.38"/>
    <n v="15.34"/>
    <n v="15.34"/>
    <n v="15.34"/>
    <s v=""/>
    <s v=""/>
    <s v=""/>
    <s v=""/>
    <s v=""/>
    <s v=""/>
    <s v=""/>
    <s v=""/>
    <s v=""/>
    <s v=""/>
    <s v=""/>
    <s v=""/>
    <s v=""/>
    <s v=""/>
    <s v=""/>
    <s v=""/>
    <n v="10"/>
    <n v="10"/>
    <n v="10"/>
    <n v="10"/>
    <s v=""/>
    <s v=""/>
    <s v=""/>
    <s v=""/>
    <s v=""/>
    <s v=""/>
    <s v=""/>
    <s v=""/>
    <s v=""/>
    <s v=""/>
    <s v=""/>
    <s v=""/>
    <s v=""/>
    <s v=""/>
    <s v=""/>
    <s v=""/>
    <s v=""/>
    <s v=""/>
    <s v=""/>
    <s v=""/>
    <s v=""/>
    <s v=""/>
    <s v=""/>
    <s v=""/>
    <s v=""/>
    <s v=""/>
    <s v=""/>
    <s v=""/>
    <s v=""/>
    <s v=""/>
    <s v=""/>
    <s v=""/>
    <s v=""/>
    <s v=""/>
    <s v=""/>
    <s v=""/>
    <n v="15.38"/>
    <n v="15.34"/>
    <n v="15.34"/>
    <n v="15.34"/>
    <s v=""/>
    <s v=""/>
    <s v=""/>
    <s v=""/>
    <s v=""/>
    <s v=""/>
    <s v=""/>
    <s v=""/>
    <s v=""/>
    <s v=""/>
    <s v=""/>
    <s v=""/>
    <s v=""/>
    <s v=""/>
    <s v=""/>
    <s v=""/>
    <n v="10"/>
    <n v="10"/>
    <n v="10"/>
    <n v="10"/>
    <s v=""/>
    <s v=""/>
    <s v=""/>
    <s v=""/>
    <s v=""/>
    <s v=""/>
    <s v=""/>
    <s v=""/>
    <s v=""/>
    <s v=""/>
    <s v=""/>
    <s v=""/>
    <s v=""/>
    <s v=""/>
    <s v=""/>
    <s v=""/>
    <s v=""/>
    <s v=""/>
    <s v=""/>
    <s v=""/>
    <s v=""/>
    <s v=""/>
    <s v=""/>
    <s v=""/>
    <s v=""/>
    <s v=""/>
    <s v=""/>
    <s v=""/>
    <s v=""/>
    <s v=""/>
    <s v=""/>
    <s v=""/>
    <s v=""/>
    <s v=""/>
    <s v=""/>
    <s v=""/>
    <n v="1"/>
    <n v="1"/>
    <n v="0"/>
    <n v="0"/>
    <n v="2"/>
    <x v="0"/>
    <n v="0"/>
    <n v="25"/>
    <e v="#VALUE!"/>
    <e v="#VALUE!"/>
    <e v="#VALUE!"/>
    <e v="#VALUE!"/>
    <x v="0"/>
    <n v="18400"/>
    <n v="185"/>
    <n v="10980"/>
    <n v="0"/>
    <n v="1.5343306482546988"/>
    <n v="11.507479861910241"/>
    <n v="0"/>
    <n v="0"/>
    <n v="0"/>
    <n v="0.30686612965093979"/>
    <n v="0.3835826620636747"/>
    <n v="0.3835826620636747"/>
    <n v="6.9044879171461446E-2"/>
    <n v="0"/>
    <n v="5.7537399309551207E-2"/>
    <n v="1.5343306482546989E-2"/>
    <n v="0"/>
    <n v="0"/>
    <n v="0"/>
    <n v="2.6850786344457229"/>
    <n v="0"/>
    <n v="0"/>
    <n v="0"/>
    <n v="0.73647871116225549"/>
    <n v="1.5343306482546988"/>
    <n v="0"/>
    <n v="0"/>
    <n v="0.15343306482546989"/>
    <n v="3.3141542002301496"/>
    <n v="0"/>
    <n v="0"/>
    <n v="0"/>
    <n v="0"/>
    <n v="22.681242807825086"/>
    <s v=""/>
    <n v="0"/>
    <n v="31"/>
    <x v="0"/>
    <x v="0"/>
    <x v="0"/>
    <x v="0"/>
    <x v="1"/>
    <b v="0"/>
    <b v="1"/>
    <n v="0"/>
    <s v=""/>
    <s v=""/>
    <s v=""/>
    <s v=""/>
    <n v="0"/>
    <s v=""/>
    <s v=""/>
    <s v=""/>
    <s v=""/>
    <s v=""/>
    <s v=""/>
    <s v=""/>
    <s v=""/>
    <n v="0"/>
    <n v="0"/>
    <s v=""/>
    <s v=""/>
    <s v=""/>
    <s v=""/>
    <n v="0"/>
    <s v=""/>
    <s v=""/>
    <s v=""/>
    <s v=""/>
    <s v=""/>
    <s v=""/>
    <s v=""/>
    <s v=""/>
    <b v="0"/>
    <b v="1"/>
    <x v="1"/>
    <n v="14.115841963943231"/>
    <n v="0.14192558496355967"/>
    <n v="8.4234752589182964"/>
    <n v="0"/>
    <n v="0"/>
    <s v=""/>
    <s v=""/>
    <s v=""/>
    <s v=""/>
    <n v="0"/>
    <s v=""/>
    <s v=""/>
    <s v=""/>
    <s v=""/>
    <s v=""/>
    <s v=""/>
    <s v=""/>
    <s v=""/>
    <n v="0"/>
    <n v="0"/>
    <s v=""/>
    <s v=""/>
    <s v=""/>
    <s v=""/>
    <n v="0"/>
    <s v=""/>
    <s v=""/>
    <s v=""/>
    <s v=""/>
    <s v=""/>
    <s v=""/>
    <s v=""/>
    <s v=""/>
    <n v="15.38"/>
    <n v="15.34"/>
    <n v="15.34"/>
    <n v="15.34"/>
    <s v=""/>
    <s v=""/>
    <s v=""/>
    <s v=""/>
    <s v=""/>
    <s v=""/>
    <s v=""/>
    <s v=""/>
    <s v=""/>
    <s v=""/>
    <s v=""/>
    <s v=""/>
    <s v=""/>
    <s v=""/>
    <s v=""/>
    <s v=""/>
    <n v="10"/>
    <n v="10"/>
    <n v="10"/>
    <n v="10"/>
    <s v=""/>
    <s v=""/>
    <s v=""/>
    <s v=""/>
    <s v=""/>
    <s v=""/>
    <s v=""/>
    <s v=""/>
    <s v=""/>
    <s v=""/>
    <s v=""/>
    <s v=""/>
    <s v=""/>
    <s v=""/>
    <s v=""/>
    <s v=""/>
    <s v=""/>
    <s v=""/>
    <s v=""/>
    <s v=""/>
    <s v=""/>
    <s v=""/>
    <s v=""/>
    <s v=""/>
    <s v=""/>
    <s v=""/>
    <s v=""/>
    <s v=""/>
    <s v=""/>
    <s v=""/>
    <s v=""/>
    <s v=""/>
    <s v=""/>
    <s v=""/>
    <s v=""/>
    <s v=""/>
    <n v="1"/>
    <n v="0"/>
    <n v="0"/>
    <n v="0"/>
    <n v="0"/>
    <n v="1"/>
    <n v="0"/>
    <n v="0"/>
    <n v="0"/>
    <n v="0"/>
    <n v="0"/>
    <n v="0"/>
    <n v="0"/>
    <n v="0"/>
    <n v="0"/>
  </r>
  <r>
    <m/>
    <m/>
    <m/>
    <m/>
    <m/>
    <m/>
    <n v="32"/>
    <n v="33"/>
    <n v="19"/>
    <n v="0.63"/>
    <n v="0.37"/>
    <s v="Leased or Rented"/>
    <s v="Owned outright"/>
    <m/>
    <m/>
    <m/>
    <m/>
    <n v="15.38"/>
    <n v="16.47"/>
    <n v="14.75"/>
    <n v="15.8"/>
    <n v="1"/>
    <n v="10.99"/>
    <n v="10.99"/>
    <n v="10.91"/>
    <n v="10.91"/>
    <n v="3"/>
    <s v="Other manager (specify)"/>
    <n v="0"/>
    <n v="0"/>
    <n v="0"/>
    <n v="0"/>
    <n v="0"/>
    <s v="Other manager (specify)"/>
    <n v="0"/>
    <n v="0"/>
    <n v="0"/>
    <n v="0"/>
    <n v="0"/>
    <s v="Other manager (specify)"/>
    <n v="0"/>
    <n v="0"/>
    <n v="0"/>
    <n v="0"/>
    <n v="0"/>
    <s v="Care Assistant (specify)"/>
    <n v="9.5"/>
    <n v="9.5"/>
    <n v="9.3000000000000007"/>
    <n v="9.3000000000000007"/>
    <n v="25"/>
    <s v="Care Assistant (specify)"/>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182.5"/>
    <n v="0"/>
    <n v="0"/>
    <n v="0"/>
    <n v="36.5"/>
    <n v="0"/>
    <n v="557"/>
    <n v="63"/>
    <n v="0"/>
    <n v="0"/>
    <n v="0"/>
    <n v="0"/>
    <n v="0"/>
    <n v="16.5"/>
    <n v="0"/>
    <d v="2020-04-01T00:00:00"/>
    <d v="2021-03-31T00:00:00"/>
    <n v="38555"/>
    <n v="143165.82999999999"/>
    <n v="486525.99"/>
    <n v="0"/>
    <n v="0"/>
    <n v="0"/>
    <n v="5576.66"/>
    <n v="5576.66"/>
    <n v="1500"/>
    <n v="0"/>
    <n v="0"/>
    <n v="3094.81"/>
    <n v="561.91800000000001"/>
    <n v="0"/>
    <s v="Other - please specify"/>
    <n v="0"/>
    <s v="Other - please specify"/>
    <n v="0"/>
    <n v="0"/>
    <n v="0"/>
    <n v="0"/>
    <n v="0"/>
    <n v="2411"/>
    <n v="3452.7020000000002"/>
    <n v="0"/>
    <n v="0"/>
    <s v="Furniture &amp; Equipment"/>
    <n v="49.12"/>
    <s v="Office Related Costs"/>
    <n v="5877.28"/>
    <n v="65779.199999999997"/>
    <n v="0"/>
    <s v="Other overheads - please specify"/>
    <n v="0"/>
    <s v="Other overheads - please specify"/>
    <n v="0"/>
    <n v="59201.279999999999"/>
    <n v="0"/>
    <n v="0"/>
    <m/>
    <d v="2021-10-11T14:58:55"/>
    <x v="0"/>
    <n v="52"/>
    <x v="11"/>
    <n v="15.38"/>
    <n v="16.47"/>
    <n v="14.75"/>
    <n v="15.8"/>
    <n v="10.99"/>
    <n v="10.99"/>
    <n v="10.91"/>
    <n v="10.91"/>
    <s v=""/>
    <s v=""/>
    <s v=""/>
    <s v=""/>
    <s v=""/>
    <s v=""/>
    <s v=""/>
    <s v=""/>
    <s v=""/>
    <s v=""/>
    <s v=""/>
    <s v=""/>
    <n v="9.5"/>
    <n v="9.5"/>
    <n v="9.3000000000000007"/>
    <n v="9.3000000000000007"/>
    <s v=""/>
    <s v=""/>
    <s v=""/>
    <s v=""/>
    <s v=""/>
    <s v=""/>
    <s v=""/>
    <s v=""/>
    <s v=""/>
    <s v=""/>
    <s v=""/>
    <s v=""/>
    <s v=""/>
    <s v=""/>
    <s v=""/>
    <s v=""/>
    <s v=""/>
    <s v=""/>
    <s v=""/>
    <s v=""/>
    <s v=""/>
    <s v=""/>
    <s v=""/>
    <s v=""/>
    <s v=""/>
    <s v=""/>
    <s v=""/>
    <s v=""/>
    <s v=""/>
    <s v=""/>
    <s v=""/>
    <s v=""/>
    <s v=""/>
    <s v=""/>
    <s v=""/>
    <s v=""/>
    <n v="15.38"/>
    <n v="16.47"/>
    <n v="14.75"/>
    <n v="15.8"/>
    <n v="10.99"/>
    <n v="10.99"/>
    <n v="10.91"/>
    <n v="10.91"/>
    <s v=""/>
    <s v=""/>
    <s v=""/>
    <s v=""/>
    <s v=""/>
    <s v=""/>
    <s v=""/>
    <s v=""/>
    <s v=""/>
    <s v=""/>
    <s v=""/>
    <s v=""/>
    <n v="9.5"/>
    <n v="9.5"/>
    <n v="9.3000000000000007"/>
    <n v="9.3000000000000007"/>
    <s v=""/>
    <s v=""/>
    <s v=""/>
    <s v=""/>
    <s v=""/>
    <s v=""/>
    <s v=""/>
    <s v=""/>
    <s v=""/>
    <s v=""/>
    <s v=""/>
    <s v=""/>
    <s v=""/>
    <s v=""/>
    <s v=""/>
    <s v=""/>
    <s v=""/>
    <s v=""/>
    <s v=""/>
    <s v=""/>
    <s v=""/>
    <s v=""/>
    <s v=""/>
    <s v=""/>
    <s v=""/>
    <s v=""/>
    <s v=""/>
    <s v=""/>
    <s v=""/>
    <s v=""/>
    <s v=""/>
    <s v=""/>
    <s v=""/>
    <s v=""/>
    <s v=""/>
    <s v=""/>
    <n v="4"/>
    <n v="25"/>
    <n v="0"/>
    <n v="0"/>
    <n v="29"/>
    <x v="2"/>
    <n v="219"/>
    <n v="620"/>
    <e v="#VALUE!"/>
    <e v="#VALUE!"/>
    <e v="#VALUE!"/>
    <e v="#VALUE!"/>
    <x v="0"/>
    <n v="642345.14"/>
    <n v="3656.7280000000001"/>
    <n v="11790.101999999999"/>
    <n v="65779.199999999997"/>
    <n v="3.7132882894566199"/>
    <n v="12.619011541953054"/>
    <n v="0"/>
    <n v="0"/>
    <n v="0"/>
    <n v="0.14464168071586045"/>
    <n v="0.14464168071586045"/>
    <n v="3.8905459732849174E-2"/>
    <n v="0"/>
    <n v="0"/>
    <n v="8.0270003890545977E-2"/>
    <n v="1.4574452081442096E-2"/>
    <n v="0"/>
    <n v="0"/>
    <n v="0"/>
    <n v="0"/>
    <n v="0"/>
    <n v="0"/>
    <n v="0"/>
    <n v="6.253404227726625E-2"/>
    <n v="8.9552639087018548E-2"/>
    <n v="0"/>
    <n v="0"/>
    <n v="1.2740241213850343E-3"/>
    <n v="0.15243885358578654"/>
    <n v="1.7061133445726884"/>
    <n v="0"/>
    <n v="0"/>
    <n v="0"/>
    <n v="18.767246012190377"/>
    <n v="1.5355020101154195"/>
    <n v="0"/>
    <n v="32"/>
    <x v="0"/>
    <x v="1"/>
    <x v="0"/>
    <x v="1"/>
    <x v="1"/>
    <b v="1"/>
    <b v="1"/>
    <n v="0"/>
    <n v="0"/>
    <s v=""/>
    <s v=""/>
    <s v=""/>
    <n v="0"/>
    <s v=""/>
    <s v=""/>
    <s v=""/>
    <s v=""/>
    <s v=""/>
    <s v=""/>
    <s v=""/>
    <s v=""/>
    <n v="0"/>
    <n v="0"/>
    <n v="0"/>
    <s v=""/>
    <s v=""/>
    <s v=""/>
    <n v="0"/>
    <s v=""/>
    <s v=""/>
    <s v=""/>
    <s v=""/>
    <s v=""/>
    <s v=""/>
    <s v=""/>
    <s v=""/>
    <b v="0"/>
    <b v="1"/>
    <x v="1"/>
    <n v="16.660488652574244"/>
    <n v="9.4844455971988068E-2"/>
    <n v="0.30579955907145639"/>
    <n v="1.7061133445726884"/>
    <n v="0"/>
    <n v="0"/>
    <s v=""/>
    <s v=""/>
    <s v=""/>
    <n v="25"/>
    <s v=""/>
    <s v=""/>
    <s v=""/>
    <s v=""/>
    <s v=""/>
    <s v=""/>
    <s v=""/>
    <s v=""/>
    <n v="25"/>
    <n v="0"/>
    <n v="0"/>
    <s v=""/>
    <s v=""/>
    <s v=""/>
    <n v="10.000000000000009"/>
    <s v=""/>
    <s v=""/>
    <s v=""/>
    <s v=""/>
    <s v=""/>
    <s v=""/>
    <s v=""/>
    <s v=""/>
    <n v="15.38"/>
    <n v="16.47"/>
    <n v="14.75"/>
    <n v="15.8"/>
    <n v="32.97"/>
    <n v="32.97"/>
    <n v="32.730000000000004"/>
    <n v="32.730000000000004"/>
    <s v=""/>
    <s v=""/>
    <s v=""/>
    <s v=""/>
    <s v=""/>
    <s v=""/>
    <s v=""/>
    <s v=""/>
    <s v=""/>
    <s v=""/>
    <s v=""/>
    <s v=""/>
    <n v="237.5"/>
    <n v="237.5"/>
    <n v="232.50000000000003"/>
    <n v="232.50000000000003"/>
    <s v=""/>
    <s v=""/>
    <s v=""/>
    <s v=""/>
    <s v=""/>
    <s v=""/>
    <s v=""/>
    <s v=""/>
    <s v=""/>
    <s v=""/>
    <s v=""/>
    <s v=""/>
    <s v=""/>
    <s v=""/>
    <s v=""/>
    <s v=""/>
    <s v=""/>
    <s v=""/>
    <s v=""/>
    <s v=""/>
    <s v=""/>
    <s v=""/>
    <s v=""/>
    <s v=""/>
    <s v=""/>
    <s v=""/>
    <s v=""/>
    <s v=""/>
    <s v=""/>
    <s v=""/>
    <s v=""/>
    <s v=""/>
    <s v=""/>
    <s v=""/>
    <s v=""/>
    <s v=""/>
    <n v="1"/>
    <n v="3"/>
    <n v="0"/>
    <n v="0"/>
    <n v="0"/>
    <n v="25"/>
    <n v="0"/>
    <n v="0"/>
    <n v="0"/>
    <n v="0"/>
    <n v="0"/>
    <n v="0"/>
    <n v="0"/>
    <n v="0"/>
    <n v="0"/>
  </r>
  <r>
    <m/>
    <m/>
    <m/>
    <m/>
    <m/>
    <m/>
    <n v="33"/>
    <n v="40"/>
    <n v="0"/>
    <n v="1"/>
    <n v="0"/>
    <s v="Owned outright"/>
    <s v="N/A"/>
    <m/>
    <m/>
    <m/>
    <m/>
    <n v="19.71"/>
    <n v="22.52"/>
    <n v="17.45"/>
    <n v="20.27"/>
    <n v="2"/>
    <n v="12.39"/>
    <n v="15.2"/>
    <n v="11.26"/>
    <n v="14.08"/>
    <n v="1"/>
    <s v="Other manager (Training Manager)"/>
    <n v="13.51"/>
    <n v="16.329999999999998"/>
    <n v="12.39"/>
    <n v="15.2"/>
    <n v="1"/>
    <s v="Other manager (Quality Compliance Manager)"/>
    <n v="12.38"/>
    <n v="15.2"/>
    <n v="11.26"/>
    <n v="14.08"/>
    <n v="1"/>
    <s v="Other manager (Finance Manager)"/>
    <n v="14.08"/>
    <n v="16.89"/>
    <n v="12.39"/>
    <n v="15.2"/>
    <n v="1"/>
    <s v="Care Assistant (Healthcare Assistant)"/>
    <n v="8.91"/>
    <n v="10"/>
    <n v="8.7200000000000006"/>
    <n v="9.75"/>
    <n v="60"/>
    <s v="Care Assistant (Nightcare Assistant)"/>
    <n v="9.3000000000000007"/>
    <n v="10.5"/>
    <n v="9.1"/>
    <n v="10.25"/>
    <n v="20"/>
    <s v="Care Assistant (Live In Care: Per Week)"/>
    <n v="0"/>
    <n v="0"/>
    <n v="0"/>
    <n v="0"/>
    <n v="10"/>
    <s v="Care Assistant (Complex Care Assistant)"/>
    <n v="9.5"/>
    <n v="11.35"/>
    <n v="9.35"/>
    <n v="10.8"/>
    <n v="25"/>
    <s v="Administrative Officer (HR)"/>
    <n v="8.91"/>
    <n v="9.3000000000000007"/>
    <n v="8.7200000000000006"/>
    <n v="9.1"/>
    <n v="3"/>
    <s v="Administrative Officer (Finance)"/>
    <n v="8.91"/>
    <n v="9.3000000000000007"/>
    <n v="8.7200000000000006"/>
    <n v="9.1"/>
    <n v="2"/>
    <s v="Administrative Officer (Apprenticeships)"/>
    <n v="4.3"/>
    <n v="8.36"/>
    <n v="4.1500000000000004"/>
    <n v="8.1999999999999993"/>
    <n v="2"/>
    <s v="Other staff (Care Co-ordinator)"/>
    <n v="9.25"/>
    <n v="10"/>
    <n v="9.1"/>
    <n v="9.75"/>
    <n v="2"/>
    <s v="Other staff (Team Leader)"/>
    <n v="9.1"/>
    <n v="9.65"/>
    <n v="9"/>
    <n v="9.4"/>
    <n v="6"/>
    <s v="Other staff (Senior Carer)"/>
    <n v="9.1"/>
    <n v="9.4499999999999993"/>
    <n v="9"/>
    <n v="9.25"/>
    <n v="0"/>
    <n v="0.03"/>
    <n v="137"/>
    <n v="67"/>
    <n v="1257.5"/>
    <n v="0"/>
    <n v="176.5"/>
    <n v="370.5"/>
    <n v="0"/>
    <n v="0"/>
    <n v="0"/>
    <n v="0"/>
    <n v="0"/>
    <n v="0"/>
    <n v="15.58"/>
    <n v="17.5"/>
    <n v="15.2"/>
    <d v="2019-05-01T00:00:00"/>
    <d v="2020-04-30T00:00:00"/>
    <n v="84000"/>
    <n v="110000"/>
    <n v="491156"/>
    <n v="27101"/>
    <n v="0"/>
    <n v="0"/>
    <n v="26171"/>
    <n v="0"/>
    <n v="0"/>
    <n v="1800"/>
    <n v="9272"/>
    <n v="5626"/>
    <n v="2226"/>
    <n v="5959"/>
    <s v="Other - Software"/>
    <n v="2226"/>
    <s v="Other - please specify"/>
    <n v="0"/>
    <n v="4452"/>
    <n v="2400"/>
    <n v="2722"/>
    <n v="6260"/>
    <n v="2139"/>
    <n v="2139"/>
    <n v="740"/>
    <n v="2400"/>
    <s v="Other - please specify"/>
    <n v="0"/>
    <s v="Other - please specify"/>
    <n v="0"/>
    <n v="0"/>
    <n v="2290"/>
    <s v="Other overheads - please specify"/>
    <n v="0"/>
    <s v="Other overheads - please specify"/>
    <n v="0"/>
    <n v="208573"/>
    <n v="0"/>
    <n v="35000"/>
    <m/>
    <d v="2021-10-11T14:58:59"/>
    <x v="0"/>
    <n v="40"/>
    <x v="5"/>
    <n v="19.71"/>
    <n v="22.52"/>
    <n v="17.45"/>
    <n v="20.27"/>
    <n v="12.39"/>
    <n v="15.2"/>
    <n v="11.26"/>
    <n v="14.08"/>
    <n v="13.51"/>
    <n v="16.329999999999998"/>
    <n v="12.39"/>
    <n v="15.2"/>
    <n v="12.38"/>
    <n v="15.2"/>
    <n v="11.26"/>
    <n v="14.08"/>
    <n v="14.08"/>
    <n v="16.89"/>
    <n v="12.39"/>
    <n v="15.2"/>
    <n v="8.91"/>
    <n v="10"/>
    <n v="8.7200000000000006"/>
    <n v="9.75"/>
    <n v="9.3000000000000007"/>
    <n v="10.5"/>
    <n v="9.1"/>
    <n v="10.25"/>
    <s v=""/>
    <s v=""/>
    <s v=""/>
    <s v=""/>
    <n v="9.5"/>
    <n v="11.35"/>
    <n v="9.35"/>
    <n v="10.8"/>
    <n v="8.91"/>
    <n v="9.3000000000000007"/>
    <n v="8.7200000000000006"/>
    <n v="9.1"/>
    <n v="8.91"/>
    <n v="9.3000000000000007"/>
    <n v="8.7200000000000006"/>
    <n v="9.1"/>
    <n v="4.3"/>
    <n v="8.36"/>
    <n v="4.1500000000000004"/>
    <n v="8.1999999999999993"/>
    <n v="9.25"/>
    <n v="10"/>
    <n v="9.1"/>
    <n v="9.75"/>
    <n v="9.1"/>
    <n v="9.65"/>
    <n v="9"/>
    <n v="9.4"/>
    <n v="9.1"/>
    <n v="9.4499999999999993"/>
    <n v="9"/>
    <n v="9.25"/>
    <n v="19.71"/>
    <n v="22.52"/>
    <n v="17.45"/>
    <n v="20.27"/>
    <n v="12.39"/>
    <n v="15.2"/>
    <n v="11.26"/>
    <n v="14.08"/>
    <n v="13.51"/>
    <n v="16.329999999999998"/>
    <n v="12.39"/>
    <n v="15.2"/>
    <n v="12.38"/>
    <n v="15.2"/>
    <n v="11.26"/>
    <n v="14.08"/>
    <n v="14.08"/>
    <n v="16.89"/>
    <n v="12.39"/>
    <n v="15.2"/>
    <n v="8.91"/>
    <n v="10"/>
    <n v="8.7200000000000006"/>
    <n v="9.75"/>
    <n v="9.3000000000000007"/>
    <n v="10.5"/>
    <n v="9.1"/>
    <n v="10.25"/>
    <s v=""/>
    <s v=""/>
    <s v=""/>
    <s v=""/>
    <n v="9.5"/>
    <n v="11.35"/>
    <n v="9.35"/>
    <n v="10.8"/>
    <n v="8.91"/>
    <n v="9.3000000000000007"/>
    <n v="8.7200000000000006"/>
    <n v="9.1"/>
    <n v="8.91"/>
    <n v="9.3000000000000007"/>
    <n v="8.7200000000000006"/>
    <n v="9.1"/>
    <n v="4.3"/>
    <n v="8.36"/>
    <n v="4.1500000000000004"/>
    <n v="8.1999999999999993"/>
    <n v="9.25"/>
    <n v="10"/>
    <n v="9.1"/>
    <n v="9.75"/>
    <n v="9.1"/>
    <n v="9.65"/>
    <n v="9"/>
    <n v="9.4"/>
    <n v="9.1"/>
    <n v="9.4499999999999993"/>
    <n v="9"/>
    <n v="9.25"/>
    <n v="6"/>
    <n v="115"/>
    <n v="5"/>
    <n v="8"/>
    <n v="134"/>
    <x v="2"/>
    <n v="2008.5"/>
    <n v="0"/>
    <n v="82.2"/>
    <n v="99.1"/>
    <n v="91.78"/>
    <n v="108.66"/>
    <x v="0"/>
    <n v="654428"/>
    <n v="27109"/>
    <n v="23252"/>
    <n v="2290"/>
    <n v="1.3095238095238095"/>
    <n v="5.8470952380952381"/>
    <n v="0.32263095238095241"/>
    <n v="0"/>
    <n v="0"/>
    <n v="0.31155952380952379"/>
    <n v="0"/>
    <n v="0"/>
    <n v="2.1428571428571429E-2"/>
    <n v="0.11038095238095239"/>
    <n v="6.6976190476190481E-2"/>
    <n v="2.6499999999999999E-2"/>
    <n v="7.0940476190476193E-2"/>
    <n v="2.6499999999999999E-2"/>
    <n v="0"/>
    <n v="5.2999999999999999E-2"/>
    <n v="2.8571428571428571E-2"/>
    <n v="3.2404761904761901E-2"/>
    <n v="7.452380952380952E-2"/>
    <n v="2.5464285714285714E-2"/>
    <n v="2.5464285714285714E-2"/>
    <n v="8.8095238095238088E-3"/>
    <n v="2.8571428571428571E-2"/>
    <n v="0"/>
    <n v="0"/>
    <n v="0"/>
    <n v="2.7261904761904762E-2"/>
    <n v="0"/>
    <n v="0"/>
    <n v="8.4176071428571415"/>
    <n v="2.4830119047619048"/>
    <n v="0"/>
    <n v="33"/>
    <x v="0"/>
    <x v="1"/>
    <x v="1"/>
    <x v="1"/>
    <x v="0"/>
    <b v="1"/>
    <b v="1"/>
    <n v="0"/>
    <n v="0"/>
    <n v="0"/>
    <n v="0"/>
    <n v="0"/>
    <n v="60"/>
    <n v="0"/>
    <s v=""/>
    <n v="0"/>
    <n v="3"/>
    <n v="2"/>
    <n v="0"/>
    <n v="6"/>
    <n v="0"/>
    <n v="71"/>
    <n v="0"/>
    <n v="0"/>
    <n v="0"/>
    <n v="0"/>
    <n v="0"/>
    <n v="2.6999999999999957"/>
    <n v="0"/>
    <s v=""/>
    <n v="0"/>
    <n v="1.1849999999999987"/>
    <n v="0.78999999999999915"/>
    <n v="0"/>
    <n v="0.75"/>
    <n v="0"/>
    <b v="1"/>
    <b v="1"/>
    <x v="3"/>
    <n v="7.7908095238095232"/>
    <n v="0.3227261904761905"/>
    <n v="0.27680952380952384"/>
    <n v="2.7261904761904762E-2"/>
    <n v="0"/>
    <n v="0"/>
    <n v="0"/>
    <n v="0"/>
    <n v="0"/>
    <n v="60"/>
    <n v="0"/>
    <s v=""/>
    <n v="0"/>
    <n v="3"/>
    <n v="2"/>
    <n v="2"/>
    <n v="6"/>
    <n v="0"/>
    <n v="73"/>
    <n v="0"/>
    <n v="0"/>
    <n v="0"/>
    <n v="0"/>
    <n v="0"/>
    <n v="26.700000000000017"/>
    <n v="0"/>
    <s v=""/>
    <n v="0"/>
    <n v="2.3849999999999998"/>
    <n v="1.5899999999999999"/>
    <n v="0.55000000000000071"/>
    <n v="3.1500000000000021"/>
    <n v="0"/>
    <n v="39.42"/>
    <n v="45.04"/>
    <n v="34.9"/>
    <n v="40.54"/>
    <n v="12.39"/>
    <n v="15.2"/>
    <n v="11.26"/>
    <n v="14.08"/>
    <n v="13.51"/>
    <n v="16.329999999999998"/>
    <n v="12.39"/>
    <n v="15.2"/>
    <n v="12.38"/>
    <n v="15.2"/>
    <n v="11.26"/>
    <n v="14.08"/>
    <n v="14.08"/>
    <n v="16.89"/>
    <n v="12.39"/>
    <n v="15.2"/>
    <n v="534.6"/>
    <n v="600"/>
    <n v="523.20000000000005"/>
    <n v="585"/>
    <n v="186"/>
    <n v="210"/>
    <n v="182"/>
    <n v="205"/>
    <s v=""/>
    <s v=""/>
    <s v=""/>
    <s v=""/>
    <n v="237.5"/>
    <n v="283.75"/>
    <n v="233.75"/>
    <n v="270"/>
    <n v="26.73"/>
    <n v="27.900000000000002"/>
    <n v="26.160000000000004"/>
    <n v="27.299999999999997"/>
    <n v="17.82"/>
    <n v="18.600000000000001"/>
    <n v="17.440000000000001"/>
    <n v="18.2"/>
    <n v="8.6"/>
    <n v="16.72"/>
    <n v="8.3000000000000007"/>
    <n v="16.399999999999999"/>
    <n v="18.5"/>
    <n v="20"/>
    <n v="18.2"/>
    <n v="19.5"/>
    <n v="54.599999999999994"/>
    <n v="57.900000000000006"/>
    <n v="54"/>
    <n v="56.400000000000006"/>
    <s v=""/>
    <s v=""/>
    <s v=""/>
    <s v=""/>
    <n v="2"/>
    <n v="1"/>
    <n v="1"/>
    <n v="1"/>
    <n v="1"/>
    <n v="60"/>
    <n v="20"/>
    <n v="0"/>
    <n v="25"/>
    <n v="3"/>
    <n v="2"/>
    <n v="2"/>
    <n v="2"/>
    <n v="6"/>
    <n v="0"/>
  </r>
  <r>
    <m/>
    <m/>
    <m/>
    <m/>
    <m/>
    <m/>
    <n v="34"/>
    <n v="15"/>
    <m/>
    <m/>
    <m/>
    <m/>
    <m/>
    <m/>
    <m/>
    <m/>
    <m/>
    <n v="16"/>
    <n v="16"/>
    <n v="16"/>
    <n v="16"/>
    <n v="1"/>
    <n v="0"/>
    <n v="0"/>
    <n v="0"/>
    <n v="0"/>
    <n v="0"/>
    <s v="Other manager (specify)"/>
    <n v="0"/>
    <n v="0"/>
    <n v="0"/>
    <n v="0"/>
    <n v="0"/>
    <s v="Other manager (specify)"/>
    <n v="0"/>
    <n v="0"/>
    <n v="0"/>
    <n v="0"/>
    <n v="0"/>
    <s v="Other manager (specify)"/>
    <n v="0"/>
    <n v="0"/>
    <n v="0"/>
    <n v="0"/>
    <n v="0"/>
    <s v="Care Assistant (specify)"/>
    <n v="8.91"/>
    <n v="9.41"/>
    <n v="8.7200000000000006"/>
    <n v="9.1199999999999992"/>
    <n v="0"/>
    <s v="Care Assistant (specify)"/>
    <n v="0"/>
    <n v="0"/>
    <n v="0"/>
    <n v="0"/>
    <n v="0"/>
    <s v="Care Assistant (specify)"/>
    <n v="0"/>
    <n v="0"/>
    <n v="0"/>
    <n v="0"/>
    <n v="0"/>
    <s v="Care Assistant (specify)"/>
    <n v="0"/>
    <n v="0"/>
    <n v="0"/>
    <n v="0"/>
    <n v="0"/>
    <s v="Administrative Officer (specify)"/>
    <n v="9.5"/>
    <n v="9.5"/>
    <n v="9.5"/>
    <n v="9.5"/>
    <n v="1"/>
    <s v="Administrative Officer (specify)"/>
    <n v="0"/>
    <n v="0"/>
    <n v="0"/>
    <n v="0"/>
    <n v="0"/>
    <s v="Administrative Officer (specify)"/>
    <n v="0"/>
    <n v="0"/>
    <n v="0"/>
    <n v="0"/>
    <n v="0"/>
    <s v="Other staff (specify)"/>
    <n v="10"/>
    <n v="10"/>
    <n v="9.5"/>
    <n v="9.5"/>
    <n v="0"/>
    <s v="Other staff (specify)"/>
    <n v="0"/>
    <n v="0"/>
    <n v="0"/>
    <n v="0"/>
    <n v="1"/>
    <s v="Other staff (specify)"/>
    <n v="0"/>
    <n v="0"/>
    <n v="0"/>
    <n v="0"/>
    <n v="0"/>
    <m/>
    <n v="0"/>
    <n v="0"/>
    <n v="0"/>
    <n v="0"/>
    <n v="162.15"/>
    <n v="286.05"/>
    <n v="0"/>
    <n v="0"/>
    <n v="0"/>
    <n v="0"/>
    <n v="0"/>
    <n v="0"/>
    <n v="15.27"/>
    <n v="17.5"/>
    <n v="15.5"/>
    <d v="2018-11-01T00:00:00"/>
    <d v="2019-10-31T00:00:00"/>
    <n v="20936.14"/>
    <n v="0"/>
    <n v="117609"/>
    <n v="0"/>
    <n v="0"/>
    <n v="0"/>
    <n v="576"/>
    <n v="0"/>
    <n v="5750"/>
    <n v="1987"/>
    <n v="5750"/>
    <n v="3571"/>
    <n v="6410"/>
    <n v="6526"/>
    <s v="Other - please specify"/>
    <n v="0"/>
    <s v="Other - please specify"/>
    <n v="0"/>
    <n v="970"/>
    <n v="0"/>
    <n v="3652"/>
    <n v="4374"/>
    <n v="950"/>
    <n v="3400"/>
    <n v="0"/>
    <n v="0"/>
    <s v="Other - please specify"/>
    <n v="0"/>
    <s v="Other - please specify"/>
    <n v="0"/>
    <n v="0"/>
    <n v="0"/>
    <s v="Other overheads - please specify"/>
    <n v="0"/>
    <s v="Other overheads - please specify"/>
    <n v="0"/>
    <m/>
    <n v="0"/>
    <n v="0"/>
    <m/>
    <d v="2021-10-11T14:59:01"/>
    <x v="0"/>
    <n v="15"/>
    <x v="1"/>
    <n v="16"/>
    <n v="16"/>
    <n v="16"/>
    <n v="16"/>
    <s v=""/>
    <s v=""/>
    <s v=""/>
    <s v=""/>
    <s v=""/>
    <s v=""/>
    <s v=""/>
    <s v=""/>
    <s v=""/>
    <s v=""/>
    <s v=""/>
    <s v=""/>
    <s v=""/>
    <s v=""/>
    <s v=""/>
    <s v=""/>
    <n v="8.91"/>
    <n v="9.41"/>
    <n v="8.7200000000000006"/>
    <n v="9.1199999999999992"/>
    <s v=""/>
    <s v=""/>
    <s v=""/>
    <s v=""/>
    <s v=""/>
    <s v=""/>
    <s v=""/>
    <s v=""/>
    <s v=""/>
    <s v=""/>
    <s v=""/>
    <s v=""/>
    <n v="9.5"/>
    <n v="9.5"/>
    <n v="9.5"/>
    <n v="9.5"/>
    <s v=""/>
    <s v=""/>
    <s v=""/>
    <s v=""/>
    <s v=""/>
    <s v=""/>
    <s v=""/>
    <s v=""/>
    <n v="10"/>
    <n v="10"/>
    <n v="9.5"/>
    <n v="9.5"/>
    <s v=""/>
    <s v=""/>
    <s v=""/>
    <s v=""/>
    <s v=""/>
    <s v=""/>
    <s v=""/>
    <s v=""/>
    <n v="16"/>
    <n v="16"/>
    <n v="16"/>
    <n v="16"/>
    <s v=""/>
    <s v=""/>
    <s v=""/>
    <s v=""/>
    <s v=""/>
    <s v=""/>
    <s v=""/>
    <s v=""/>
    <s v=""/>
    <s v=""/>
    <s v=""/>
    <s v=""/>
    <s v=""/>
    <s v=""/>
    <s v=""/>
    <s v=""/>
    <n v="8.91"/>
    <n v="9.41"/>
    <n v="8.7200000000000006"/>
    <n v="9.1199999999999992"/>
    <s v=""/>
    <s v=""/>
    <s v=""/>
    <s v=""/>
    <s v=""/>
    <s v=""/>
    <s v=""/>
    <s v=""/>
    <s v=""/>
    <s v=""/>
    <s v=""/>
    <s v=""/>
    <n v="9.5"/>
    <n v="9.5"/>
    <n v="9.5"/>
    <n v="9.5"/>
    <s v=""/>
    <s v=""/>
    <s v=""/>
    <s v=""/>
    <s v=""/>
    <s v=""/>
    <s v=""/>
    <s v=""/>
    <n v="10"/>
    <n v="10"/>
    <n v="9.5"/>
    <n v="9.5"/>
    <s v=""/>
    <s v=""/>
    <s v=""/>
    <s v=""/>
    <s v=""/>
    <s v=""/>
    <s v=""/>
    <s v=""/>
    <n v="1"/>
    <n v="0"/>
    <n v="1"/>
    <n v="1"/>
    <n v="3"/>
    <x v="1"/>
    <n v="448.20000000000005"/>
    <n v="0"/>
    <e v="#VALUE!"/>
    <e v="#VALUE!"/>
    <e v="#VALUE!"/>
    <e v="#VALUE!"/>
    <x v="0"/>
    <n v="123935"/>
    <n v="24244"/>
    <n v="13346"/>
    <n v="0"/>
    <n v="0"/>
    <n v="5.6175111553514645"/>
    <n v="0"/>
    <n v="0"/>
    <n v="0"/>
    <n v="2.7512234824566516E-2"/>
    <n v="0"/>
    <n v="0.27464470527996088"/>
    <n v="9.49076572854404E-2"/>
    <n v="0.27464470527996088"/>
    <n v="0.1705663030529983"/>
    <n v="0.30616914101644332"/>
    <n v="0.31170979941861299"/>
    <n v="0"/>
    <n v="0"/>
    <n v="4.6331367673315138E-2"/>
    <n v="0"/>
    <n v="0.17443521107520299"/>
    <n v="0.20892103319905198"/>
    <n v="4.5376081741906583E-2"/>
    <n v="0.16239860833945513"/>
    <n v="0"/>
    <n v="0"/>
    <n v="0"/>
    <n v="0"/>
    <n v="0"/>
    <n v="0"/>
    <n v="0"/>
    <n v="0"/>
    <n v="7.7151280035383794"/>
    <s v=""/>
    <n v="0"/>
    <n v="34"/>
    <x v="0"/>
    <x v="1"/>
    <x v="1"/>
    <x v="1"/>
    <x v="0"/>
    <b v="0"/>
    <b v="1"/>
    <n v="0"/>
    <s v=""/>
    <s v=""/>
    <s v=""/>
    <s v=""/>
    <n v="0"/>
    <s v=""/>
    <s v=""/>
    <s v=""/>
    <n v="0"/>
    <s v=""/>
    <n v="0"/>
    <s v=""/>
    <s v=""/>
    <n v="0"/>
    <n v="0"/>
    <s v=""/>
    <s v=""/>
    <s v=""/>
    <s v=""/>
    <n v="0"/>
    <s v=""/>
    <s v=""/>
    <s v=""/>
    <n v="0"/>
    <s v=""/>
    <n v="0"/>
    <s v=""/>
    <s v=""/>
    <b v="1"/>
    <b v="0"/>
    <x v="2"/>
    <n v="5.9196680954559922"/>
    <n v="1.1579976060534558"/>
    <n v="0.63746230202893184"/>
    <n v="0"/>
    <n v="0"/>
    <s v=""/>
    <s v=""/>
    <s v=""/>
    <s v=""/>
    <n v="0"/>
    <s v=""/>
    <s v=""/>
    <s v=""/>
    <n v="1"/>
    <s v=""/>
    <n v="0"/>
    <s v=""/>
    <s v=""/>
    <n v="1"/>
    <n v="0"/>
    <s v=""/>
    <s v=""/>
    <s v=""/>
    <s v=""/>
    <n v="0"/>
    <s v=""/>
    <s v=""/>
    <s v=""/>
    <n v="0.40000000000000036"/>
    <s v=""/>
    <n v="0"/>
    <s v=""/>
    <s v=""/>
    <n v="16"/>
    <n v="16"/>
    <n v="16"/>
    <n v="16"/>
    <s v=""/>
    <s v=""/>
    <s v=""/>
    <s v=""/>
    <s v=""/>
    <s v=""/>
    <s v=""/>
    <s v=""/>
    <s v=""/>
    <s v=""/>
    <s v=""/>
    <s v=""/>
    <s v=""/>
    <s v=""/>
    <s v=""/>
    <s v=""/>
    <s v=""/>
    <s v=""/>
    <s v=""/>
    <s v=""/>
    <s v=""/>
    <s v=""/>
    <s v=""/>
    <s v=""/>
    <s v=""/>
    <s v=""/>
    <s v=""/>
    <s v=""/>
    <s v=""/>
    <s v=""/>
    <s v=""/>
    <s v=""/>
    <n v="9.5"/>
    <n v="9.5"/>
    <n v="9.5"/>
    <n v="9.5"/>
    <s v=""/>
    <s v=""/>
    <s v=""/>
    <s v=""/>
    <s v=""/>
    <s v=""/>
    <s v=""/>
    <s v=""/>
    <s v=""/>
    <s v=""/>
    <s v=""/>
    <s v=""/>
    <s v=""/>
    <s v=""/>
    <s v=""/>
    <s v=""/>
    <s v=""/>
    <s v=""/>
    <s v=""/>
    <s v=""/>
    <n v="1"/>
    <n v="0"/>
    <n v="0"/>
    <n v="0"/>
    <n v="0"/>
    <n v="0"/>
    <n v="0"/>
    <n v="0"/>
    <n v="0"/>
    <n v="1"/>
    <n v="0"/>
    <n v="0"/>
    <n v="0"/>
    <n v="0"/>
    <n v="0"/>
  </r>
  <r>
    <m/>
    <m/>
    <m/>
    <m/>
    <m/>
    <m/>
    <n v="35"/>
    <n v="61"/>
    <n v="0"/>
    <n v="1"/>
    <m/>
    <s v="Owned outright"/>
    <s v="Owned outright"/>
    <m/>
    <m/>
    <m/>
    <m/>
    <n v="11.795"/>
    <n v="13.33"/>
    <n v="10"/>
    <n v="11"/>
    <n v="1"/>
    <n v="10"/>
    <n v="11"/>
    <n v="8.75"/>
    <n v="10"/>
    <n v="1"/>
    <s v="Other manager (specify)"/>
    <n v="8.91"/>
    <n v="9"/>
    <n v="8.7200000000000006"/>
    <n v="9"/>
    <n v="1"/>
    <s v="Other manager (specify)"/>
    <n v="0"/>
    <n v="0"/>
    <n v="0"/>
    <n v="0"/>
    <n v="0"/>
    <s v="Other manager (specify)"/>
    <n v="0"/>
    <n v="0"/>
    <n v="0"/>
    <n v="0"/>
    <n v="0"/>
    <s v="Care Assistant (specify)"/>
    <n v="8.91"/>
    <n v="8.91"/>
    <n v="8.7200000000000006"/>
    <n v="8.8800000000000008"/>
    <n v="29"/>
    <s v="Care Assistant (specify)"/>
    <n v="8.91"/>
    <n v="9.2200000000000006"/>
    <n v="8.7200000000000006"/>
    <n v="9"/>
    <n v="11"/>
    <s v="Care Assistant (specify)"/>
    <n v="0"/>
    <n v="0"/>
    <n v="0"/>
    <n v="0"/>
    <n v="0"/>
    <s v="Care Assistant (specify)"/>
    <n v="0"/>
    <n v="0"/>
    <n v="0"/>
    <n v="0"/>
    <n v="0"/>
    <s v="Administrative Officer (specify)"/>
    <n v="9"/>
    <n v="10"/>
    <n v="8.75"/>
    <n v="9"/>
    <n v="1"/>
    <s v="Administrative Officer (specify)"/>
    <n v="0"/>
    <n v="0"/>
    <n v="0"/>
    <n v="0"/>
    <n v="0"/>
    <s v="Administrative Officer (specify)"/>
    <n v="0"/>
    <n v="0"/>
    <n v="0"/>
    <n v="0"/>
    <n v="0"/>
    <s v="Other staff (specify)"/>
    <n v="0"/>
    <n v="0"/>
    <n v="0"/>
    <n v="0"/>
    <n v="0"/>
    <s v="Other staff (specify)"/>
    <n v="0"/>
    <n v="0"/>
    <n v="0"/>
    <n v="0"/>
    <n v="0"/>
    <s v="Other staff (specify)"/>
    <n v="0"/>
    <n v="0"/>
    <n v="0"/>
    <n v="0"/>
    <n v="0"/>
    <n v="0.03"/>
    <n v="92"/>
    <n v="0"/>
    <n v="421"/>
    <n v="0"/>
    <n v="375"/>
    <n v="15"/>
    <n v="0"/>
    <n v="0"/>
    <n v="0"/>
    <n v="0"/>
    <n v="0"/>
    <n v="0"/>
    <n v="12.25"/>
    <n v="14"/>
    <n v="14.5"/>
    <d v="2020-01-01T00:00:00"/>
    <d v="2020-12-31T00:00:00"/>
    <n v="34907.449999999997"/>
    <n v="50436.22"/>
    <n v="341678.77"/>
    <n v="0"/>
    <n v="0"/>
    <n v="0"/>
    <n v="0"/>
    <n v="0"/>
    <n v="0"/>
    <n v="820"/>
    <n v="474.98"/>
    <n v="3194.1"/>
    <n v="4200"/>
    <n v="500"/>
    <s v="Other - please specify"/>
    <n v="0"/>
    <s v="Other - please specify"/>
    <n v="0"/>
    <n v="2500"/>
    <n v="4200"/>
    <n v="1980"/>
    <n v="18000"/>
    <n v="2953"/>
    <n v="80"/>
    <n v="500"/>
    <n v="0"/>
    <s v="Other - please specify"/>
    <n v="0"/>
    <s v="Other - please specify"/>
    <n v="0"/>
    <n v="6000"/>
    <n v="8920"/>
    <s v="Other overheads - please specify"/>
    <n v="0"/>
    <s v="Other overheads - please specify"/>
    <n v="0"/>
    <n v="10931.93"/>
    <n v="0"/>
    <n v="0"/>
    <m/>
    <d v="2021-10-11T14:59:04"/>
    <x v="0"/>
    <n v="61"/>
    <x v="4"/>
    <n v="11.795"/>
    <n v="13.33"/>
    <n v="10"/>
    <n v="11"/>
    <n v="10"/>
    <n v="11"/>
    <n v="8.75"/>
    <n v="10"/>
    <n v="8.91"/>
    <n v="9"/>
    <n v="8.7200000000000006"/>
    <n v="9"/>
    <s v=""/>
    <s v=""/>
    <s v=""/>
    <s v=""/>
    <s v=""/>
    <s v=""/>
    <s v=""/>
    <s v=""/>
    <n v="8.91"/>
    <n v="8.91"/>
    <n v="8.7200000000000006"/>
    <n v="8.8800000000000008"/>
    <n v="8.91"/>
    <n v="9.2200000000000006"/>
    <n v="8.7200000000000006"/>
    <n v="9"/>
    <s v=""/>
    <s v=""/>
    <s v=""/>
    <s v=""/>
    <s v=""/>
    <s v=""/>
    <s v=""/>
    <s v=""/>
    <n v="9"/>
    <n v="10"/>
    <n v="8.75"/>
    <n v="9"/>
    <s v=""/>
    <s v=""/>
    <s v=""/>
    <s v=""/>
    <s v=""/>
    <s v=""/>
    <s v=""/>
    <s v=""/>
    <s v=""/>
    <s v=""/>
    <s v=""/>
    <s v=""/>
    <s v=""/>
    <s v=""/>
    <s v=""/>
    <s v=""/>
    <s v=""/>
    <s v=""/>
    <s v=""/>
    <s v=""/>
    <n v="11.795"/>
    <n v="13.33"/>
    <n v="10"/>
    <n v="11"/>
    <n v="10"/>
    <n v="11"/>
    <n v="8.75"/>
    <n v="10"/>
    <n v="8.91"/>
    <n v="9"/>
    <n v="8.7200000000000006"/>
    <n v="9"/>
    <s v=""/>
    <s v=""/>
    <s v=""/>
    <s v=""/>
    <s v=""/>
    <s v=""/>
    <s v=""/>
    <s v=""/>
    <n v="8.91"/>
    <n v="8.91"/>
    <n v="8.7200000000000006"/>
    <n v="8.8800000000000008"/>
    <n v="8.91"/>
    <n v="9.2200000000000006"/>
    <n v="8.7200000000000006"/>
    <n v="9"/>
    <s v=""/>
    <s v=""/>
    <s v=""/>
    <s v=""/>
    <s v=""/>
    <s v=""/>
    <s v=""/>
    <s v=""/>
    <n v="9"/>
    <n v="10"/>
    <n v="8.75"/>
    <n v="9"/>
    <s v=""/>
    <s v=""/>
    <s v=""/>
    <s v=""/>
    <s v=""/>
    <s v=""/>
    <s v=""/>
    <s v=""/>
    <s v=""/>
    <s v=""/>
    <s v=""/>
    <s v=""/>
    <s v=""/>
    <s v=""/>
    <s v=""/>
    <s v=""/>
    <s v=""/>
    <s v=""/>
    <s v=""/>
    <s v=""/>
    <n v="3"/>
    <n v="40"/>
    <n v="1"/>
    <n v="0"/>
    <n v="44"/>
    <x v="2"/>
    <n v="903"/>
    <n v="0"/>
    <e v="#VALUE!"/>
    <e v="#VALUE!"/>
    <e v="#VALUE!"/>
    <e v="#VALUE!"/>
    <x v="0"/>
    <n v="392114.99"/>
    <n v="9189.08"/>
    <n v="30213"/>
    <n v="14920"/>
    <n v="1.4448554678156098"/>
    <n v="9.7881331921982291"/>
    <n v="0"/>
    <n v="0"/>
    <n v="0"/>
    <n v="0"/>
    <n v="0"/>
    <n v="0"/>
    <n v="2.3490687517994012E-2"/>
    <n v="1.3606837508898531E-2"/>
    <n v="9.1501957318566668E-2"/>
    <n v="0.12031815557996933"/>
    <n v="1.4323589949996348E-2"/>
    <n v="0"/>
    <n v="0"/>
    <n v="7.1617949749981744E-2"/>
    <n v="0.12031815557996933"/>
    <n v="5.6721416201985543E-2"/>
    <n v="0.51564923819986852"/>
    <n v="8.4595122244678439E-2"/>
    <n v="2.2917743919994159E-3"/>
    <n v="1.4323589949996348E-2"/>
    <n v="0"/>
    <n v="0"/>
    <n v="0"/>
    <n v="0.17188307939995617"/>
    <n v="0.25553284470793486"/>
    <n v="0"/>
    <n v="0"/>
    <n v="12.789163058315632"/>
    <n v="0.31316896536412719"/>
    <n v="0"/>
    <n v="35"/>
    <x v="0"/>
    <x v="1"/>
    <x v="1"/>
    <x v="1"/>
    <x v="0"/>
    <b v="1"/>
    <b v="1"/>
    <n v="0"/>
    <n v="0"/>
    <n v="1"/>
    <s v=""/>
    <s v=""/>
    <n v="29"/>
    <n v="11"/>
    <s v=""/>
    <s v=""/>
    <n v="0"/>
    <s v=""/>
    <s v=""/>
    <s v=""/>
    <s v=""/>
    <n v="41"/>
    <n v="0"/>
    <n v="0"/>
    <n v="0.54499999999999993"/>
    <s v=""/>
    <s v=""/>
    <n v="17.109999999999996"/>
    <n v="4.7849999999999859"/>
    <s v=""/>
    <s v=""/>
    <n v="0"/>
    <s v=""/>
    <s v=""/>
    <s v=""/>
    <s v=""/>
    <b v="1"/>
    <b v="1"/>
    <x v="3"/>
    <n v="11.232988660013838"/>
    <n v="0.26324122787542487"/>
    <n v="0.86551724631847948"/>
    <n v="0.42741592410789103"/>
    <n v="0"/>
    <n v="0"/>
    <n v="1"/>
    <s v=""/>
    <s v=""/>
    <n v="29"/>
    <n v="11"/>
    <s v=""/>
    <s v=""/>
    <n v="1"/>
    <s v=""/>
    <s v=""/>
    <s v=""/>
    <s v=""/>
    <n v="42"/>
    <n v="0"/>
    <n v="0"/>
    <n v="0.94500000000000028"/>
    <s v=""/>
    <s v=""/>
    <n v="28.710000000000008"/>
    <n v="9.1849999999999898"/>
    <s v=""/>
    <s v=""/>
    <n v="0.40000000000000036"/>
    <s v=""/>
    <s v=""/>
    <s v=""/>
    <s v=""/>
    <n v="11.795"/>
    <n v="13.33"/>
    <n v="10"/>
    <n v="11"/>
    <n v="10"/>
    <n v="11"/>
    <n v="8.75"/>
    <n v="10"/>
    <n v="8.91"/>
    <n v="9"/>
    <n v="8.7200000000000006"/>
    <n v="9"/>
    <s v=""/>
    <s v=""/>
    <s v=""/>
    <s v=""/>
    <s v=""/>
    <s v=""/>
    <s v=""/>
    <s v=""/>
    <n v="258.39"/>
    <n v="258.39"/>
    <n v="252.88000000000002"/>
    <n v="257.52000000000004"/>
    <n v="98.01"/>
    <n v="101.42"/>
    <n v="95.92"/>
    <n v="99"/>
    <s v=""/>
    <s v=""/>
    <s v=""/>
    <s v=""/>
    <s v=""/>
    <s v=""/>
    <s v=""/>
    <s v=""/>
    <n v="9"/>
    <n v="10"/>
    <n v="8.75"/>
    <n v="9"/>
    <s v=""/>
    <s v=""/>
    <s v=""/>
    <s v=""/>
    <s v=""/>
    <s v=""/>
    <s v=""/>
    <s v=""/>
    <s v=""/>
    <s v=""/>
    <s v=""/>
    <s v=""/>
    <s v=""/>
    <s v=""/>
    <s v=""/>
    <s v=""/>
    <s v=""/>
    <s v=""/>
    <s v=""/>
    <s v=""/>
    <n v="1"/>
    <n v="1"/>
    <n v="1"/>
    <n v="0"/>
    <n v="0"/>
    <n v="29"/>
    <n v="11"/>
    <n v="0"/>
    <n v="0"/>
    <n v="1"/>
    <n v="0"/>
    <n v="0"/>
    <n v="0"/>
    <n v="0"/>
    <n v="0"/>
  </r>
  <r>
    <m/>
    <m/>
    <m/>
    <m/>
    <m/>
    <m/>
    <n v="36"/>
    <n v="20"/>
    <m/>
    <n v="1"/>
    <m/>
    <m/>
    <m/>
    <m/>
    <m/>
    <m/>
    <m/>
    <n v="13.332800000000001"/>
    <n v="16.265599999999999"/>
    <n v="12.82"/>
    <n v="15.64"/>
    <n v="1"/>
    <n v="11.4712"/>
    <n v="15.1944"/>
    <n v="11.03"/>
    <n v="14.61"/>
    <n v="1"/>
    <s v="Other manager (specify)"/>
    <n v="10.4"/>
    <n v="14.144"/>
    <n v="10"/>
    <n v="13.6"/>
    <n v="1"/>
    <s v="Other manager (specify)"/>
    <n v="0"/>
    <n v="0"/>
    <n v="0"/>
    <n v="0"/>
    <n v="0"/>
    <s v="Other manager (specify)"/>
    <n v="0"/>
    <n v="0"/>
    <n v="0"/>
    <n v="0"/>
    <n v="0"/>
    <s v="Care Assistant (specify)"/>
    <n v="0"/>
    <n v="0"/>
    <n v="0"/>
    <n v="0"/>
    <n v="0"/>
    <s v="Care Assistant (specify)"/>
    <n v="0"/>
    <n v="0"/>
    <n v="0"/>
    <n v="0"/>
    <n v="0"/>
    <s v="Care Assistant (specify)"/>
    <n v="0"/>
    <n v="0"/>
    <n v="0"/>
    <n v="0"/>
    <n v="0"/>
    <s v="Care Assistant (specify)"/>
    <n v="0"/>
    <n v="0"/>
    <n v="0"/>
    <n v="0"/>
    <n v="0"/>
    <s v="Administrative Officer (specify)"/>
    <n v="8.2680000000000007"/>
    <n v="9.8696000000000002"/>
    <n v="7.95"/>
    <n v="9.49"/>
    <n v="1"/>
    <s v="Administrative Officer (specify)"/>
    <n v="4.4720000000000004"/>
    <n v="8.2680000000000007"/>
    <n v="4.3"/>
    <n v="7.95"/>
    <n v="2"/>
    <s v="Administrative Officer (specify)"/>
    <n v="0"/>
    <n v="0"/>
    <n v="0"/>
    <n v="0"/>
    <n v="0"/>
    <s v="Other staff (specify)"/>
    <n v="0"/>
    <n v="0"/>
    <n v="0"/>
    <n v="0"/>
    <n v="0"/>
    <s v="Other staff (specify)"/>
    <n v="0"/>
    <n v="0"/>
    <n v="0"/>
    <n v="0"/>
    <n v="0"/>
    <s v="Other staff (specify)"/>
    <n v="0"/>
    <n v="0"/>
    <n v="0"/>
    <n v="0"/>
    <n v="0"/>
    <n v="0.03"/>
    <n v="0"/>
    <n v="0"/>
    <n v="0"/>
    <n v="0"/>
    <n v="199"/>
    <n v="117"/>
    <n v="0"/>
    <n v="0"/>
    <n v="0"/>
    <n v="0"/>
    <n v="0"/>
    <n v="0"/>
    <n v="15.1"/>
    <n v="14.65"/>
    <n v="15.27"/>
    <d v="2020-04-01T00:00:00"/>
    <d v="2021-03-31T00:00:00"/>
    <n v="15460"/>
    <n v="32900"/>
    <n v="152171"/>
    <n v="20550"/>
    <n v="10571"/>
    <n v="0"/>
    <n v="5239"/>
    <n v="1864"/>
    <n v="1124"/>
    <n v="1260"/>
    <n v="3683"/>
    <n v="3816"/>
    <n v="3408"/>
    <n v="5353"/>
    <s v="Other - please specify"/>
    <n v="0"/>
    <s v="Other - please specify"/>
    <n v="0"/>
    <n v="1383"/>
    <n v="7982"/>
    <n v="1750"/>
    <n v="7950"/>
    <n v="1271"/>
    <n v="750"/>
    <n v="0"/>
    <n v="0"/>
    <s v="Other - please specify"/>
    <n v="0"/>
    <s v="Other - please specify"/>
    <n v="0"/>
    <n v="0"/>
    <n v="0"/>
    <s v="Other overheads - please specify"/>
    <n v="0"/>
    <s v="Other overheads - please specify"/>
    <n v="0"/>
    <m/>
    <n v="0"/>
    <n v="0"/>
    <m/>
    <d v="2021-10-11T14:59:06"/>
    <x v="0"/>
    <n v="20"/>
    <x v="1"/>
    <n v="13.332800000000001"/>
    <n v="16.265599999999999"/>
    <n v="12.82"/>
    <n v="15.64"/>
    <n v="11.4712"/>
    <n v="15.1944"/>
    <n v="11.03"/>
    <n v="14.61"/>
    <n v="10.4"/>
    <n v="14.144"/>
    <n v="10"/>
    <n v="13.6"/>
    <s v=""/>
    <s v=""/>
    <s v=""/>
    <s v=""/>
    <s v=""/>
    <s v=""/>
    <s v=""/>
    <s v=""/>
    <s v=""/>
    <s v=""/>
    <s v=""/>
    <s v=""/>
    <s v=""/>
    <s v=""/>
    <s v=""/>
    <s v=""/>
    <s v=""/>
    <s v=""/>
    <s v=""/>
    <s v=""/>
    <s v=""/>
    <s v=""/>
    <s v=""/>
    <s v=""/>
    <n v="8.2680000000000007"/>
    <n v="9.8696000000000002"/>
    <n v="7.95"/>
    <n v="9.49"/>
    <n v="4.4720000000000004"/>
    <n v="8.2680000000000007"/>
    <n v="4.3"/>
    <n v="7.95"/>
    <s v=""/>
    <s v=""/>
    <s v=""/>
    <s v=""/>
    <s v=""/>
    <s v=""/>
    <s v=""/>
    <s v=""/>
    <s v=""/>
    <s v=""/>
    <s v=""/>
    <s v=""/>
    <s v=""/>
    <s v=""/>
    <s v=""/>
    <s v=""/>
    <n v="13.332800000000001"/>
    <n v="16.265599999999999"/>
    <n v="12.82"/>
    <n v="15.64"/>
    <n v="11.4712"/>
    <n v="15.1944"/>
    <n v="11.03"/>
    <n v="14.61"/>
    <n v="10.4"/>
    <n v="14.144"/>
    <n v="10"/>
    <n v="13.6"/>
    <s v=""/>
    <s v=""/>
    <s v=""/>
    <s v=""/>
    <s v=""/>
    <s v=""/>
    <s v=""/>
    <s v=""/>
    <s v=""/>
    <s v=""/>
    <s v=""/>
    <s v=""/>
    <s v=""/>
    <s v=""/>
    <s v=""/>
    <s v=""/>
    <s v=""/>
    <s v=""/>
    <s v=""/>
    <s v=""/>
    <s v=""/>
    <s v=""/>
    <s v=""/>
    <s v=""/>
    <n v="8.2680000000000007"/>
    <n v="9.8696000000000002"/>
    <n v="7.95"/>
    <n v="9.49"/>
    <n v="4.4720000000000004"/>
    <n v="8.2680000000000007"/>
    <n v="4.3"/>
    <n v="7.95"/>
    <s v=""/>
    <s v=""/>
    <s v=""/>
    <s v=""/>
    <s v=""/>
    <s v=""/>
    <s v=""/>
    <s v=""/>
    <s v=""/>
    <s v=""/>
    <s v=""/>
    <s v=""/>
    <s v=""/>
    <s v=""/>
    <s v=""/>
    <s v=""/>
    <n v="3"/>
    <n v="0"/>
    <n v="3"/>
    <n v="0"/>
    <n v="6"/>
    <x v="2"/>
    <n v="316"/>
    <n v="0"/>
    <e v="#VALUE!"/>
    <e v="#VALUE!"/>
    <e v="#VALUE!"/>
    <e v="#VALUE!"/>
    <x v="0"/>
    <n v="224419"/>
    <n v="17520"/>
    <n v="21086"/>
    <n v="0"/>
    <n v="2.1280724450194048"/>
    <n v="9.8428848641655886"/>
    <n v="1.3292367399741267"/>
    <n v="0.68376455368693401"/>
    <n v="0"/>
    <n v="0.33887451487710218"/>
    <n v="0.12056921086675292"/>
    <n v="7.2703751617076331E-2"/>
    <n v="8.1500646830530404E-2"/>
    <n v="0.23822768434670116"/>
    <n v="0.24683053040103492"/>
    <n v="0.22043984476067272"/>
    <n v="0.34624838292367399"/>
    <n v="0"/>
    <n v="0"/>
    <n v="8.9456662354463132E-2"/>
    <n v="0.51630012936610603"/>
    <n v="0.11319534282018111"/>
    <n v="0.51423027166882274"/>
    <n v="8.2212160413971544E-2"/>
    <n v="4.8512289780077621E-2"/>
    <n v="0"/>
    <n v="0"/>
    <n v="0"/>
    <n v="0"/>
    <n v="0"/>
    <n v="0"/>
    <n v="0"/>
    <n v="0"/>
    <n v="17.013260025873215"/>
    <s v=""/>
    <n v="0"/>
    <n v="36"/>
    <x v="0"/>
    <x v="1"/>
    <x v="1"/>
    <x v="1"/>
    <x v="0"/>
    <b v="1"/>
    <b v="1"/>
    <n v="0"/>
    <n v="0"/>
    <n v="0"/>
    <s v=""/>
    <s v=""/>
    <s v=""/>
    <s v=""/>
    <s v=""/>
    <s v=""/>
    <n v="1"/>
    <n v="2"/>
    <s v=""/>
    <s v=""/>
    <s v=""/>
    <n v="3"/>
    <n v="0"/>
    <n v="0"/>
    <n v="0"/>
    <s v=""/>
    <s v=""/>
    <s v=""/>
    <s v=""/>
    <s v=""/>
    <s v=""/>
    <n v="0.43120000000000047"/>
    <n v="6.259999999999998"/>
    <s v=""/>
    <s v=""/>
    <s v=""/>
    <b v="1"/>
    <b v="0"/>
    <x v="2"/>
    <n v="14.516106080206985"/>
    <n v="1.1332470892626132"/>
    <n v="1.3639068564036221"/>
    <n v="0"/>
    <n v="0"/>
    <n v="0"/>
    <n v="0"/>
    <s v=""/>
    <s v=""/>
    <s v=""/>
    <s v=""/>
    <s v=""/>
    <s v=""/>
    <n v="1"/>
    <n v="2"/>
    <s v=""/>
    <s v=""/>
    <s v=""/>
    <n v="3"/>
    <n v="0"/>
    <n v="0"/>
    <n v="0"/>
    <s v=""/>
    <s v=""/>
    <s v=""/>
    <s v=""/>
    <s v=""/>
    <s v=""/>
    <n v="0.83120000000000083"/>
    <n v="7.0599999999999987"/>
    <s v=""/>
    <s v=""/>
    <s v=""/>
    <n v="13.332800000000001"/>
    <n v="16.265599999999999"/>
    <n v="12.82"/>
    <n v="15.64"/>
    <n v="11.4712"/>
    <n v="15.1944"/>
    <n v="11.03"/>
    <n v="14.61"/>
    <n v="10.4"/>
    <n v="14.144"/>
    <n v="10"/>
    <n v="13.6"/>
    <s v=""/>
    <s v=""/>
    <s v=""/>
    <s v=""/>
    <s v=""/>
    <s v=""/>
    <s v=""/>
    <s v=""/>
    <s v=""/>
    <s v=""/>
    <s v=""/>
    <s v=""/>
    <s v=""/>
    <s v=""/>
    <s v=""/>
    <s v=""/>
    <s v=""/>
    <s v=""/>
    <s v=""/>
    <s v=""/>
    <s v=""/>
    <s v=""/>
    <s v=""/>
    <s v=""/>
    <n v="8.2680000000000007"/>
    <n v="9.8696000000000002"/>
    <n v="7.95"/>
    <n v="9.49"/>
    <n v="8.9440000000000008"/>
    <n v="16.536000000000001"/>
    <n v="8.6"/>
    <n v="15.9"/>
    <s v=""/>
    <s v=""/>
    <s v=""/>
    <s v=""/>
    <s v=""/>
    <s v=""/>
    <s v=""/>
    <s v=""/>
    <s v=""/>
    <s v=""/>
    <s v=""/>
    <s v=""/>
    <s v=""/>
    <s v=""/>
    <s v=""/>
    <s v=""/>
    <n v="1"/>
    <n v="1"/>
    <n v="1"/>
    <n v="0"/>
    <n v="0"/>
    <n v="0"/>
    <n v="0"/>
    <n v="0"/>
    <n v="0"/>
    <n v="1"/>
    <n v="2"/>
    <n v="0"/>
    <n v="0"/>
    <n v="0"/>
    <n v="0"/>
  </r>
  <r>
    <m/>
    <m/>
    <m/>
    <m/>
    <m/>
    <m/>
    <n v="37"/>
    <n v="0"/>
    <n v="9"/>
    <n v="1E-3"/>
    <n v="0.99990000000000001"/>
    <s v="Leased or Rented"/>
    <s v="Leased or Rented"/>
    <m/>
    <m/>
    <m/>
    <m/>
    <n v="23.59"/>
    <n v="23.59"/>
    <n v="21.54"/>
    <n v="21.54"/>
    <n v="1"/>
    <n v="13.85"/>
    <n v="13.85"/>
    <n v="13.3"/>
    <n v="13.3"/>
    <n v="1"/>
    <s v="Other manager (specify)"/>
    <n v="0"/>
    <n v="0"/>
    <n v="0"/>
    <n v="0"/>
    <n v="0"/>
    <s v="Other manager (specify)"/>
    <n v="0"/>
    <n v="0"/>
    <n v="0"/>
    <n v="0"/>
    <n v="0"/>
    <s v="Other manager (specify)"/>
    <n v="0"/>
    <n v="0"/>
    <n v="0"/>
    <n v="0"/>
    <n v="0"/>
    <s v="Basic Grade Support Staff"/>
    <n v="9.75"/>
    <n v="9.75"/>
    <n v="9.25"/>
    <n v="9.25"/>
    <n v="26"/>
    <s v="Senior Support Staff"/>
    <n v="11.5"/>
    <n v="11.75"/>
    <n v="11"/>
    <n v="11"/>
    <n v="4"/>
    <s v="Team Leaders"/>
    <n v="12.5"/>
    <n v="12.5"/>
    <n v="12"/>
    <n v="12"/>
    <n v="3"/>
    <s v="Care Assistant (specify)"/>
    <n v="0"/>
    <n v="0"/>
    <n v="0"/>
    <n v="0"/>
    <n v="0"/>
    <s v="Admn support"/>
    <n v="11.5"/>
    <n v="11.5"/>
    <n v="11"/>
    <n v="11"/>
    <n v="0.8"/>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110"/>
    <n v="1084"/>
    <n v="168"/>
    <n v="0"/>
    <n v="0"/>
    <n v="0"/>
    <n v="18.25"/>
    <n v="0"/>
    <n v="17.559999999999999"/>
    <d v="2019-01-01T00:00:00"/>
    <d v="2020-12-31T00:00:00"/>
    <n v="56030"/>
    <n v="54600"/>
    <n v="503063"/>
    <n v="19549"/>
    <n v="0"/>
    <n v="53515"/>
    <n v="8650"/>
    <n v="0"/>
    <n v="13001"/>
    <n v="2480"/>
    <n v="0"/>
    <n v="15690"/>
    <n v="4680"/>
    <n v="2379"/>
    <s v="Printing, Postage &amp; stationary"/>
    <n v="1440"/>
    <s v="Commission on placement"/>
    <n v="15000"/>
    <n v="3850"/>
    <n v="2950"/>
    <n v="280"/>
    <n v="12000"/>
    <n v="860"/>
    <n v="4890"/>
    <n v="0"/>
    <n v="0"/>
    <s v="Cleaning"/>
    <n v="1850"/>
    <m/>
    <m/>
    <n v="28000"/>
    <n v="8600"/>
    <s v="Admin Support"/>
    <n v="6500"/>
    <s v="Other overheads - please specify"/>
    <n v="0"/>
    <n v="97932"/>
    <n v="0"/>
    <n v="850000"/>
    <m/>
    <d v="2021-10-11T14:59:09"/>
    <x v="4"/>
    <n v="9"/>
    <x v="0"/>
    <n v="23.59"/>
    <n v="23.59"/>
    <n v="21.54"/>
    <n v="21.54"/>
    <n v="13.85"/>
    <n v="13.85"/>
    <n v="13.3"/>
    <n v="13.3"/>
    <s v=""/>
    <s v=""/>
    <s v=""/>
    <s v=""/>
    <s v=""/>
    <s v=""/>
    <s v=""/>
    <s v=""/>
    <s v=""/>
    <s v=""/>
    <s v=""/>
    <s v=""/>
    <n v="9.75"/>
    <n v="9.75"/>
    <n v="9.25"/>
    <n v="9.25"/>
    <n v="11.5"/>
    <n v="11.75"/>
    <n v="11"/>
    <n v="11"/>
    <n v="12.5"/>
    <n v="12.5"/>
    <n v="12"/>
    <n v="12"/>
    <s v=""/>
    <s v=""/>
    <s v=""/>
    <s v=""/>
    <n v="11.5"/>
    <n v="11.5"/>
    <n v="11"/>
    <n v="11"/>
    <s v=""/>
    <s v=""/>
    <s v=""/>
    <s v=""/>
    <s v=""/>
    <s v=""/>
    <s v=""/>
    <s v=""/>
    <s v=""/>
    <s v=""/>
    <s v=""/>
    <s v=""/>
    <s v=""/>
    <s v=""/>
    <s v=""/>
    <s v=""/>
    <s v=""/>
    <s v=""/>
    <s v=""/>
    <s v=""/>
    <n v="23.59"/>
    <n v="23.59"/>
    <n v="21.54"/>
    <n v="21.54"/>
    <n v="13.85"/>
    <n v="13.85"/>
    <n v="13.3"/>
    <n v="13.3"/>
    <s v=""/>
    <s v=""/>
    <s v=""/>
    <s v=""/>
    <s v=""/>
    <s v=""/>
    <s v=""/>
    <s v=""/>
    <s v=""/>
    <s v=""/>
    <s v=""/>
    <s v=""/>
    <n v="9.75"/>
    <n v="9.75"/>
    <n v="9.25"/>
    <n v="9.25"/>
    <n v="11.5"/>
    <n v="11.75"/>
    <n v="11"/>
    <n v="11"/>
    <n v="12.5"/>
    <n v="12.5"/>
    <n v="12"/>
    <n v="12"/>
    <s v=""/>
    <s v=""/>
    <s v=""/>
    <s v=""/>
    <n v="11.5"/>
    <n v="11.5"/>
    <n v="11"/>
    <n v="11"/>
    <s v=""/>
    <s v=""/>
    <s v=""/>
    <s v=""/>
    <s v=""/>
    <s v=""/>
    <s v=""/>
    <s v=""/>
    <s v=""/>
    <s v=""/>
    <s v=""/>
    <s v=""/>
    <s v=""/>
    <s v=""/>
    <s v=""/>
    <s v=""/>
    <s v=""/>
    <s v=""/>
    <s v=""/>
    <s v=""/>
    <n v="2"/>
    <n v="33"/>
    <n v="0.8"/>
    <n v="0"/>
    <n v="35.799999999999997"/>
    <x v="0"/>
    <n v="0"/>
    <n v="1362"/>
    <e v="#VALUE!"/>
    <e v="#VALUE!"/>
    <e v="#VALUE!"/>
    <e v="#VALUE!"/>
    <x v="0"/>
    <n v="652378"/>
    <n v="41669"/>
    <n v="26680"/>
    <n v="43100"/>
    <n v="0.97447795823665895"/>
    <n v="8.9784579689452073"/>
    <n v="0.3489023737283598"/>
    <n v="0"/>
    <n v="0.95511333214349459"/>
    <n v="0.15438158129573443"/>
    <n v="0"/>
    <n v="0.23203640906657147"/>
    <n v="4.4262002498661433E-2"/>
    <n v="0"/>
    <n v="0.28002855613064431"/>
    <n v="8.3526682134570762E-2"/>
    <n v="4.2459396751740139E-2"/>
    <n v="2.5700517579867927E-2"/>
    <n v="0.26771372479029093"/>
    <n v="6.8713189362841334E-2"/>
    <n v="5.2650365875423877E-2"/>
    <n v="4.9973228627520974E-3"/>
    <n v="0.21417097983223274"/>
    <n v="1.5348920221310012E-2"/>
    <n v="8.7274674281634837E-2"/>
    <n v="0"/>
    <n v="0"/>
    <n v="3.3018026057469216E-2"/>
    <n v="0"/>
    <n v="0.49973228627520971"/>
    <n v="0.15348920221310011"/>
    <n v="0.11600928074245939"/>
    <n v="0"/>
    <n v="13.63246475102623"/>
    <n v="1.7478493664108514"/>
    <n v="0"/>
    <n v="37"/>
    <x v="1"/>
    <x v="0"/>
    <x v="0"/>
    <x v="0"/>
    <x v="1"/>
    <b v="0"/>
    <b v="0"/>
    <n v="0"/>
    <n v="0"/>
    <s v=""/>
    <s v=""/>
    <s v=""/>
    <n v="0"/>
    <n v="0"/>
    <n v="0"/>
    <s v=""/>
    <n v="0"/>
    <s v=""/>
    <s v=""/>
    <s v=""/>
    <s v=""/>
    <n v="0"/>
    <n v="0"/>
    <n v="0"/>
    <s v=""/>
    <s v=""/>
    <s v=""/>
    <n v="0"/>
    <n v="0"/>
    <n v="0"/>
    <s v=""/>
    <n v="0"/>
    <s v=""/>
    <s v=""/>
    <s v=""/>
    <s v=""/>
    <b v="1"/>
    <b v="1"/>
    <x v="3"/>
    <n v="11.643369623416024"/>
    <n v="0.74369087988577554"/>
    <n v="0.47617347849366409"/>
    <n v="0.76923076923076927"/>
    <n v="0"/>
    <n v="0"/>
    <s v=""/>
    <s v=""/>
    <s v=""/>
    <n v="26"/>
    <n v="0"/>
    <n v="0"/>
    <s v=""/>
    <n v="0"/>
    <s v=""/>
    <s v=""/>
    <s v=""/>
    <s v=""/>
    <n v="26"/>
    <n v="0"/>
    <n v="0"/>
    <s v=""/>
    <s v=""/>
    <s v=""/>
    <n v="3.9000000000000092"/>
    <n v="0"/>
    <n v="0"/>
    <s v=""/>
    <n v="0"/>
    <s v=""/>
    <s v=""/>
    <s v=""/>
    <s v=""/>
    <n v="23.59"/>
    <n v="23.59"/>
    <n v="21.54"/>
    <n v="21.54"/>
    <n v="13.85"/>
    <n v="13.85"/>
    <n v="13.3"/>
    <n v="13.3"/>
    <s v=""/>
    <s v=""/>
    <s v=""/>
    <s v=""/>
    <s v=""/>
    <s v=""/>
    <s v=""/>
    <s v=""/>
    <s v=""/>
    <s v=""/>
    <s v=""/>
    <s v=""/>
    <n v="253.5"/>
    <n v="253.5"/>
    <n v="240.5"/>
    <n v="240.5"/>
    <n v="46"/>
    <n v="47"/>
    <n v="44"/>
    <n v="44"/>
    <n v="37.5"/>
    <n v="37.5"/>
    <n v="36"/>
    <n v="36"/>
    <s v=""/>
    <s v=""/>
    <s v=""/>
    <s v=""/>
    <n v="9.2000000000000011"/>
    <n v="9.2000000000000011"/>
    <n v="8.8000000000000007"/>
    <n v="8.8000000000000007"/>
    <s v=""/>
    <s v=""/>
    <s v=""/>
    <s v=""/>
    <s v=""/>
    <s v=""/>
    <s v=""/>
    <s v=""/>
    <s v=""/>
    <s v=""/>
    <s v=""/>
    <s v=""/>
    <s v=""/>
    <s v=""/>
    <s v=""/>
    <s v=""/>
    <s v=""/>
    <s v=""/>
    <s v=""/>
    <s v=""/>
    <n v="1"/>
    <n v="1"/>
    <n v="0"/>
    <n v="0"/>
    <n v="0"/>
    <n v="26"/>
    <n v="4"/>
    <n v="3"/>
    <n v="0"/>
    <n v="0.8"/>
    <n v="0"/>
    <n v="0"/>
    <n v="0"/>
    <n v="0"/>
    <n v="0"/>
  </r>
  <r>
    <m/>
    <m/>
    <m/>
    <m/>
    <m/>
    <m/>
    <n v="38"/>
    <n v="8"/>
    <n v="0"/>
    <n v="0.98"/>
    <n v="0"/>
    <s v="Leased or Rented"/>
    <s v="Leased or Rented"/>
    <m/>
    <m/>
    <m/>
    <m/>
    <n v="15"/>
    <n v="15"/>
    <n v="13"/>
    <n v="13"/>
    <n v="37"/>
    <n v="0"/>
    <n v="0"/>
    <n v="0"/>
    <n v="0"/>
    <n v="0"/>
    <s v="Other manager (specify)"/>
    <n v="0"/>
    <n v="0"/>
    <n v="0"/>
    <n v="0"/>
    <n v="0"/>
    <s v="Other manager (specify)"/>
    <n v="0"/>
    <n v="0"/>
    <n v="0"/>
    <n v="0"/>
    <n v="0"/>
    <s v="Other manager (specify)"/>
    <n v="0"/>
    <n v="0"/>
    <n v="0"/>
    <n v="0"/>
    <n v="0"/>
    <s v="Care Assistant (specify) Senior"/>
    <n v="10"/>
    <n v="10"/>
    <n v="9.5"/>
    <n v="9.5"/>
    <n v="40"/>
    <s v="Care Assistant (specify) "/>
    <n v="8.91"/>
    <n v="8.91"/>
    <n v="8.76"/>
    <n v="8.76"/>
    <n v="40"/>
    <s v="Care Assistant (specify)"/>
    <n v="0"/>
    <n v="0"/>
    <n v="0"/>
    <n v="0"/>
    <n v="0"/>
    <s v="Care Assistant (specify)"/>
    <n v="0"/>
    <n v="0"/>
    <n v="0"/>
    <n v="0"/>
    <n v="0"/>
    <s v="Administrative Officer (specify)"/>
    <n v="8.91"/>
    <n v="8.91"/>
    <n v="8.76"/>
    <n v="8.76"/>
    <n v="37"/>
    <s v="Administrative Officer (specify)"/>
    <n v="0"/>
    <n v="0"/>
    <n v="0"/>
    <n v="0"/>
    <n v="0"/>
    <s v="Administrative Officer (specify)"/>
    <n v="0"/>
    <n v="0"/>
    <n v="0"/>
    <n v="0"/>
    <n v="0"/>
    <s v="Other staff (specify) cleaner"/>
    <n v="8.91"/>
    <n v="8.91"/>
    <n v="8.76"/>
    <n v="8.76"/>
    <n v="10"/>
    <s v="Other staff (specify) Maintenance"/>
    <n v="8.91"/>
    <n v="8.91"/>
    <n v="8.76"/>
    <n v="8.76"/>
    <n v="10"/>
    <s v="Other staff (specify)"/>
    <n v="0"/>
    <n v="0"/>
    <n v="0"/>
    <n v="0"/>
    <n v="0"/>
    <n v="0.19"/>
    <n v="300"/>
    <n v="0"/>
    <n v="476"/>
    <n v="0"/>
    <n v="0"/>
    <n v="0"/>
    <n v="0"/>
    <n v="0"/>
    <n v="0"/>
    <n v="0"/>
    <n v="0"/>
    <n v="0"/>
    <n v="15.58"/>
    <n v="0"/>
    <n v="14"/>
    <d v="2019-10-01T00:00:00"/>
    <d v="2020-09-30T00:00:00"/>
    <n v="9312"/>
    <n v="18036"/>
    <n v="85182.2"/>
    <n v="8618.25"/>
    <n v="0"/>
    <n v="0"/>
    <n v="22043"/>
    <n v="4259.13"/>
    <n v="70000"/>
    <n v="8000"/>
    <n v="8000"/>
    <n v="5000"/>
    <n v="4000"/>
    <n v="5000"/>
    <s v="Other - please specify"/>
    <n v="0"/>
    <s v="Other - please specify"/>
    <n v="0"/>
    <n v="12936"/>
    <n v="1600"/>
    <n v="2000"/>
    <n v="20280"/>
    <n v="1470"/>
    <n v="1000"/>
    <n v="19510"/>
    <n v="8500"/>
    <s v="Other - please specify"/>
    <n v="0"/>
    <s v="Other - please specify"/>
    <n v="0"/>
    <n v="0"/>
    <n v="50000"/>
    <s v="Other overheads - please specify"/>
    <n v="0"/>
    <s v="Other overheads - please specify"/>
    <n v="0"/>
    <n v="30649"/>
    <n v="24374"/>
    <n v="15000"/>
    <m/>
    <d v="2021-10-11T14:59:11"/>
    <x v="0"/>
    <n v="8"/>
    <x v="0"/>
    <n v="15"/>
    <n v="15"/>
    <n v="13"/>
    <n v="13"/>
    <s v=""/>
    <s v=""/>
    <s v=""/>
    <s v=""/>
    <s v=""/>
    <s v=""/>
    <s v=""/>
    <s v=""/>
    <s v=""/>
    <s v=""/>
    <s v=""/>
    <s v=""/>
    <s v=""/>
    <s v=""/>
    <s v=""/>
    <s v=""/>
    <n v="10"/>
    <n v="10"/>
    <n v="9.5"/>
    <n v="9.5"/>
    <n v="8.91"/>
    <n v="8.91"/>
    <n v="8.76"/>
    <n v="8.76"/>
    <s v=""/>
    <s v=""/>
    <s v=""/>
    <s v=""/>
    <s v=""/>
    <s v=""/>
    <s v=""/>
    <s v=""/>
    <n v="8.91"/>
    <n v="8.91"/>
    <n v="8.76"/>
    <n v="8.76"/>
    <s v=""/>
    <s v=""/>
    <s v=""/>
    <s v=""/>
    <s v=""/>
    <s v=""/>
    <s v=""/>
    <s v=""/>
    <n v="8.91"/>
    <n v="8.91"/>
    <n v="8.76"/>
    <n v="8.76"/>
    <n v="8.91"/>
    <n v="8.91"/>
    <n v="8.76"/>
    <n v="8.76"/>
    <s v=""/>
    <s v=""/>
    <s v=""/>
    <s v=""/>
    <n v="15"/>
    <n v="15"/>
    <n v="13"/>
    <n v="13"/>
    <s v=""/>
    <s v=""/>
    <s v=""/>
    <s v=""/>
    <s v=""/>
    <s v=""/>
    <s v=""/>
    <s v=""/>
    <s v=""/>
    <s v=""/>
    <s v=""/>
    <s v=""/>
    <s v=""/>
    <s v=""/>
    <s v=""/>
    <s v=""/>
    <n v="10"/>
    <n v="10"/>
    <n v="9.5"/>
    <n v="9.5"/>
    <n v="8.91"/>
    <n v="8.91"/>
    <n v="8.76"/>
    <n v="8.76"/>
    <s v=""/>
    <s v=""/>
    <s v=""/>
    <s v=""/>
    <s v=""/>
    <s v=""/>
    <s v=""/>
    <s v=""/>
    <n v="8.91"/>
    <n v="8.91"/>
    <n v="8.76"/>
    <n v="8.76"/>
    <s v=""/>
    <s v=""/>
    <s v=""/>
    <s v=""/>
    <s v=""/>
    <s v=""/>
    <s v=""/>
    <s v=""/>
    <n v="8.91"/>
    <n v="8.91"/>
    <n v="8.76"/>
    <n v="8.76"/>
    <n v="8.91"/>
    <n v="8.91"/>
    <n v="8.76"/>
    <n v="8.76"/>
    <s v=""/>
    <s v=""/>
    <s v=""/>
    <s v=""/>
    <n v="37"/>
    <n v="80"/>
    <n v="37"/>
    <n v="20"/>
    <n v="174"/>
    <x v="2"/>
    <n v="776"/>
    <n v="0"/>
    <e v="#VALUE!"/>
    <e v="#VALUE!"/>
    <e v="#VALUE!"/>
    <e v="#VALUE!"/>
    <x v="0"/>
    <n v="208138.58000000002"/>
    <n v="30000"/>
    <n v="67296"/>
    <n v="50000"/>
    <n v="1.9368556701030928"/>
    <n v="9.1475730240549833"/>
    <n v="0.92549935567010311"/>
    <n v="0"/>
    <n v="0"/>
    <n v="2.3671606529209623"/>
    <n v="0.45738079896907219"/>
    <n v="7.5171821305841924"/>
    <n v="0.85910652920962194"/>
    <n v="0.85910652920962194"/>
    <n v="0.53694158075601373"/>
    <n v="0.42955326460481097"/>
    <n v="0.53694158075601373"/>
    <n v="0"/>
    <n v="0"/>
    <n v="1.3891752577319587"/>
    <n v="0.1718213058419244"/>
    <n v="0.21477663230240548"/>
    <n v="2.1778350515463916"/>
    <n v="0.15786082474226804"/>
    <n v="0.10738831615120274"/>
    <n v="2.0951460481099655"/>
    <n v="0.91280068728522334"/>
    <n v="0"/>
    <n v="0"/>
    <n v="0"/>
    <n v="5.369415807560137"/>
    <n v="0"/>
    <n v="0"/>
    <n v="38.169521048109971"/>
    <n v="3.2913445017182132"/>
    <n v="2.6174828178694156"/>
    <n v="38"/>
    <x v="0"/>
    <x v="1"/>
    <x v="1"/>
    <x v="1"/>
    <x v="0"/>
    <b v="1"/>
    <b v="1"/>
    <n v="0"/>
    <s v=""/>
    <s v=""/>
    <s v=""/>
    <s v=""/>
    <n v="0"/>
    <n v="40"/>
    <s v=""/>
    <s v=""/>
    <n v="37"/>
    <s v=""/>
    <n v="10"/>
    <n v="10"/>
    <s v=""/>
    <n v="97"/>
    <n v="0"/>
    <s v=""/>
    <s v=""/>
    <s v=""/>
    <s v=""/>
    <n v="0"/>
    <n v="23.599999999999994"/>
    <s v=""/>
    <s v=""/>
    <n v="21.829999999999995"/>
    <s v=""/>
    <n v="5.8999999999999986"/>
    <n v="5.8999999999999986"/>
    <s v=""/>
    <b v="1"/>
    <b v="1"/>
    <x v="3"/>
    <n v="22.351651632302406"/>
    <n v="3.2216494845360821"/>
    <n v="7.2268041237113394"/>
    <n v="5.369415807560137"/>
    <n v="0"/>
    <s v=""/>
    <s v=""/>
    <s v=""/>
    <s v=""/>
    <n v="0"/>
    <n v="40"/>
    <s v=""/>
    <s v=""/>
    <n v="37"/>
    <s v=""/>
    <n v="10"/>
    <n v="10"/>
    <s v=""/>
    <n v="97"/>
    <n v="0"/>
    <s v=""/>
    <s v=""/>
    <s v=""/>
    <s v=""/>
    <n v="0"/>
    <n v="39.600000000000009"/>
    <s v=""/>
    <s v=""/>
    <n v="36.63000000000001"/>
    <s v=""/>
    <n v="9.9000000000000021"/>
    <n v="9.9000000000000021"/>
    <s v=""/>
    <n v="555"/>
    <n v="555"/>
    <n v="481"/>
    <n v="481"/>
    <s v=""/>
    <s v=""/>
    <s v=""/>
    <s v=""/>
    <s v=""/>
    <s v=""/>
    <s v=""/>
    <s v=""/>
    <s v=""/>
    <s v=""/>
    <s v=""/>
    <s v=""/>
    <s v=""/>
    <s v=""/>
    <s v=""/>
    <s v=""/>
    <n v="400"/>
    <n v="400"/>
    <n v="380"/>
    <n v="380"/>
    <n v="356.4"/>
    <n v="356.4"/>
    <n v="350.4"/>
    <n v="350.4"/>
    <s v=""/>
    <s v=""/>
    <s v=""/>
    <s v=""/>
    <s v=""/>
    <s v=""/>
    <s v=""/>
    <s v=""/>
    <n v="329.67"/>
    <n v="329.67"/>
    <n v="324.12"/>
    <n v="324.12"/>
    <s v=""/>
    <s v=""/>
    <s v=""/>
    <s v=""/>
    <s v=""/>
    <s v=""/>
    <s v=""/>
    <s v=""/>
    <n v="89.1"/>
    <n v="89.1"/>
    <n v="87.6"/>
    <n v="87.6"/>
    <n v="89.1"/>
    <n v="89.1"/>
    <n v="87.6"/>
    <n v="87.6"/>
    <s v=""/>
    <s v=""/>
    <s v=""/>
    <s v=""/>
    <n v="37"/>
    <n v="0"/>
    <n v="0"/>
    <n v="0"/>
    <n v="0"/>
    <n v="40"/>
    <n v="40"/>
    <n v="0"/>
    <n v="0"/>
    <n v="37"/>
    <n v="0"/>
    <n v="0"/>
    <n v="10"/>
    <n v="10"/>
    <n v="0"/>
  </r>
  <r>
    <m/>
    <m/>
    <m/>
    <m/>
    <m/>
    <m/>
    <n v="39"/>
    <n v="0"/>
    <n v="23"/>
    <n v="0"/>
    <n v="1"/>
    <s v="Owned outright"/>
    <s v="Leased or Rented"/>
    <m/>
    <m/>
    <m/>
    <m/>
    <n v="18.84"/>
    <n v="18.84"/>
    <n v="18.47"/>
    <n v="18.47"/>
    <n v="0.14000000000000001"/>
    <n v="0"/>
    <n v="0"/>
    <n v="0"/>
    <n v="0"/>
    <n v="1"/>
    <s v="Other manager (specify)"/>
    <n v="13.03"/>
    <n v="13.03"/>
    <n v="12.78"/>
    <n v="12.78"/>
    <n v="2"/>
    <s v="Other manager (specify)"/>
    <n v="0"/>
    <n v="0"/>
    <n v="0"/>
    <n v="0"/>
    <n v="0"/>
    <s v="Other manager (specify)"/>
    <n v="0"/>
    <n v="0"/>
    <n v="0"/>
    <n v="0"/>
    <n v="0"/>
    <s v="Care Assistant (specify)"/>
    <n v="9.8000000000000007"/>
    <n v="10.3"/>
    <n v="9.59"/>
    <n v="10.09"/>
    <n v="17"/>
    <s v="Care Assistant (specify)"/>
    <n v="0"/>
    <n v="0"/>
    <n v="0"/>
    <n v="0"/>
    <n v="0"/>
    <s v="Care Assistant (specify)"/>
    <n v="0"/>
    <n v="0"/>
    <n v="0"/>
    <n v="0"/>
    <n v="0"/>
    <s v="Care Assistant (specify)"/>
    <n v="0"/>
    <n v="0"/>
    <n v="0"/>
    <n v="0"/>
    <n v="0"/>
    <s v="Care Administrator"/>
    <n v="10.3"/>
    <n v="10.3"/>
    <n v="10.1"/>
    <n v="10.1"/>
    <n v="1"/>
    <s v="Administrative Officer (specify)"/>
    <n v="0"/>
    <n v="0"/>
    <n v="0"/>
    <n v="0"/>
    <n v="0"/>
    <s v="Administrative Officer (specify)"/>
    <n v="0"/>
    <n v="0"/>
    <n v="0"/>
    <n v="0"/>
    <n v="0"/>
    <s v="Domestics"/>
    <n v="0"/>
    <n v="0"/>
    <n v="0"/>
    <n v="0"/>
    <n v="2"/>
    <s v="Other staff (specify)"/>
    <n v="0"/>
    <n v="0"/>
    <n v="0"/>
    <n v="0"/>
    <n v="0"/>
    <s v="Other staff (specify)"/>
    <n v="0"/>
    <n v="0"/>
    <n v="0"/>
    <n v="0"/>
    <n v="0"/>
    <n v="0.05"/>
    <n v="0"/>
    <n v="0"/>
    <n v="0"/>
    <n v="0"/>
    <n v="0"/>
    <n v="0"/>
    <n v="573"/>
    <n v="0"/>
    <n v="0"/>
    <n v="35"/>
    <n v="0"/>
    <n v="69.25"/>
    <n v="15.58"/>
    <n v="17.32"/>
    <n v="14.6"/>
    <d v="2020-04-01T00:00:00"/>
    <d v="2021-03-31T00:00:00"/>
    <n v="35849"/>
    <n v="59169"/>
    <n v="458212"/>
    <n v="22505"/>
    <n v="0"/>
    <n v="0"/>
    <n v="0"/>
    <n v="0"/>
    <n v="10022"/>
    <n v="478"/>
    <n v="0"/>
    <n v="374"/>
    <n v="0"/>
    <n v="3165"/>
    <s v="Other - please specify"/>
    <n v="0"/>
    <s v="Other - please specify"/>
    <n v="0"/>
    <n v="0"/>
    <n v="0"/>
    <n v="0"/>
    <n v="0"/>
    <n v="1100"/>
    <n v="0"/>
    <n v="0"/>
    <n v="0"/>
    <s v="Occupational Health"/>
    <n v="335"/>
    <s v="Other - please specify"/>
    <n v="0"/>
    <n v="0"/>
    <n v="0"/>
    <s v="Cleaning materials"/>
    <n v="983"/>
    <s v="Other overheads - please specify"/>
    <n v="0"/>
    <n v="6349"/>
    <n v="0"/>
    <n v="0"/>
    <m/>
    <d v="2021-10-11T14:59:16"/>
    <x v="0"/>
    <n v="23"/>
    <x v="2"/>
    <n v="18.84"/>
    <n v="18.84"/>
    <n v="18.47"/>
    <n v="18.47"/>
    <s v=""/>
    <s v=""/>
    <s v=""/>
    <s v=""/>
    <n v="13.03"/>
    <n v="13.03"/>
    <n v="12.78"/>
    <n v="12.78"/>
    <s v=""/>
    <s v=""/>
    <s v=""/>
    <s v=""/>
    <s v=""/>
    <s v=""/>
    <s v=""/>
    <s v=""/>
    <n v="9.8000000000000007"/>
    <n v="10.3"/>
    <n v="9.59"/>
    <n v="10.09"/>
    <s v=""/>
    <s v=""/>
    <s v=""/>
    <s v=""/>
    <s v=""/>
    <s v=""/>
    <s v=""/>
    <s v=""/>
    <s v=""/>
    <s v=""/>
    <s v=""/>
    <s v=""/>
    <n v="10.3"/>
    <n v="10.3"/>
    <n v="10.1"/>
    <n v="10.1"/>
    <s v=""/>
    <s v=""/>
    <s v=""/>
    <s v=""/>
    <s v=""/>
    <s v=""/>
    <s v=""/>
    <s v=""/>
    <s v=""/>
    <s v=""/>
    <s v=""/>
    <s v=""/>
    <s v=""/>
    <s v=""/>
    <s v=""/>
    <s v=""/>
    <s v=""/>
    <s v=""/>
    <s v=""/>
    <s v=""/>
    <n v="18.84"/>
    <n v="18.84"/>
    <n v="18.47"/>
    <n v="18.47"/>
    <s v=""/>
    <s v=""/>
    <s v=""/>
    <s v=""/>
    <n v="13.03"/>
    <n v="13.03"/>
    <n v="12.78"/>
    <n v="12.78"/>
    <s v=""/>
    <s v=""/>
    <s v=""/>
    <s v=""/>
    <s v=""/>
    <s v=""/>
    <s v=""/>
    <s v=""/>
    <n v="9.8000000000000007"/>
    <n v="10.3"/>
    <n v="9.59"/>
    <n v="10.09"/>
    <s v=""/>
    <s v=""/>
    <s v=""/>
    <s v=""/>
    <s v=""/>
    <s v=""/>
    <s v=""/>
    <s v=""/>
    <s v=""/>
    <s v=""/>
    <s v=""/>
    <s v=""/>
    <n v="10.3"/>
    <n v="10.3"/>
    <n v="10.1"/>
    <n v="10.1"/>
    <s v=""/>
    <s v=""/>
    <s v=""/>
    <s v=""/>
    <s v=""/>
    <s v=""/>
    <s v=""/>
    <s v=""/>
    <s v=""/>
    <s v=""/>
    <s v=""/>
    <s v=""/>
    <s v=""/>
    <s v=""/>
    <s v=""/>
    <s v=""/>
    <s v=""/>
    <s v=""/>
    <s v=""/>
    <s v=""/>
    <n v="3.14"/>
    <n v="17"/>
    <n v="1"/>
    <n v="2"/>
    <n v="23.14"/>
    <x v="0"/>
    <n v="0"/>
    <n v="677.25"/>
    <e v="#VALUE!"/>
    <e v="#VALUE!"/>
    <e v="#VALUE!"/>
    <e v="#VALUE!"/>
    <x v="0"/>
    <n v="549908"/>
    <n v="4017"/>
    <n v="1435"/>
    <n v="983"/>
    <n v="1.6505062902730898"/>
    <n v="12.781723339563168"/>
    <n v="0.6277720438505956"/>
    <n v="0"/>
    <n v="0"/>
    <n v="0"/>
    <n v="0"/>
    <n v="0.27956149404446429"/>
    <n v="1.3333705263745154E-2"/>
    <n v="0"/>
    <n v="1.0432648051549556E-2"/>
    <n v="0"/>
    <n v="8.8286981505760267E-2"/>
    <n v="0"/>
    <n v="0"/>
    <n v="0"/>
    <n v="0"/>
    <n v="0"/>
    <n v="0"/>
    <n v="3.0684258975145751E-2"/>
    <n v="0"/>
    <n v="0"/>
    <n v="0"/>
    <n v="9.3447515969762064E-3"/>
    <n v="0"/>
    <n v="0"/>
    <n v="0"/>
    <n v="2.7420569611425701E-2"/>
    <n v="0"/>
    <n v="15.519066082735922"/>
    <n v="0.17710396384836397"/>
    <n v="0"/>
    <n v="39"/>
    <x v="0"/>
    <x v="0"/>
    <x v="0"/>
    <x v="0"/>
    <x v="1"/>
    <b v="0"/>
    <b v="1"/>
    <n v="0"/>
    <s v=""/>
    <n v="0"/>
    <s v=""/>
    <s v=""/>
    <n v="0"/>
    <s v=""/>
    <s v=""/>
    <s v=""/>
    <n v="0"/>
    <s v=""/>
    <s v=""/>
    <s v=""/>
    <s v=""/>
    <n v="0"/>
    <n v="0"/>
    <s v=""/>
    <n v="0"/>
    <s v=""/>
    <s v=""/>
    <n v="0"/>
    <s v=""/>
    <s v=""/>
    <s v=""/>
    <n v="0"/>
    <s v=""/>
    <s v=""/>
    <s v=""/>
    <s v=""/>
    <b v="1"/>
    <b v="1"/>
    <x v="3"/>
    <n v="15.339563167731319"/>
    <n v="0.11205333482105498"/>
    <n v="4.0029010572121958E-2"/>
    <n v="2.7420569611425701E-2"/>
    <n v="0"/>
    <s v=""/>
    <n v="0"/>
    <s v=""/>
    <s v=""/>
    <n v="0"/>
    <s v=""/>
    <s v=""/>
    <s v=""/>
    <n v="0"/>
    <s v=""/>
    <s v=""/>
    <s v=""/>
    <s v=""/>
    <n v="0"/>
    <n v="0"/>
    <s v=""/>
    <n v="0"/>
    <s v=""/>
    <s v=""/>
    <n v="0"/>
    <s v=""/>
    <s v=""/>
    <s v=""/>
    <n v="0"/>
    <s v=""/>
    <s v=""/>
    <s v=""/>
    <s v=""/>
    <n v="2.6376000000000004"/>
    <n v="2.6376000000000004"/>
    <n v="2.5857999999999999"/>
    <n v="2.5857999999999999"/>
    <s v=""/>
    <s v=""/>
    <s v=""/>
    <s v=""/>
    <n v="26.06"/>
    <n v="26.06"/>
    <n v="25.56"/>
    <n v="25.56"/>
    <s v=""/>
    <s v=""/>
    <s v=""/>
    <s v=""/>
    <s v=""/>
    <s v=""/>
    <s v=""/>
    <s v=""/>
    <n v="166.60000000000002"/>
    <n v="175.10000000000002"/>
    <n v="163.03"/>
    <n v="171.53"/>
    <s v=""/>
    <s v=""/>
    <s v=""/>
    <s v=""/>
    <s v=""/>
    <s v=""/>
    <s v=""/>
    <s v=""/>
    <s v=""/>
    <s v=""/>
    <s v=""/>
    <s v=""/>
    <n v="10.3"/>
    <n v="10.3"/>
    <n v="10.1"/>
    <n v="10.1"/>
    <s v=""/>
    <s v=""/>
    <s v=""/>
    <s v=""/>
    <s v=""/>
    <s v=""/>
    <s v=""/>
    <s v=""/>
    <s v=""/>
    <s v=""/>
    <s v=""/>
    <s v=""/>
    <s v=""/>
    <s v=""/>
    <s v=""/>
    <s v=""/>
    <s v=""/>
    <s v=""/>
    <s v=""/>
    <s v=""/>
    <n v="0.14000000000000001"/>
    <n v="0"/>
    <n v="2"/>
    <n v="0"/>
    <n v="0"/>
    <n v="17"/>
    <n v="0"/>
    <n v="0"/>
    <n v="0"/>
    <n v="1"/>
    <n v="0"/>
    <n v="0"/>
    <n v="0"/>
    <n v="0"/>
    <n v="0"/>
  </r>
  <r>
    <m/>
    <m/>
    <m/>
    <m/>
    <m/>
    <m/>
    <n v="40"/>
    <n v="0"/>
    <n v="31"/>
    <n v="0"/>
    <n v="1"/>
    <s v="Owned outright"/>
    <s v="Leased or Rented"/>
    <m/>
    <m/>
    <m/>
    <m/>
    <n v="21.44"/>
    <n v="21.44"/>
    <n v="20.6142"/>
    <n v="20.6142"/>
    <n v="0.14000000000000001"/>
    <n v="0"/>
    <n v="0"/>
    <n v="0"/>
    <n v="0"/>
    <n v="1"/>
    <s v="Other manager (specify)"/>
    <n v="13.03"/>
    <n v="13.03"/>
    <n v="12.709199999999999"/>
    <n v="12.709199999999999"/>
    <n v="2.6"/>
    <s v="Other manager (specify)"/>
    <n v="0"/>
    <n v="0"/>
    <n v="0"/>
    <n v="0"/>
    <n v="0"/>
    <s v="Other manager (specify)"/>
    <n v="0"/>
    <n v="0"/>
    <n v="0"/>
    <n v="0"/>
    <n v="0"/>
    <s v="Care Assistant (specify)"/>
    <n v="9.8000000000000007"/>
    <n v="10.3"/>
    <n v="9.59"/>
    <n v="10.09"/>
    <n v="15"/>
    <s v="Care Assistant (specify)"/>
    <n v="0"/>
    <n v="0"/>
    <n v="0"/>
    <n v="0"/>
    <n v="0"/>
    <s v="Care Assistant (specify)"/>
    <n v="0"/>
    <n v="0"/>
    <n v="0"/>
    <n v="0"/>
    <n v="0"/>
    <s v="Care Assistant (specify)"/>
    <n v="0"/>
    <n v="0"/>
    <n v="0"/>
    <n v="0"/>
    <n v="0"/>
    <s v="Care Administrator"/>
    <n v="10.3"/>
    <n v="10.3"/>
    <n v="9.9041999999999994"/>
    <n v="9.9041999999999994"/>
    <n v="1"/>
    <s v="Administrative Officer (specify)"/>
    <n v="0"/>
    <n v="0"/>
    <n v="0"/>
    <n v="0"/>
    <n v="0"/>
    <s v="Administrative Officer (specify)"/>
    <n v="0"/>
    <n v="0"/>
    <n v="0"/>
    <n v="0"/>
    <n v="0"/>
    <s v="Domestics"/>
    <n v="0"/>
    <n v="0"/>
    <n v="0"/>
    <n v="0"/>
    <n v="2"/>
    <s v="Other staff (specify)"/>
    <n v="0"/>
    <n v="0"/>
    <n v="0"/>
    <n v="0"/>
    <n v="0"/>
    <s v="Other staff (specify)"/>
    <n v="0"/>
    <n v="0"/>
    <n v="0"/>
    <n v="0"/>
    <n v="0"/>
    <n v="0.05"/>
    <n v="0"/>
    <n v="0"/>
    <n v="0"/>
    <n v="0"/>
    <n v="0"/>
    <n v="0"/>
    <n v="588.5"/>
    <n v="0"/>
    <n v="0"/>
    <n v="20.75"/>
    <n v="0"/>
    <n v="28.5"/>
    <n v="15.58"/>
    <n v="17.32"/>
    <n v="15.58"/>
    <d v="2020-04-01T00:00:00"/>
    <d v="2021-03-31T00:00:00"/>
    <n v="30014"/>
    <n v="59163.71"/>
    <n v="402673"/>
    <n v="22505"/>
    <n v="0"/>
    <n v="0"/>
    <n v="0"/>
    <n v="0"/>
    <n v="11403"/>
    <n v="460"/>
    <n v="0"/>
    <n v="1061.28"/>
    <n v="0"/>
    <n v="3107"/>
    <s v="Other - please specify"/>
    <n v="0"/>
    <s v="Other - please specify"/>
    <n v="0"/>
    <n v="0"/>
    <n v="0"/>
    <n v="0"/>
    <n v="0"/>
    <n v="1200"/>
    <n v="0"/>
    <n v="0"/>
    <n v="0"/>
    <s v="Occupational Health"/>
    <n v="2194"/>
    <s v="Other - please specify"/>
    <n v="0"/>
    <n v="0"/>
    <n v="0"/>
    <s v="Other overheads - please specify"/>
    <n v="0"/>
    <s v="Other overheads - please specify"/>
    <n v="0"/>
    <m/>
    <n v="0"/>
    <n v="0"/>
    <m/>
    <d v="2021-10-11T14:59:18"/>
    <x v="0"/>
    <n v="31"/>
    <x v="5"/>
    <n v="21.44"/>
    <n v="21.44"/>
    <n v="20.6142"/>
    <n v="20.6142"/>
    <s v=""/>
    <s v=""/>
    <s v=""/>
    <s v=""/>
    <n v="13.03"/>
    <n v="13.03"/>
    <n v="12.709199999999999"/>
    <n v="12.709199999999999"/>
    <s v=""/>
    <s v=""/>
    <s v=""/>
    <s v=""/>
    <s v=""/>
    <s v=""/>
    <s v=""/>
    <s v=""/>
    <n v="9.8000000000000007"/>
    <n v="10.3"/>
    <n v="9.59"/>
    <n v="10.09"/>
    <s v=""/>
    <s v=""/>
    <s v=""/>
    <s v=""/>
    <s v=""/>
    <s v=""/>
    <s v=""/>
    <s v=""/>
    <s v=""/>
    <s v=""/>
    <s v=""/>
    <s v=""/>
    <n v="10.3"/>
    <n v="10.3"/>
    <n v="9.9041999999999994"/>
    <n v="9.9041999999999994"/>
    <s v=""/>
    <s v=""/>
    <s v=""/>
    <s v=""/>
    <s v=""/>
    <s v=""/>
    <s v=""/>
    <s v=""/>
    <s v=""/>
    <s v=""/>
    <s v=""/>
    <s v=""/>
    <s v=""/>
    <s v=""/>
    <s v=""/>
    <s v=""/>
    <s v=""/>
    <s v=""/>
    <s v=""/>
    <s v=""/>
    <n v="21.44"/>
    <n v="21.44"/>
    <n v="20.6142"/>
    <n v="20.6142"/>
    <s v=""/>
    <s v=""/>
    <s v=""/>
    <s v=""/>
    <n v="13.03"/>
    <n v="13.03"/>
    <n v="12.709199999999999"/>
    <n v="12.709199999999999"/>
    <s v=""/>
    <s v=""/>
    <s v=""/>
    <s v=""/>
    <s v=""/>
    <s v=""/>
    <s v=""/>
    <s v=""/>
    <n v="9.8000000000000007"/>
    <n v="10.3"/>
    <n v="9.59"/>
    <n v="10.09"/>
    <s v=""/>
    <s v=""/>
    <s v=""/>
    <s v=""/>
    <s v=""/>
    <s v=""/>
    <s v=""/>
    <s v=""/>
    <s v=""/>
    <s v=""/>
    <s v=""/>
    <s v=""/>
    <n v="10.3"/>
    <n v="10.3"/>
    <n v="9.9041999999999994"/>
    <n v="9.9041999999999994"/>
    <s v=""/>
    <s v=""/>
    <s v=""/>
    <s v=""/>
    <s v=""/>
    <s v=""/>
    <s v=""/>
    <s v=""/>
    <s v=""/>
    <s v=""/>
    <s v=""/>
    <s v=""/>
    <s v=""/>
    <s v=""/>
    <s v=""/>
    <s v=""/>
    <s v=""/>
    <s v=""/>
    <s v=""/>
    <s v=""/>
    <n v="3.74"/>
    <n v="15"/>
    <n v="1"/>
    <n v="2"/>
    <n v="21.740000000000002"/>
    <x v="0"/>
    <n v="0"/>
    <n v="637.75"/>
    <e v="#VALUE!"/>
    <e v="#VALUE!"/>
    <e v="#VALUE!"/>
    <e v="#VALUE!"/>
    <x v="0"/>
    <n v="495744.71"/>
    <n v="4628.28"/>
    <n v="3394"/>
    <n v="0"/>
    <n v="1.9712037715732658"/>
    <n v="13.416172452855335"/>
    <n v="0.74981675218231492"/>
    <n v="0"/>
    <n v="0"/>
    <n v="0"/>
    <n v="0"/>
    <n v="0.37992270273872192"/>
    <n v="1.5326181115479443E-2"/>
    <n v="0"/>
    <n v="3.5359498900513091E-2"/>
    <n v="0"/>
    <n v="0.10351835809955354"/>
    <n v="0"/>
    <n v="0"/>
    <n v="0"/>
    <n v="0"/>
    <n v="0"/>
    <n v="0"/>
    <n v="3.9981342040381153E-2"/>
    <n v="0"/>
    <n v="0"/>
    <n v="0"/>
    <n v="7.3099220363830208E-2"/>
    <n v="0"/>
    <n v="0"/>
    <n v="0"/>
    <n v="0"/>
    <n v="0"/>
    <n v="16.784400279869391"/>
    <s v=""/>
    <n v="0"/>
    <n v="40"/>
    <x v="0"/>
    <x v="0"/>
    <x v="0"/>
    <x v="0"/>
    <x v="1"/>
    <b v="0"/>
    <b v="1"/>
    <n v="0"/>
    <s v=""/>
    <n v="0"/>
    <s v=""/>
    <s v=""/>
    <n v="0"/>
    <s v=""/>
    <s v=""/>
    <s v=""/>
    <n v="0"/>
    <s v=""/>
    <s v=""/>
    <s v=""/>
    <s v=""/>
    <n v="0"/>
    <n v="0"/>
    <s v=""/>
    <n v="0"/>
    <s v=""/>
    <s v=""/>
    <n v="0"/>
    <s v=""/>
    <s v=""/>
    <s v=""/>
    <n v="0"/>
    <s v=""/>
    <s v=""/>
    <s v=""/>
    <s v=""/>
    <b v="0"/>
    <b v="1"/>
    <x v="1"/>
    <n v="16.517115679349637"/>
    <n v="0.15420403811554606"/>
    <n v="0.11308056240421135"/>
    <n v="0"/>
    <n v="0"/>
    <s v=""/>
    <n v="0"/>
    <s v=""/>
    <s v=""/>
    <n v="0"/>
    <s v=""/>
    <s v=""/>
    <s v=""/>
    <n v="0"/>
    <s v=""/>
    <s v=""/>
    <s v=""/>
    <s v=""/>
    <n v="0"/>
    <n v="0"/>
    <s v=""/>
    <n v="0"/>
    <s v=""/>
    <s v=""/>
    <n v="0"/>
    <s v=""/>
    <s v=""/>
    <s v=""/>
    <n v="0"/>
    <s v=""/>
    <s v=""/>
    <s v=""/>
    <s v=""/>
    <n v="3.0016000000000003"/>
    <n v="3.0016000000000003"/>
    <n v="2.8859880000000002"/>
    <n v="2.8859880000000002"/>
    <s v=""/>
    <s v=""/>
    <s v=""/>
    <s v=""/>
    <n v="33.878"/>
    <n v="33.878"/>
    <n v="33.04392"/>
    <n v="33.04392"/>
    <s v=""/>
    <s v=""/>
    <s v=""/>
    <s v=""/>
    <s v=""/>
    <s v=""/>
    <s v=""/>
    <s v=""/>
    <n v="147"/>
    <n v="154.5"/>
    <n v="143.85"/>
    <n v="151.35"/>
    <s v=""/>
    <s v=""/>
    <s v=""/>
    <s v=""/>
    <s v=""/>
    <s v=""/>
    <s v=""/>
    <s v=""/>
    <s v=""/>
    <s v=""/>
    <s v=""/>
    <s v=""/>
    <n v="10.3"/>
    <n v="10.3"/>
    <n v="9.9041999999999994"/>
    <n v="9.9041999999999994"/>
    <s v=""/>
    <s v=""/>
    <s v=""/>
    <s v=""/>
    <s v=""/>
    <s v=""/>
    <s v=""/>
    <s v=""/>
    <s v=""/>
    <s v=""/>
    <s v=""/>
    <s v=""/>
    <s v=""/>
    <s v=""/>
    <s v=""/>
    <s v=""/>
    <s v=""/>
    <s v=""/>
    <s v=""/>
    <s v=""/>
    <n v="0.14000000000000001"/>
    <n v="0"/>
    <n v="2.6"/>
    <n v="0"/>
    <n v="0"/>
    <n v="15"/>
    <n v="0"/>
    <n v="0"/>
    <n v="0"/>
    <n v="1"/>
    <n v="0"/>
    <n v="0"/>
    <n v="0"/>
    <n v="0"/>
    <n v="0"/>
  </r>
  <r>
    <m/>
    <m/>
    <m/>
    <m/>
    <m/>
    <m/>
    <n v="41"/>
    <n v="32"/>
    <n v="0"/>
    <n v="1"/>
    <m/>
    <s v="Leased or Rented"/>
    <s v="Leased or Rented"/>
    <m/>
    <m/>
    <m/>
    <m/>
    <n v="35"/>
    <n v="35"/>
    <n v="35"/>
    <n v="35"/>
    <n v="2"/>
    <n v="35"/>
    <n v="35"/>
    <n v="35"/>
    <n v="35"/>
    <n v="1"/>
    <s v="Other manager (specify)"/>
    <n v="0"/>
    <n v="0"/>
    <n v="0"/>
    <n v="0"/>
    <n v="0"/>
    <s v="Other manager (specify)"/>
    <n v="0"/>
    <n v="0"/>
    <n v="0"/>
    <n v="0"/>
    <n v="0"/>
    <s v="Other manager (specify)"/>
    <n v="0"/>
    <n v="0"/>
    <n v="0"/>
    <n v="0"/>
    <n v="0"/>
    <s v="Care Assistant (specify)"/>
    <n v="8.91"/>
    <n v="8.91"/>
    <n v="8.7200000000000006"/>
    <n v="8.7200000000000006"/>
    <n v="35"/>
    <s v="Care Assistant (specify)"/>
    <n v="0"/>
    <n v="0"/>
    <n v="0"/>
    <n v="0"/>
    <n v="0"/>
    <s v="Care Assistant (specify)"/>
    <n v="0"/>
    <n v="0"/>
    <n v="0"/>
    <n v="0"/>
    <n v="0"/>
    <s v="Care Assistant (specify)"/>
    <n v="0"/>
    <n v="0"/>
    <n v="0"/>
    <n v="0"/>
    <n v="0"/>
    <s v="Administrative Officer (specify)"/>
    <n v="15"/>
    <n v="15"/>
    <n v="15"/>
    <n v="15"/>
    <n v="2"/>
    <s v="Administrative Officer (specify)"/>
    <n v="0"/>
    <n v="0"/>
    <n v="0"/>
    <n v="0"/>
    <n v="0"/>
    <s v="Administrative Officer (specify)"/>
    <n v="0"/>
    <n v="0"/>
    <n v="0"/>
    <n v="0"/>
    <n v="0"/>
    <s v="Other staff (specify)"/>
    <n v="0"/>
    <n v="0"/>
    <n v="0"/>
    <n v="0"/>
    <n v="0"/>
    <s v="Other staff (specify)"/>
    <n v="0"/>
    <n v="0"/>
    <n v="0"/>
    <n v="0"/>
    <n v="0"/>
    <s v="Other staff (specify)"/>
    <n v="0"/>
    <n v="0"/>
    <n v="0"/>
    <n v="0"/>
    <n v="0"/>
    <m/>
    <n v="429"/>
    <n v="0"/>
    <n v="0"/>
    <n v="0"/>
    <n v="116.5"/>
    <n v="5"/>
    <n v="0"/>
    <n v="0"/>
    <n v="0"/>
    <n v="0"/>
    <n v="0"/>
    <n v="0"/>
    <n v="0"/>
    <n v="15.68"/>
    <n v="0"/>
    <d v="2020-06-01T00:00:00"/>
    <d v="2021-05-31T00:00:00"/>
    <n v="0"/>
    <n v="47145"/>
    <n v="128900"/>
    <n v="34500"/>
    <n v="219797"/>
    <n v="0"/>
    <n v="30267"/>
    <n v="0"/>
    <n v="11132"/>
    <n v="1934"/>
    <n v="4500"/>
    <n v="5054"/>
    <n v="8713"/>
    <n v="4228"/>
    <s v="Stationeries and office costa"/>
    <n v="3118"/>
    <s v="Other - please specify"/>
    <n v="0"/>
    <n v="55"/>
    <n v="50"/>
    <n v="5230"/>
    <n v="34081"/>
    <n v="0"/>
    <n v="35"/>
    <n v="1031"/>
    <n v="593"/>
    <s v="Other - please specify"/>
    <n v="0"/>
    <s v="Other - please specify"/>
    <n v="0"/>
    <n v="0"/>
    <n v="550"/>
    <s v="Other overheads - please specify"/>
    <n v="0"/>
    <s v="Other overheads - please specify"/>
    <n v="0"/>
    <m/>
    <n v="0"/>
    <n v="0"/>
    <m/>
    <d v="2021-10-11T14:59:22"/>
    <x v="0"/>
    <n v="32"/>
    <x v="5"/>
    <n v="35"/>
    <n v="35"/>
    <n v="35"/>
    <n v="35"/>
    <n v="35"/>
    <n v="35"/>
    <n v="35"/>
    <n v="35"/>
    <s v=""/>
    <s v=""/>
    <s v=""/>
    <s v=""/>
    <s v=""/>
    <s v=""/>
    <s v=""/>
    <s v=""/>
    <s v=""/>
    <s v=""/>
    <s v=""/>
    <s v=""/>
    <n v="8.91"/>
    <n v="8.91"/>
    <n v="8.7200000000000006"/>
    <n v="8.7200000000000006"/>
    <s v=""/>
    <s v=""/>
    <s v=""/>
    <s v=""/>
    <s v=""/>
    <s v=""/>
    <s v=""/>
    <s v=""/>
    <s v=""/>
    <s v=""/>
    <s v=""/>
    <s v=""/>
    <n v="15"/>
    <n v="15"/>
    <n v="15"/>
    <n v="15"/>
    <s v=""/>
    <s v=""/>
    <s v=""/>
    <s v=""/>
    <s v=""/>
    <s v=""/>
    <s v=""/>
    <s v=""/>
    <s v=""/>
    <s v=""/>
    <s v=""/>
    <s v=""/>
    <s v=""/>
    <s v=""/>
    <s v=""/>
    <s v=""/>
    <s v=""/>
    <s v=""/>
    <s v=""/>
    <s v=""/>
    <n v="35"/>
    <n v="35"/>
    <n v="35"/>
    <n v="35"/>
    <n v="35"/>
    <n v="35"/>
    <n v="35"/>
    <n v="35"/>
    <s v=""/>
    <s v=""/>
    <s v=""/>
    <s v=""/>
    <s v=""/>
    <s v=""/>
    <s v=""/>
    <s v=""/>
    <s v=""/>
    <s v=""/>
    <s v=""/>
    <s v=""/>
    <n v="8.91"/>
    <n v="8.91"/>
    <n v="8.7200000000000006"/>
    <n v="8.7200000000000006"/>
    <s v=""/>
    <s v=""/>
    <s v=""/>
    <s v=""/>
    <s v=""/>
    <s v=""/>
    <s v=""/>
    <s v=""/>
    <s v=""/>
    <s v=""/>
    <s v=""/>
    <s v=""/>
    <n v="15"/>
    <n v="15"/>
    <n v="15"/>
    <n v="15"/>
    <s v=""/>
    <s v=""/>
    <s v=""/>
    <s v=""/>
    <s v=""/>
    <s v=""/>
    <s v=""/>
    <s v=""/>
    <s v=""/>
    <s v=""/>
    <s v=""/>
    <s v=""/>
    <s v=""/>
    <s v=""/>
    <s v=""/>
    <s v=""/>
    <s v=""/>
    <s v=""/>
    <s v=""/>
    <s v=""/>
    <n v="3"/>
    <n v="35"/>
    <n v="2"/>
    <n v="0"/>
    <n v="40"/>
    <x v="2"/>
    <n v="550.5"/>
    <n v="0"/>
    <e v="#VALUE!"/>
    <e v="#VALUE!"/>
    <e v="#VALUE!"/>
    <e v="#VALUE!"/>
    <x v="0"/>
    <n v="471741"/>
    <n v="27547"/>
    <n v="41075"/>
    <n v="550"/>
    <n v="0"/>
    <n v="0"/>
    <n v="0"/>
    <n v="0"/>
    <n v="0"/>
    <n v="0"/>
    <n v="0"/>
    <n v="0"/>
    <n v="0"/>
    <n v="0"/>
    <n v="0"/>
    <n v="0"/>
    <n v="0"/>
    <n v="0"/>
    <n v="0"/>
    <n v="0"/>
    <n v="0"/>
    <n v="0"/>
    <n v="0"/>
    <n v="0"/>
    <n v="0"/>
    <n v="0"/>
    <n v="0"/>
    <n v="0"/>
    <n v="0"/>
    <n v="0"/>
    <n v="0"/>
    <n v="0"/>
    <n v="0"/>
    <n v="0"/>
    <s v=""/>
    <n v="0"/>
    <n v="41"/>
    <x v="0"/>
    <x v="1"/>
    <x v="1"/>
    <x v="1"/>
    <x v="0"/>
    <b v="1"/>
    <b v="1"/>
    <n v="0"/>
    <n v="0"/>
    <s v=""/>
    <s v=""/>
    <s v=""/>
    <n v="35"/>
    <s v=""/>
    <s v=""/>
    <s v=""/>
    <n v="0"/>
    <s v=""/>
    <s v=""/>
    <s v=""/>
    <s v=""/>
    <n v="35"/>
    <n v="0"/>
    <n v="0"/>
    <s v=""/>
    <s v=""/>
    <s v=""/>
    <n v="20.649999999999995"/>
    <s v=""/>
    <s v=""/>
    <s v=""/>
    <n v="0"/>
    <s v=""/>
    <s v=""/>
    <s v=""/>
    <s v=""/>
    <b v="0"/>
    <b v="1"/>
    <x v="1"/>
    <n v="0"/>
    <n v="0"/>
    <n v="0"/>
    <n v="0"/>
    <n v="0"/>
    <n v="0"/>
    <s v=""/>
    <s v=""/>
    <s v=""/>
    <n v="35"/>
    <s v=""/>
    <s v=""/>
    <s v=""/>
    <n v="0"/>
    <s v=""/>
    <s v=""/>
    <s v=""/>
    <s v=""/>
    <n v="35"/>
    <n v="0"/>
    <n v="0"/>
    <s v=""/>
    <s v=""/>
    <s v=""/>
    <n v="34.650000000000006"/>
    <s v=""/>
    <s v=""/>
    <s v=""/>
    <n v="0"/>
    <s v=""/>
    <s v=""/>
    <s v=""/>
    <s v=""/>
    <n v="70"/>
    <n v="70"/>
    <n v="70"/>
    <n v="70"/>
    <n v="35"/>
    <n v="35"/>
    <n v="35"/>
    <n v="35"/>
    <s v=""/>
    <s v=""/>
    <s v=""/>
    <s v=""/>
    <s v=""/>
    <s v=""/>
    <s v=""/>
    <s v=""/>
    <s v=""/>
    <s v=""/>
    <s v=""/>
    <s v=""/>
    <n v="311.85000000000002"/>
    <n v="311.85000000000002"/>
    <n v="305.20000000000005"/>
    <n v="305.20000000000005"/>
    <s v=""/>
    <s v=""/>
    <s v=""/>
    <s v=""/>
    <s v=""/>
    <s v=""/>
    <s v=""/>
    <s v=""/>
    <s v=""/>
    <s v=""/>
    <s v=""/>
    <s v=""/>
    <n v="30"/>
    <n v="30"/>
    <n v="30"/>
    <n v="30"/>
    <s v=""/>
    <s v=""/>
    <s v=""/>
    <s v=""/>
    <s v=""/>
    <s v=""/>
    <s v=""/>
    <s v=""/>
    <s v=""/>
    <s v=""/>
    <s v=""/>
    <s v=""/>
    <s v=""/>
    <s v=""/>
    <s v=""/>
    <s v=""/>
    <s v=""/>
    <s v=""/>
    <s v=""/>
    <s v=""/>
    <n v="2"/>
    <n v="1"/>
    <n v="0"/>
    <n v="0"/>
    <n v="0"/>
    <n v="35"/>
    <n v="0"/>
    <n v="0"/>
    <n v="0"/>
    <n v="2"/>
    <n v="0"/>
    <n v="0"/>
    <n v="0"/>
    <n v="0"/>
    <n v="0"/>
  </r>
  <r>
    <m/>
    <m/>
    <m/>
    <m/>
    <m/>
    <m/>
    <n v="42"/>
    <n v="0"/>
    <n v="65"/>
    <n v="0"/>
    <n v="1"/>
    <s v="Leased or Rented"/>
    <s v="Leased or Rented"/>
    <m/>
    <m/>
    <m/>
    <m/>
    <n v="1"/>
    <n v="0"/>
    <n v="0"/>
    <n v="0"/>
    <n v="0"/>
    <n v="0"/>
    <n v="0"/>
    <n v="0"/>
    <n v="0"/>
    <n v="0"/>
    <s v="Other manager Service Managers"/>
    <n v="12.82"/>
    <n v="12.82"/>
    <n v="12.82"/>
    <n v="12.82"/>
    <n v="6"/>
    <s v="Other manager (specify)"/>
    <n v="0"/>
    <n v="0"/>
    <n v="0"/>
    <n v="0"/>
    <n v="0"/>
    <s v="Other manager (specify)"/>
    <n v="0"/>
    <n v="0"/>
    <n v="0"/>
    <n v="0"/>
    <n v="0"/>
    <s v="Care Assistant - Team Leader"/>
    <n v="9.5"/>
    <n v="9.5"/>
    <n v="9"/>
    <n v="9"/>
    <n v="6"/>
    <s v="Care Assistant - Support Worker"/>
    <n v="8.91"/>
    <n v="8.91"/>
    <n v="8.7200000000000006"/>
    <n v="8.7200000000000006"/>
    <n v="89"/>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2705"/>
    <n v="302"/>
    <n v="376"/>
    <n v="0"/>
    <n v="116"/>
    <n v="0"/>
    <n v="15.82"/>
    <n v="0"/>
    <n v="15.27"/>
    <d v="2020-09-01T00:00:00"/>
    <d v="2021-08-31T00:00:00"/>
    <n v="181948"/>
    <n v="224250"/>
    <n v="1657480"/>
    <n v="0"/>
    <n v="0"/>
    <n v="18000"/>
    <n v="390"/>
    <n v="0"/>
    <n v="0"/>
    <n v="0"/>
    <n v="0"/>
    <n v="0"/>
    <n v="0"/>
    <n v="0"/>
    <s v="Other - please specify"/>
    <n v="0"/>
    <s v="Other - please specify"/>
    <n v="0"/>
    <n v="36166"/>
    <n v="0"/>
    <n v="0"/>
    <n v="0"/>
    <n v="0"/>
    <n v="0"/>
    <n v="0"/>
    <n v="0"/>
    <s v="Other - please specify"/>
    <n v="0"/>
    <s v="Other - please specify"/>
    <n v="0"/>
    <n v="0"/>
    <n v="0"/>
    <s v="Other overheads - please specify"/>
    <n v="0"/>
    <s v="Other overheads - please specify"/>
    <n v="0"/>
    <m/>
    <n v="0"/>
    <n v="0"/>
    <m/>
    <d v="2021-10-11T14:59:24"/>
    <x v="1"/>
    <n v="65"/>
    <x v="4"/>
    <s v=""/>
    <s v=""/>
    <s v=""/>
    <s v=""/>
    <s v=""/>
    <s v=""/>
    <s v=""/>
    <s v=""/>
    <n v="12.82"/>
    <n v="12.82"/>
    <n v="12.82"/>
    <n v="12.82"/>
    <s v=""/>
    <s v=""/>
    <s v=""/>
    <s v=""/>
    <s v=""/>
    <s v=""/>
    <s v=""/>
    <s v=""/>
    <n v="9.5"/>
    <n v="9.5"/>
    <n v="9"/>
    <n v="9"/>
    <n v="8.91"/>
    <n v="8.91"/>
    <n v="8.7200000000000006"/>
    <n v="8.7200000000000006"/>
    <s v=""/>
    <s v=""/>
    <s v=""/>
    <s v=""/>
    <s v=""/>
    <s v=""/>
    <s v=""/>
    <s v=""/>
    <s v=""/>
    <s v=""/>
    <s v=""/>
    <s v=""/>
    <s v=""/>
    <s v=""/>
    <s v=""/>
    <s v=""/>
    <s v=""/>
    <s v=""/>
    <s v=""/>
    <s v=""/>
    <s v=""/>
    <s v=""/>
    <s v=""/>
    <s v=""/>
    <s v=""/>
    <s v=""/>
    <s v=""/>
    <s v=""/>
    <s v=""/>
    <s v=""/>
    <s v=""/>
    <s v=""/>
    <s v=""/>
    <s v=""/>
    <s v=""/>
    <s v=""/>
    <s v=""/>
    <s v=""/>
    <s v=""/>
    <s v=""/>
    <n v="12.82"/>
    <n v="12.82"/>
    <n v="12.82"/>
    <n v="12.82"/>
    <s v=""/>
    <s v=""/>
    <s v=""/>
    <s v=""/>
    <s v=""/>
    <s v=""/>
    <s v=""/>
    <s v=""/>
    <n v="9.5"/>
    <n v="9.5"/>
    <n v="9"/>
    <n v="9"/>
    <n v="8.91"/>
    <n v="8.91"/>
    <n v="8.7200000000000006"/>
    <n v="8.7200000000000006"/>
    <s v=""/>
    <s v=""/>
    <s v=""/>
    <s v=""/>
    <s v=""/>
    <s v=""/>
    <s v=""/>
    <s v=""/>
    <s v=""/>
    <s v=""/>
    <s v=""/>
    <s v=""/>
    <s v=""/>
    <s v=""/>
    <s v=""/>
    <s v=""/>
    <s v=""/>
    <s v=""/>
    <s v=""/>
    <s v=""/>
    <s v=""/>
    <s v=""/>
    <s v=""/>
    <s v=""/>
    <s v=""/>
    <s v=""/>
    <s v=""/>
    <s v=""/>
    <s v=""/>
    <s v=""/>
    <s v=""/>
    <s v=""/>
    <n v="6"/>
    <n v="95"/>
    <n v="0"/>
    <n v="0"/>
    <n v="101"/>
    <x v="0"/>
    <n v="0"/>
    <n v="3499"/>
    <e v="#VALUE!"/>
    <e v="#VALUE!"/>
    <e v="#VALUE!"/>
    <e v="#VALUE!"/>
    <x v="0"/>
    <n v="1900120"/>
    <n v="0"/>
    <n v="36166"/>
    <n v="0"/>
    <n v="1.2324949985710203"/>
    <n v="9.1096357200958522"/>
    <n v="0"/>
    <n v="0"/>
    <n v="9.892936443379427E-2"/>
    <n v="2.1434695627322092E-3"/>
    <n v="0"/>
    <n v="0"/>
    <n v="0"/>
    <n v="0"/>
    <n v="0"/>
    <n v="0"/>
    <n v="0"/>
    <n v="0"/>
    <n v="0"/>
    <n v="0.19877107745070019"/>
    <n v="0"/>
    <n v="0"/>
    <n v="0"/>
    <n v="0"/>
    <n v="0"/>
    <n v="0"/>
    <n v="0"/>
    <n v="0"/>
    <n v="0"/>
    <n v="0"/>
    <n v="0"/>
    <n v="0"/>
    <n v="0"/>
    <n v="10.641974630114099"/>
    <s v=""/>
    <n v="0"/>
    <n v="42"/>
    <x v="1"/>
    <x v="0"/>
    <x v="0"/>
    <x v="0"/>
    <x v="1"/>
    <b v="0"/>
    <b v="0"/>
    <s v=""/>
    <s v=""/>
    <n v="0"/>
    <s v=""/>
    <s v=""/>
    <n v="0"/>
    <n v="89"/>
    <s v=""/>
    <s v=""/>
    <s v=""/>
    <s v=""/>
    <s v=""/>
    <s v=""/>
    <s v=""/>
    <n v="89"/>
    <s v=""/>
    <s v=""/>
    <n v="0"/>
    <s v=""/>
    <s v=""/>
    <n v="0"/>
    <n v="52.509999999999991"/>
    <s v=""/>
    <s v=""/>
    <s v=""/>
    <s v=""/>
    <s v=""/>
    <s v=""/>
    <s v=""/>
    <b v="1"/>
    <b v="1"/>
    <x v="3"/>
    <n v="10.443203552663398"/>
    <n v="0"/>
    <n v="0.19877107745070019"/>
    <n v="0"/>
    <s v=""/>
    <s v=""/>
    <n v="0"/>
    <s v=""/>
    <s v=""/>
    <n v="6"/>
    <n v="89"/>
    <s v=""/>
    <s v=""/>
    <s v=""/>
    <s v=""/>
    <s v=""/>
    <s v=""/>
    <s v=""/>
    <n v="95"/>
    <s v=""/>
    <s v=""/>
    <n v="0"/>
    <s v=""/>
    <s v=""/>
    <n v="2.4000000000000021"/>
    <n v="88.110000000000014"/>
    <s v=""/>
    <s v=""/>
    <s v=""/>
    <s v=""/>
    <s v=""/>
    <s v=""/>
    <s v=""/>
    <s v=""/>
    <s v=""/>
    <s v=""/>
    <s v=""/>
    <s v=""/>
    <s v=""/>
    <s v=""/>
    <s v=""/>
    <n v="76.92"/>
    <n v="76.92"/>
    <n v="76.92"/>
    <n v="76.92"/>
    <s v=""/>
    <s v=""/>
    <s v=""/>
    <s v=""/>
    <s v=""/>
    <s v=""/>
    <s v=""/>
    <s v=""/>
    <n v="57"/>
    <n v="57"/>
    <n v="54"/>
    <n v="54"/>
    <n v="792.99"/>
    <n v="792.99"/>
    <n v="776.08"/>
    <n v="776.08"/>
    <s v=""/>
    <s v=""/>
    <s v=""/>
    <s v=""/>
    <s v=""/>
    <s v=""/>
    <s v=""/>
    <s v=""/>
    <s v=""/>
    <s v=""/>
    <s v=""/>
    <s v=""/>
    <s v=""/>
    <s v=""/>
    <s v=""/>
    <s v=""/>
    <s v=""/>
    <s v=""/>
    <s v=""/>
    <s v=""/>
    <s v=""/>
    <s v=""/>
    <s v=""/>
    <s v=""/>
    <s v=""/>
    <s v=""/>
    <s v=""/>
    <s v=""/>
    <s v=""/>
    <s v=""/>
    <s v=""/>
    <s v=""/>
    <n v="0"/>
    <n v="0"/>
    <n v="6"/>
    <n v="0"/>
    <n v="0"/>
    <n v="6"/>
    <n v="89"/>
    <n v="0"/>
    <n v="0"/>
    <n v="0"/>
    <n v="0"/>
    <n v="0"/>
    <n v="0"/>
    <n v="0"/>
    <n v="0"/>
  </r>
  <r>
    <m/>
    <m/>
    <m/>
    <m/>
    <m/>
    <m/>
    <n v="43"/>
    <n v="0"/>
    <n v="49"/>
    <n v="0"/>
    <n v="1"/>
    <s v="Leased or Rented"/>
    <s v="Leased or Rented"/>
    <m/>
    <m/>
    <m/>
    <m/>
    <n v="23.98"/>
    <n v="23.08"/>
    <n v="23.08"/>
    <n v="23.08"/>
    <n v="1"/>
    <n v="15.38"/>
    <n v="15.38"/>
    <n v="15.38"/>
    <n v="15.38"/>
    <n v="1"/>
    <s v="Other manager - Project Manager"/>
    <n v="12.82"/>
    <n v="12.82"/>
    <n v="12.82"/>
    <n v="12.82"/>
    <n v="6"/>
    <s v="Other manager (specify)"/>
    <n v="0"/>
    <n v="0"/>
    <n v="0"/>
    <n v="0"/>
    <n v="0"/>
    <s v="Other manager (specify)"/>
    <n v="0"/>
    <n v="0"/>
    <n v="0"/>
    <n v="0"/>
    <n v="0"/>
    <s v="Care Assistant - Support Worker"/>
    <n v="8.91"/>
    <n v="8.91"/>
    <n v="8.91"/>
    <n v="8.91"/>
    <n v="105"/>
    <s v="Care Assistant "/>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3216.3"/>
    <n v="565.5"/>
    <n v="499"/>
    <n v="0"/>
    <n v="0"/>
    <n v="0"/>
    <n v="17.16"/>
    <n v="0"/>
    <n v="13.38"/>
    <d v="2020-09-01T00:00:00"/>
    <d v="2021-08-31T00:00:00"/>
    <n v="222880"/>
    <n v="312750"/>
    <n v="3249000"/>
    <n v="0"/>
    <n v="76340"/>
    <n v="0"/>
    <n v="3300"/>
    <n v="0"/>
    <n v="0"/>
    <n v="0"/>
    <n v="0"/>
    <n v="0"/>
    <n v="0"/>
    <n v="0"/>
    <s v="Other - please specify"/>
    <n v="0"/>
    <s v="Other - please specify"/>
    <n v="0"/>
    <n v="27263"/>
    <n v="0"/>
    <n v="0"/>
    <n v="0"/>
    <n v="0"/>
    <n v="0"/>
    <n v="0"/>
    <n v="0"/>
    <s v="Other - please specify"/>
    <n v="0"/>
    <s v="Other - please specify"/>
    <n v="0"/>
    <n v="0"/>
    <n v="0"/>
    <s v="Other overheads - please specify"/>
    <n v="0"/>
    <s v="Other overheads - please specify"/>
    <n v="0"/>
    <m/>
    <n v="0"/>
    <n v="0"/>
    <m/>
    <d v="2021-10-11T14:59:27"/>
    <x v="1"/>
    <n v="49"/>
    <x v="3"/>
    <n v="23.98"/>
    <n v="23.08"/>
    <n v="23.08"/>
    <n v="23.08"/>
    <n v="15.38"/>
    <n v="15.38"/>
    <n v="15.38"/>
    <n v="15.38"/>
    <n v="12.82"/>
    <n v="12.82"/>
    <n v="12.82"/>
    <n v="12.82"/>
    <s v=""/>
    <s v=""/>
    <s v=""/>
    <s v=""/>
    <s v=""/>
    <s v=""/>
    <s v=""/>
    <s v=""/>
    <n v="8.91"/>
    <n v="8.91"/>
    <n v="8.91"/>
    <n v="8.91"/>
    <s v=""/>
    <s v=""/>
    <s v=""/>
    <s v=""/>
    <s v=""/>
    <s v=""/>
    <s v=""/>
    <s v=""/>
    <s v=""/>
    <s v=""/>
    <s v=""/>
    <s v=""/>
    <s v=""/>
    <s v=""/>
    <s v=""/>
    <s v=""/>
    <s v=""/>
    <s v=""/>
    <s v=""/>
    <s v=""/>
    <s v=""/>
    <s v=""/>
    <s v=""/>
    <s v=""/>
    <s v=""/>
    <s v=""/>
    <s v=""/>
    <s v=""/>
    <s v=""/>
    <s v=""/>
    <s v=""/>
    <s v=""/>
    <s v=""/>
    <s v=""/>
    <s v=""/>
    <s v=""/>
    <n v="23.98"/>
    <n v="23.08"/>
    <n v="23.08"/>
    <n v="23.08"/>
    <n v="15.38"/>
    <n v="15.38"/>
    <n v="15.38"/>
    <n v="15.38"/>
    <n v="12.82"/>
    <n v="12.82"/>
    <n v="12.82"/>
    <n v="12.82"/>
    <s v=""/>
    <s v=""/>
    <s v=""/>
    <s v=""/>
    <s v=""/>
    <s v=""/>
    <s v=""/>
    <s v=""/>
    <n v="8.91"/>
    <n v="8.91"/>
    <n v="8.91"/>
    <n v="8.91"/>
    <s v=""/>
    <s v=""/>
    <s v=""/>
    <s v=""/>
    <s v=""/>
    <s v=""/>
    <s v=""/>
    <s v=""/>
    <s v=""/>
    <s v=""/>
    <s v=""/>
    <s v=""/>
    <s v=""/>
    <s v=""/>
    <s v=""/>
    <s v=""/>
    <s v=""/>
    <s v=""/>
    <s v=""/>
    <s v=""/>
    <s v=""/>
    <s v=""/>
    <s v=""/>
    <s v=""/>
    <s v=""/>
    <s v=""/>
    <s v=""/>
    <s v=""/>
    <s v=""/>
    <s v=""/>
    <s v=""/>
    <s v=""/>
    <s v=""/>
    <s v=""/>
    <s v=""/>
    <s v=""/>
    <n v="8"/>
    <n v="105"/>
    <n v="0"/>
    <n v="0"/>
    <n v="113"/>
    <x v="0"/>
    <n v="0"/>
    <n v="4280.8"/>
    <e v="#VALUE!"/>
    <e v="#VALUE!"/>
    <e v="#VALUE!"/>
    <e v="#VALUE!"/>
    <x v="0"/>
    <n v="3641390"/>
    <n v="0"/>
    <n v="27263"/>
    <n v="0"/>
    <n v="1.403221464465183"/>
    <n v="14.577351040918881"/>
    <n v="0"/>
    <n v="0.34251615218951903"/>
    <n v="0"/>
    <n v="1.4806173725771716E-2"/>
    <n v="0"/>
    <n v="0"/>
    <n v="0"/>
    <n v="0"/>
    <n v="0"/>
    <n v="0"/>
    <n v="0"/>
    <n v="0"/>
    <n v="0"/>
    <n v="0.12232142857142857"/>
    <n v="0"/>
    <n v="0"/>
    <n v="0"/>
    <n v="0"/>
    <n v="0"/>
    <n v="0"/>
    <n v="0"/>
    <n v="0"/>
    <n v="0"/>
    <n v="0"/>
    <n v="0"/>
    <n v="0"/>
    <n v="0"/>
    <n v="16.460216259870784"/>
    <s v=""/>
    <n v="0"/>
    <n v="43"/>
    <x v="1"/>
    <x v="0"/>
    <x v="0"/>
    <x v="0"/>
    <x v="1"/>
    <b v="0"/>
    <b v="1"/>
    <n v="0"/>
    <n v="0"/>
    <n v="0"/>
    <s v=""/>
    <s v=""/>
    <n v="105"/>
    <s v=""/>
    <s v=""/>
    <s v=""/>
    <s v=""/>
    <s v=""/>
    <s v=""/>
    <s v=""/>
    <s v=""/>
    <n v="105"/>
    <n v="0"/>
    <n v="0"/>
    <n v="0"/>
    <s v=""/>
    <s v=""/>
    <n v="61.949999999999989"/>
    <s v=""/>
    <s v=""/>
    <s v=""/>
    <s v=""/>
    <s v=""/>
    <s v=""/>
    <s v=""/>
    <s v=""/>
    <b v="0"/>
    <b v="1"/>
    <x v="1"/>
    <n v="16.337894831299355"/>
    <n v="0"/>
    <n v="0.12232142857142857"/>
    <n v="0"/>
    <n v="0"/>
    <n v="0"/>
    <n v="0"/>
    <s v=""/>
    <s v=""/>
    <n v="105"/>
    <s v=""/>
    <s v=""/>
    <s v=""/>
    <s v=""/>
    <s v=""/>
    <s v=""/>
    <s v=""/>
    <s v=""/>
    <n v="105"/>
    <n v="0"/>
    <n v="0"/>
    <n v="0"/>
    <s v=""/>
    <s v=""/>
    <n v="103.95000000000002"/>
    <s v=""/>
    <s v=""/>
    <s v=""/>
    <s v=""/>
    <s v=""/>
    <s v=""/>
    <s v=""/>
    <s v=""/>
    <n v="23.98"/>
    <n v="23.08"/>
    <n v="23.08"/>
    <n v="23.08"/>
    <n v="15.38"/>
    <n v="15.38"/>
    <n v="15.38"/>
    <n v="15.38"/>
    <n v="76.92"/>
    <n v="76.92"/>
    <n v="76.92"/>
    <n v="76.92"/>
    <s v=""/>
    <s v=""/>
    <s v=""/>
    <s v=""/>
    <s v=""/>
    <s v=""/>
    <s v=""/>
    <s v=""/>
    <n v="935.55000000000007"/>
    <n v="935.55000000000007"/>
    <n v="935.55000000000007"/>
    <n v="935.55000000000007"/>
    <s v=""/>
    <s v=""/>
    <s v=""/>
    <s v=""/>
    <s v=""/>
    <s v=""/>
    <s v=""/>
    <s v=""/>
    <s v=""/>
    <s v=""/>
    <s v=""/>
    <s v=""/>
    <s v=""/>
    <s v=""/>
    <s v=""/>
    <s v=""/>
    <s v=""/>
    <s v=""/>
    <s v=""/>
    <s v=""/>
    <s v=""/>
    <s v=""/>
    <s v=""/>
    <s v=""/>
    <s v=""/>
    <s v=""/>
    <s v=""/>
    <s v=""/>
    <s v=""/>
    <s v=""/>
    <s v=""/>
    <s v=""/>
    <s v=""/>
    <s v=""/>
    <s v=""/>
    <s v=""/>
    <n v="1"/>
    <n v="1"/>
    <n v="6"/>
    <n v="0"/>
    <n v="0"/>
    <n v="105"/>
    <n v="0"/>
    <n v="0"/>
    <n v="0"/>
    <n v="0"/>
    <n v="0"/>
    <n v="0"/>
    <n v="0"/>
    <n v="0"/>
    <n v="0"/>
  </r>
  <r>
    <m/>
    <m/>
    <m/>
    <m/>
    <m/>
    <m/>
    <n v="44"/>
    <s v="Both"/>
    <m/>
    <m/>
    <m/>
    <s v="Hayley Deaves"/>
    <s v="Head of Bids &amp; Tendering"/>
    <m/>
    <m/>
    <m/>
    <m/>
    <n v="0"/>
    <n v="0"/>
    <n v="0"/>
    <n v="0"/>
    <n v="0"/>
    <n v="0"/>
    <n v="0"/>
    <n v="0"/>
    <n v="0"/>
    <n v="0"/>
    <s v="Other manager (please specify)"/>
    <n v="0"/>
    <n v="0"/>
    <n v="0"/>
    <n v="0"/>
    <n v="0"/>
    <s v="Other manager (please specify)"/>
    <n v="0"/>
    <n v="0"/>
    <n v="0"/>
    <n v="0"/>
    <n v="0"/>
    <s v="Other manager (please specify)"/>
    <n v="0"/>
    <n v="0"/>
    <n v="0"/>
    <n v="0"/>
    <n v="0"/>
    <s v="Care Assistant (specify grade/role)"/>
    <n v="0"/>
    <n v="0"/>
    <n v="0"/>
    <n v="0"/>
    <n v="0"/>
    <s v="Care Assistant (specify grade/role)"/>
    <n v="0"/>
    <n v="0"/>
    <n v="0"/>
    <n v="0"/>
    <n v="0"/>
    <s v="Care Assistant (specify grade/role)"/>
    <n v="0"/>
    <n v="0"/>
    <n v="0"/>
    <n v="0"/>
    <n v="0"/>
    <s v="Care Assistant (specify grade/role)"/>
    <n v="0"/>
    <n v="0"/>
    <n v="0"/>
    <n v="0"/>
    <n v="0"/>
    <s v="Nursing staff (please specify)"/>
    <n v="0"/>
    <n v="0"/>
    <n v="0"/>
    <n v="0"/>
    <n v="0"/>
    <s v="Nursing staff (please specify)"/>
    <n v="0"/>
    <n v="0"/>
    <n v="0"/>
    <n v="0"/>
    <n v="0"/>
    <s v="Nursing staff (please specify)"/>
    <n v="0"/>
    <n v="0"/>
    <n v="0"/>
    <n v="0"/>
    <n v="0"/>
    <s v="Administrative Officer (please specify)"/>
    <n v="0"/>
    <n v="0"/>
    <n v="0"/>
    <n v="0"/>
    <n v="0"/>
    <s v="Administrative Officer (please specify)"/>
    <n v="0"/>
    <n v="0"/>
    <n v="0"/>
    <n v="0"/>
    <n v="0"/>
    <s v="Total"/>
    <m/>
    <m/>
    <m/>
    <m/>
    <n v="0"/>
    <m/>
    <m/>
    <m/>
    <m/>
    <m/>
    <m/>
    <m/>
    <m/>
    <m/>
    <m/>
    <m/>
    <m/>
    <m/>
    <m/>
    <m/>
    <m/>
    <m/>
    <m/>
    <m/>
    <m/>
    <m/>
    <m/>
    <m/>
    <m/>
    <m/>
    <m/>
    <m/>
    <m/>
    <m/>
    <m/>
    <m/>
    <m/>
    <m/>
    <m/>
    <m/>
    <m/>
    <m/>
    <m/>
    <m/>
    <m/>
    <m/>
    <m/>
    <m/>
    <m/>
    <m/>
    <m/>
    <m/>
    <m/>
    <m/>
    <m/>
    <m/>
    <m/>
    <m/>
    <m/>
    <m/>
    <m/>
    <m/>
    <m/>
    <m/>
    <x v="6"/>
    <n v="0"/>
    <x v="1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0"/>
    <n v="0"/>
    <n v="0"/>
    <n v="0"/>
    <n v="0"/>
    <x v="1"/>
    <n v="0"/>
    <n v="0"/>
    <e v="#VALUE!"/>
    <e v="#VALUE!"/>
    <e v="#VALUE!"/>
    <e v="#VALUE!"/>
    <x v="1"/>
    <n v="0"/>
    <n v="0"/>
    <n v="0"/>
    <n v="0"/>
    <n v="0"/>
    <n v="0"/>
    <n v="0"/>
    <n v="0"/>
    <n v="0"/>
    <n v="0"/>
    <n v="0"/>
    <n v="0"/>
    <n v="0"/>
    <n v="0"/>
    <n v="0"/>
    <n v="0"/>
    <n v="0"/>
    <n v="0"/>
    <n v="0"/>
    <n v="0"/>
    <n v="0"/>
    <n v="0"/>
    <n v="0"/>
    <n v="0"/>
    <n v="0"/>
    <n v="0"/>
    <n v="0"/>
    <n v="0"/>
    <n v="0"/>
    <n v="0"/>
    <n v="0"/>
    <n v="0"/>
    <n v="0"/>
    <n v="0"/>
    <s v=""/>
    <n v="0"/>
    <n v="44"/>
    <x v="2"/>
    <x v="1"/>
    <x v="1"/>
    <x v="0"/>
    <x v="0"/>
    <b v="0"/>
    <b v="1"/>
    <s v=""/>
    <s v=""/>
    <s v=""/>
    <s v=""/>
    <s v=""/>
    <s v=""/>
    <s v=""/>
    <s v=""/>
    <s v=""/>
    <s v=""/>
    <s v=""/>
    <s v=""/>
    <s v=""/>
    <s v=""/>
    <n v="0"/>
    <s v=""/>
    <s v=""/>
    <s v=""/>
    <s v=""/>
    <s v=""/>
    <s v=""/>
    <s v=""/>
    <s v=""/>
    <s v=""/>
    <s v=""/>
    <s v=""/>
    <s v=""/>
    <s v=""/>
    <s v=""/>
    <b v="0"/>
    <b v="1"/>
    <x v="1"/>
    <n v="0"/>
    <n v="0"/>
    <n v="0"/>
    <n v="0"/>
    <s v=""/>
    <s v=""/>
    <s v=""/>
    <s v=""/>
    <s v=""/>
    <s v=""/>
    <s v=""/>
    <s v=""/>
    <s v=""/>
    <s v=""/>
    <s v=""/>
    <s v=""/>
    <s v=""/>
    <s v=""/>
    <n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0"/>
    <n v="0"/>
    <n v="0"/>
    <n v="0"/>
    <n v="0"/>
    <n v="0"/>
    <n v="0"/>
    <n v="0"/>
    <n v="0"/>
    <n v="0"/>
    <n v="0"/>
    <n v="0"/>
    <n v="0"/>
    <n v="0"/>
    <n v="0"/>
  </r>
  <r>
    <m/>
    <m/>
    <m/>
    <m/>
    <m/>
    <m/>
    <n v="45"/>
    <n v="88"/>
    <n v="0"/>
    <n v="1"/>
    <n v="0"/>
    <s v="Leased or Rented"/>
    <s v="Leased or Rented"/>
    <m/>
    <m/>
    <m/>
    <m/>
    <n v="15.38"/>
    <n v="15.38"/>
    <n v="15.38"/>
    <n v="15.38"/>
    <n v="1"/>
    <n v="0"/>
    <n v="0"/>
    <n v="0"/>
    <n v="0"/>
    <n v="0"/>
    <s v="Co-ordinator"/>
    <n v="10.25"/>
    <n v="10.25"/>
    <n v="9.23"/>
    <n v="9.23"/>
    <n v="1"/>
    <s v="Field Care Supervisor"/>
    <n v="10"/>
    <n v="10"/>
    <n v="10"/>
    <n v="10"/>
    <n v="1"/>
    <s v="Other manager (specify)"/>
    <n v="0"/>
    <n v="0"/>
    <n v="0"/>
    <n v="0"/>
    <n v="0"/>
    <s v="Care Assistant (specify)"/>
    <n v="9"/>
    <n v="9.1999999999999993"/>
    <n v="8.8000000000000007"/>
    <n v="9"/>
    <n v="43"/>
    <s v="Care Assistant (specify)"/>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81"/>
    <n v="3"/>
    <n v="0"/>
    <n v="1"/>
    <n v="0"/>
    <n v="3"/>
    <n v="0"/>
    <n v="0"/>
    <n v="0"/>
    <n v="0"/>
    <n v="0"/>
    <n v="0"/>
    <n v="18.5"/>
    <n v="19"/>
    <n v="18.8"/>
    <d v="2020-10-01T00:00:00"/>
    <d v="2021-09-30T00:00:00"/>
    <n v="42515"/>
    <n v="35105"/>
    <n v="469366"/>
    <m/>
    <n v="21420"/>
    <n v="0"/>
    <n v="850"/>
    <n v="0"/>
    <n v="9948"/>
    <n v="2557"/>
    <n v="1720"/>
    <n v="2534"/>
    <n v="0"/>
    <n v="11414"/>
    <s v="Other - please specify"/>
    <n v="0"/>
    <s v="Other - please specify"/>
    <n v="0"/>
    <n v="3673"/>
    <n v="2655"/>
    <n v="1445"/>
    <n v="22119"/>
    <n v="3391"/>
    <n v="393"/>
    <n v="11281"/>
    <n v="0"/>
    <s v="Accounting costs"/>
    <n v="3700"/>
    <s v="Accounting / invoices sotware licences"/>
    <n v="2122"/>
    <n v="33650"/>
    <n v="10800"/>
    <s v="Other overheads - please specify"/>
    <n v="0"/>
    <s v="Other overheads - please specify"/>
    <n v="0"/>
    <n v="5597"/>
    <n v="0"/>
    <n v="0"/>
    <m/>
    <d v="2021-10-11T15:02:34"/>
    <x v="0"/>
    <n v="88"/>
    <x v="6"/>
    <n v="15.38"/>
    <n v="15.38"/>
    <n v="15.38"/>
    <n v="15.38"/>
    <s v=""/>
    <s v=""/>
    <s v=""/>
    <s v=""/>
    <n v="10.25"/>
    <n v="10.25"/>
    <n v="9.23"/>
    <n v="9.23"/>
    <n v="10"/>
    <n v="10"/>
    <n v="10"/>
    <n v="10"/>
    <s v=""/>
    <s v=""/>
    <s v=""/>
    <s v=""/>
    <n v="9"/>
    <n v="9.1999999999999993"/>
    <n v="8.8000000000000007"/>
    <n v="9"/>
    <s v=""/>
    <s v=""/>
    <s v=""/>
    <s v=""/>
    <s v=""/>
    <s v=""/>
    <s v=""/>
    <s v=""/>
    <s v=""/>
    <s v=""/>
    <s v=""/>
    <s v=""/>
    <s v=""/>
    <s v=""/>
    <s v=""/>
    <s v=""/>
    <s v=""/>
    <s v=""/>
    <s v=""/>
    <s v=""/>
    <s v=""/>
    <s v=""/>
    <s v=""/>
    <s v=""/>
    <s v=""/>
    <s v=""/>
    <s v=""/>
    <s v=""/>
    <s v=""/>
    <s v=""/>
    <s v=""/>
    <s v=""/>
    <s v=""/>
    <s v=""/>
    <s v=""/>
    <s v=""/>
    <n v="15.38"/>
    <n v="15.38"/>
    <n v="15.38"/>
    <n v="15.38"/>
    <s v=""/>
    <s v=""/>
    <s v=""/>
    <s v=""/>
    <n v="10.25"/>
    <n v="10.25"/>
    <n v="9.23"/>
    <n v="9.23"/>
    <n v="10"/>
    <n v="10"/>
    <n v="10"/>
    <n v="10"/>
    <s v=""/>
    <s v=""/>
    <s v=""/>
    <s v=""/>
    <n v="9"/>
    <n v="9.1999999999999993"/>
    <n v="8.8000000000000007"/>
    <n v="9"/>
    <s v=""/>
    <s v=""/>
    <s v=""/>
    <s v=""/>
    <s v=""/>
    <s v=""/>
    <s v=""/>
    <s v=""/>
    <s v=""/>
    <s v=""/>
    <s v=""/>
    <s v=""/>
    <s v=""/>
    <s v=""/>
    <s v=""/>
    <s v=""/>
    <s v=""/>
    <s v=""/>
    <s v=""/>
    <s v=""/>
    <s v=""/>
    <s v=""/>
    <s v=""/>
    <s v=""/>
    <s v=""/>
    <s v=""/>
    <s v=""/>
    <s v=""/>
    <s v=""/>
    <s v=""/>
    <s v=""/>
    <s v=""/>
    <s v=""/>
    <s v=""/>
    <s v=""/>
    <s v=""/>
    <n v="3"/>
    <n v="43"/>
    <n v="0"/>
    <n v="0"/>
    <n v="46"/>
    <x v="2"/>
    <n v="88"/>
    <n v="0"/>
    <e v="#VALUE!"/>
    <e v="#VALUE!"/>
    <e v="#VALUE!"/>
    <e v="#VALUE!"/>
    <x v="0"/>
    <n v="536689"/>
    <n v="18225"/>
    <n v="50779"/>
    <n v="44450"/>
    <n v="0.82570857344466664"/>
    <n v="11.040009408444078"/>
    <n v="0"/>
    <n v="0.50382218040691518"/>
    <n v="0"/>
    <n v="1.9992943666941078E-2"/>
    <n v="0"/>
    <n v="0.23398800423379984"/>
    <n v="6.0143478772198049E-2"/>
    <n v="4.0456309537810188E-2"/>
    <n v="5.9602493237680819E-2"/>
    <n v="0"/>
    <n v="0.26846995178172411"/>
    <n v="0"/>
    <n v="0"/>
    <n v="8.6393037751381865E-2"/>
    <n v="6.244854757144537E-2"/>
    <n v="3.3988004233799836E-2"/>
    <n v="0.5202634364341997"/>
    <n v="7.9760084675996712E-2"/>
    <n v="9.2437963071856991E-3"/>
    <n v="0.26534164412560274"/>
    <n v="0"/>
    <n v="8.7028107726684706E-2"/>
    <n v="4.9911795836763494E-2"/>
    <n v="0.79148535810890275"/>
    <n v="0.2540279901211337"/>
    <n v="0"/>
    <n v="0"/>
    <n v="15.292085146418906"/>
    <n v="0.13164765376925791"/>
    <n v="0"/>
    <n v="45"/>
    <x v="1"/>
    <x v="1"/>
    <x v="1"/>
    <x v="1"/>
    <x v="0"/>
    <b v="1"/>
    <b v="1"/>
    <n v="0"/>
    <s v=""/>
    <n v="0"/>
    <n v="0"/>
    <s v=""/>
    <n v="43"/>
    <s v=""/>
    <s v=""/>
    <s v=""/>
    <s v=""/>
    <s v=""/>
    <s v=""/>
    <s v=""/>
    <s v=""/>
    <n v="43"/>
    <n v="0"/>
    <s v=""/>
    <n v="0"/>
    <n v="0"/>
    <s v=""/>
    <n v="17.200000000000017"/>
    <s v=""/>
    <s v=""/>
    <s v=""/>
    <s v=""/>
    <s v=""/>
    <s v=""/>
    <s v=""/>
    <s v=""/>
    <b v="0"/>
    <b v="1"/>
    <x v="1"/>
    <n v="12.6235211101964"/>
    <n v="0.42867223332941318"/>
    <n v="1.1943784546630603"/>
    <n v="1.0455133482300365"/>
    <n v="0"/>
    <s v=""/>
    <n v="0"/>
    <n v="0"/>
    <s v=""/>
    <n v="43"/>
    <s v=""/>
    <s v=""/>
    <s v=""/>
    <s v=""/>
    <s v=""/>
    <s v=""/>
    <s v=""/>
    <s v=""/>
    <n v="43"/>
    <n v="0"/>
    <s v=""/>
    <n v="0"/>
    <n v="0"/>
    <s v=""/>
    <n v="34.400000000000034"/>
    <s v=""/>
    <s v=""/>
    <s v=""/>
    <s v=""/>
    <s v=""/>
    <s v=""/>
    <s v=""/>
    <s v=""/>
    <n v="15.38"/>
    <n v="15.38"/>
    <n v="15.38"/>
    <n v="15.38"/>
    <s v=""/>
    <s v=""/>
    <s v=""/>
    <s v=""/>
    <n v="10.25"/>
    <n v="10.25"/>
    <n v="9.23"/>
    <n v="9.23"/>
    <n v="10"/>
    <n v="10"/>
    <n v="10"/>
    <n v="10"/>
    <s v=""/>
    <s v=""/>
    <s v=""/>
    <s v=""/>
    <n v="387"/>
    <n v="395.59999999999997"/>
    <n v="378.40000000000003"/>
    <n v="387"/>
    <s v=""/>
    <s v=""/>
    <s v=""/>
    <s v=""/>
    <s v=""/>
    <s v=""/>
    <s v=""/>
    <s v=""/>
    <s v=""/>
    <s v=""/>
    <s v=""/>
    <s v=""/>
    <s v=""/>
    <s v=""/>
    <s v=""/>
    <s v=""/>
    <s v=""/>
    <s v=""/>
    <s v=""/>
    <s v=""/>
    <s v=""/>
    <s v=""/>
    <s v=""/>
    <s v=""/>
    <s v=""/>
    <s v=""/>
    <s v=""/>
    <s v=""/>
    <s v=""/>
    <s v=""/>
    <s v=""/>
    <s v=""/>
    <s v=""/>
    <s v=""/>
    <s v=""/>
    <s v=""/>
    <n v="1"/>
    <n v="0"/>
    <n v="1"/>
    <n v="1"/>
    <n v="0"/>
    <n v="43"/>
    <n v="0"/>
    <n v="0"/>
    <n v="0"/>
    <n v="0"/>
    <n v="0"/>
    <n v="0"/>
    <n v="0"/>
    <n v="0"/>
    <n v="0"/>
  </r>
  <r>
    <m/>
    <m/>
    <m/>
    <m/>
    <m/>
    <m/>
    <n v="46"/>
    <n v="26"/>
    <n v="0"/>
    <n v="1"/>
    <n v="0"/>
    <s v="Leased or Rented"/>
    <s v="N/A"/>
    <m/>
    <m/>
    <m/>
    <m/>
    <n v="15"/>
    <n v="15"/>
    <n v="15"/>
    <n v="15"/>
    <n v="1"/>
    <n v="0"/>
    <n v="0"/>
    <n v="0"/>
    <n v="0"/>
    <n v="0"/>
    <s v="Other manager (specify)"/>
    <n v="0"/>
    <n v="0"/>
    <n v="0"/>
    <n v="0"/>
    <n v="0"/>
    <s v="Other manager (specify)"/>
    <n v="0"/>
    <n v="0"/>
    <n v="0"/>
    <n v="0"/>
    <n v="0"/>
    <s v="Other manager (specify)"/>
    <n v="0"/>
    <n v="0"/>
    <n v="0"/>
    <n v="0"/>
    <n v="0"/>
    <s v="Care Assistant (specify)"/>
    <n v="9"/>
    <n v="9"/>
    <n v="8.8000000000000007"/>
    <n v="8.8000000000000007"/>
    <n v="22"/>
    <s v="Care Assistant senior"/>
    <n v="9.5"/>
    <n v="9.5"/>
    <n v="9.3000000000000007"/>
    <n v="9.3000000000000007"/>
    <n v="5"/>
    <s v="Care Assistant (specify)"/>
    <n v="0"/>
    <n v="0"/>
    <n v="0"/>
    <n v="0"/>
    <n v="0"/>
    <s v="Care Assistant (specify)"/>
    <n v="0"/>
    <n v="0"/>
    <n v="0"/>
    <n v="0"/>
    <n v="0"/>
    <s v="Administrative Officer co-ordinator"/>
    <n v="9"/>
    <n v="9"/>
    <n v="8.8000000000000007"/>
    <n v="8.8000000000000007"/>
    <n v="1"/>
    <s v="Administrative Officer (specify)"/>
    <n v="0"/>
    <n v="0"/>
    <n v="0"/>
    <n v="0"/>
    <n v="0"/>
    <s v="Administrative Officer (specify)"/>
    <n v="0"/>
    <n v="0"/>
    <n v="0"/>
    <n v="0"/>
    <n v="0"/>
    <s v="Other staff (specify)"/>
    <n v="0"/>
    <n v="0"/>
    <n v="0"/>
    <n v="0"/>
    <n v="0"/>
    <s v="Other staff (specify)"/>
    <n v="0"/>
    <n v="0"/>
    <n v="0"/>
    <n v="0"/>
    <n v="0"/>
    <s v="Other staff (specify)"/>
    <n v="0"/>
    <n v="0"/>
    <n v="0"/>
    <n v="0"/>
    <n v="0"/>
    <n v="0.05"/>
    <n v="49"/>
    <n v="0"/>
    <n v="700"/>
    <n v="0"/>
    <n v="203"/>
    <n v="106.5"/>
    <n v="0"/>
    <n v="0"/>
    <n v="0"/>
    <n v="0"/>
    <n v="0"/>
    <n v="0"/>
    <n v="15.5"/>
    <n v="15"/>
    <n v="14.5"/>
    <d v="2019-08-01T00:00:00"/>
    <d v="2020-07-31T00:00:00"/>
    <n v="46800"/>
    <n v="30000"/>
    <n v="574389"/>
    <n v="0"/>
    <n v="0"/>
    <n v="0"/>
    <n v="26322"/>
    <n v="0"/>
    <n v="0"/>
    <n v="800"/>
    <n v="2000"/>
    <n v="1000"/>
    <n v="4800"/>
    <n v="4500"/>
    <s v="Other - please specify"/>
    <n v="0"/>
    <s v="Other - please specify"/>
    <n v="0"/>
    <n v="2418"/>
    <n v="9311"/>
    <n v="855"/>
    <n v="5000"/>
    <n v="2628"/>
    <n v="0"/>
    <n v="0"/>
    <n v="5153"/>
    <s v="Other - stationary"/>
    <n v="646"/>
    <s v="Other - please specify"/>
    <n v="0"/>
    <n v="0"/>
    <n v="3560"/>
    <s v="Other overheads - please specify"/>
    <n v="1800"/>
    <s v="Other overheads - please specify"/>
    <n v="0"/>
    <n v="52444"/>
    <n v="103"/>
    <n v="55524"/>
    <m/>
    <d v="2021-10-11T15:02:37"/>
    <x v="0"/>
    <n v="26"/>
    <x v="2"/>
    <n v="15"/>
    <n v="15"/>
    <n v="15"/>
    <n v="15"/>
    <s v=""/>
    <s v=""/>
    <s v=""/>
    <s v=""/>
    <s v=""/>
    <s v=""/>
    <s v=""/>
    <s v=""/>
    <s v=""/>
    <s v=""/>
    <s v=""/>
    <s v=""/>
    <s v=""/>
    <s v=""/>
    <s v=""/>
    <s v=""/>
    <n v="9"/>
    <n v="9"/>
    <n v="8.8000000000000007"/>
    <n v="8.8000000000000007"/>
    <n v="9.5"/>
    <n v="9.5"/>
    <n v="9.3000000000000007"/>
    <n v="9.3000000000000007"/>
    <s v=""/>
    <s v=""/>
    <s v=""/>
    <s v=""/>
    <s v=""/>
    <s v=""/>
    <s v=""/>
    <s v=""/>
    <n v="9"/>
    <n v="9"/>
    <n v="8.8000000000000007"/>
    <n v="8.8000000000000007"/>
    <s v=""/>
    <s v=""/>
    <s v=""/>
    <s v=""/>
    <s v=""/>
    <s v=""/>
    <s v=""/>
    <s v=""/>
    <s v=""/>
    <s v=""/>
    <s v=""/>
    <s v=""/>
    <s v=""/>
    <s v=""/>
    <s v=""/>
    <s v=""/>
    <s v=""/>
    <s v=""/>
    <s v=""/>
    <s v=""/>
    <n v="15"/>
    <n v="15"/>
    <n v="15"/>
    <n v="15"/>
    <s v=""/>
    <s v=""/>
    <s v=""/>
    <s v=""/>
    <s v=""/>
    <s v=""/>
    <s v=""/>
    <s v=""/>
    <s v=""/>
    <s v=""/>
    <s v=""/>
    <s v=""/>
    <s v=""/>
    <s v=""/>
    <s v=""/>
    <s v=""/>
    <n v="9"/>
    <n v="9"/>
    <n v="8.8000000000000007"/>
    <n v="8.8000000000000007"/>
    <n v="9.5"/>
    <n v="9.5"/>
    <n v="9.3000000000000007"/>
    <n v="9.3000000000000007"/>
    <s v=""/>
    <s v=""/>
    <s v=""/>
    <s v=""/>
    <s v=""/>
    <s v=""/>
    <s v=""/>
    <s v=""/>
    <n v="9"/>
    <n v="9"/>
    <n v="8.8000000000000007"/>
    <n v="8.8000000000000007"/>
    <s v=""/>
    <s v=""/>
    <s v=""/>
    <s v=""/>
    <s v=""/>
    <s v=""/>
    <s v=""/>
    <s v=""/>
    <s v=""/>
    <s v=""/>
    <s v=""/>
    <s v=""/>
    <s v=""/>
    <s v=""/>
    <s v=""/>
    <s v=""/>
    <s v=""/>
    <s v=""/>
    <s v=""/>
    <s v=""/>
    <n v="1"/>
    <n v="27"/>
    <n v="1"/>
    <n v="0"/>
    <n v="29"/>
    <x v="2"/>
    <n v="1058.5"/>
    <n v="0"/>
    <e v="#VALUE!"/>
    <e v="#VALUE!"/>
    <e v="#VALUE!"/>
    <e v="#VALUE!"/>
    <x v="0"/>
    <n v="630711"/>
    <n v="13100"/>
    <n v="26011"/>
    <n v="5360"/>
    <n v="0.64102564102564108"/>
    <n v="12.27326923076923"/>
    <n v="0"/>
    <n v="0"/>
    <n v="0"/>
    <n v="0.56243589743589739"/>
    <n v="0"/>
    <n v="0"/>
    <n v="1.7094017094017096E-2"/>
    <n v="4.2735042735042736E-2"/>
    <n v="2.1367521367521368E-2"/>
    <n v="0.10256410256410256"/>
    <n v="9.6153846153846159E-2"/>
    <n v="0"/>
    <n v="0"/>
    <n v="5.1666666666666666E-2"/>
    <n v="0.19895299145299145"/>
    <n v="1.826923076923077E-2"/>
    <n v="0.10683760683760683"/>
    <n v="5.6153846153846151E-2"/>
    <n v="0"/>
    <n v="0"/>
    <n v="0.11010683760683761"/>
    <n v="1.3803418803418803E-2"/>
    <n v="0"/>
    <n v="0"/>
    <n v="7.6068376068376062E-2"/>
    <n v="3.8461538461538464E-2"/>
    <n v="0"/>
    <n v="14.426965811965808"/>
    <n v="1.1205982905982905"/>
    <n v="2.200854700854701E-3"/>
    <n v="46"/>
    <x v="0"/>
    <x v="1"/>
    <x v="1"/>
    <x v="1"/>
    <x v="0"/>
    <b v="1"/>
    <b v="1"/>
    <n v="0"/>
    <s v=""/>
    <s v=""/>
    <s v=""/>
    <s v=""/>
    <n v="22"/>
    <n v="0"/>
    <s v=""/>
    <s v=""/>
    <n v="1"/>
    <s v=""/>
    <s v=""/>
    <s v=""/>
    <s v=""/>
    <n v="23"/>
    <n v="0"/>
    <s v=""/>
    <s v=""/>
    <s v=""/>
    <s v=""/>
    <n v="11"/>
    <n v="0"/>
    <s v=""/>
    <s v=""/>
    <n v="0.5"/>
    <s v=""/>
    <s v=""/>
    <s v=""/>
    <s v=""/>
    <b v="1"/>
    <b v="1"/>
    <x v="3"/>
    <n v="13.476730769230768"/>
    <n v="0.27991452991452992"/>
    <n v="0.5557905982905984"/>
    <n v="0.11452991452991453"/>
    <n v="0"/>
    <s v=""/>
    <s v=""/>
    <s v=""/>
    <s v=""/>
    <n v="22"/>
    <n v="5"/>
    <s v=""/>
    <s v=""/>
    <n v="1"/>
    <s v=""/>
    <s v=""/>
    <s v=""/>
    <s v=""/>
    <n v="28"/>
    <n v="0"/>
    <s v=""/>
    <s v=""/>
    <s v=""/>
    <s v=""/>
    <n v="19.800000000000008"/>
    <n v="2.0000000000000018"/>
    <s v=""/>
    <s v=""/>
    <n v="0.90000000000000036"/>
    <s v=""/>
    <s v=""/>
    <s v=""/>
    <s v=""/>
    <n v="15"/>
    <n v="15"/>
    <n v="15"/>
    <n v="15"/>
    <s v=""/>
    <s v=""/>
    <s v=""/>
    <s v=""/>
    <s v=""/>
    <s v=""/>
    <s v=""/>
    <s v=""/>
    <s v=""/>
    <s v=""/>
    <s v=""/>
    <s v=""/>
    <s v=""/>
    <s v=""/>
    <s v=""/>
    <s v=""/>
    <n v="198"/>
    <n v="198"/>
    <n v="193.60000000000002"/>
    <n v="193.60000000000002"/>
    <n v="47.5"/>
    <n v="47.5"/>
    <n v="46.5"/>
    <n v="46.5"/>
    <s v=""/>
    <s v=""/>
    <s v=""/>
    <s v=""/>
    <s v=""/>
    <s v=""/>
    <s v=""/>
    <s v=""/>
    <n v="9"/>
    <n v="9"/>
    <n v="8.8000000000000007"/>
    <n v="8.8000000000000007"/>
    <s v=""/>
    <s v=""/>
    <s v=""/>
    <s v=""/>
    <s v=""/>
    <s v=""/>
    <s v=""/>
    <s v=""/>
    <s v=""/>
    <s v=""/>
    <s v=""/>
    <s v=""/>
    <s v=""/>
    <s v=""/>
    <s v=""/>
    <s v=""/>
    <s v=""/>
    <s v=""/>
    <s v=""/>
    <s v=""/>
    <n v="1"/>
    <n v="0"/>
    <n v="0"/>
    <n v="0"/>
    <n v="0"/>
    <n v="22"/>
    <n v="5"/>
    <n v="0"/>
    <n v="0"/>
    <n v="1"/>
    <n v="0"/>
    <n v="0"/>
    <n v="0"/>
    <n v="0"/>
    <n v="0"/>
  </r>
  <r>
    <m/>
    <m/>
    <m/>
    <m/>
    <m/>
    <m/>
    <n v="47"/>
    <n v="65"/>
    <n v="0"/>
    <n v="1"/>
    <n v="0"/>
    <s v="Leased or Rented"/>
    <s v="N/A"/>
    <m/>
    <m/>
    <m/>
    <m/>
    <n v="13.5"/>
    <n v="14.5"/>
    <n v="13"/>
    <n v="13.5"/>
    <n v="1"/>
    <n v="0"/>
    <n v="0"/>
    <n v="0"/>
    <n v="0"/>
    <n v="0"/>
    <s v="Other manager (specify)"/>
    <n v="12.7"/>
    <n v="13.5"/>
    <n v="12.5"/>
    <n v="12.7"/>
    <n v="1"/>
    <s v="Team Leaders"/>
    <n v="12"/>
    <n v="12.5"/>
    <n v="12"/>
    <n v="12.5"/>
    <n v="3"/>
    <s v="Recruitment, Training &amp; Invoicing Manager                13.00"/>
    <n v="13"/>
    <n v="13.5"/>
    <n v="0"/>
    <n v="0"/>
    <n v="2"/>
    <s v="Care Assistant (specify)"/>
    <n v="9"/>
    <n v="9.25"/>
    <n v="0"/>
    <n v="0"/>
    <n v="62"/>
    <s v="Care Assistant (specify)"/>
    <n v="0"/>
    <n v="0"/>
    <n v="0"/>
    <n v="0"/>
    <n v="0"/>
    <s v="Care Assistant (specify)"/>
    <n v="0"/>
    <n v="0"/>
    <n v="0"/>
    <n v="0"/>
    <n v="0"/>
    <s v="Care Assistant (specify)"/>
    <n v="0"/>
    <n v="0"/>
    <n v="0"/>
    <n v="0"/>
    <n v="0"/>
    <s v="Administrative Assistant"/>
    <n v="9.25"/>
    <n v="10"/>
    <n v="0"/>
    <n v="0"/>
    <n v="2"/>
    <s v="Administrative Officer (specify)"/>
    <n v="0"/>
    <n v="0"/>
    <n v="0"/>
    <n v="0"/>
    <n v="0"/>
    <s v="Administrative Officer (specify)"/>
    <n v="0"/>
    <n v="0"/>
    <n v="0"/>
    <n v="0"/>
    <n v="0"/>
    <s v="Other staff (specify)"/>
    <n v="0"/>
    <n v="0"/>
    <n v="0"/>
    <n v="0"/>
    <n v="0"/>
    <s v="Other staff (specify)"/>
    <n v="0"/>
    <n v="0"/>
    <n v="0"/>
    <n v="0"/>
    <n v="0"/>
    <s v="Other staff (specify)"/>
    <n v="0"/>
    <n v="0"/>
    <n v="0"/>
    <n v="0"/>
    <n v="0"/>
    <n v="0.6"/>
    <n v="1.5"/>
    <n v="210"/>
    <n v="643"/>
    <n v="0"/>
    <n v="471"/>
    <n v="65"/>
    <n v="0"/>
    <n v="0"/>
    <n v="0"/>
    <n v="0"/>
    <n v="0"/>
    <n v="0"/>
    <n v="15.65"/>
    <n v="18.55"/>
    <n v="15"/>
    <d v="2020-04-01T00:00:00"/>
    <d v="2021-03-31T00:00:00"/>
    <n v="65854"/>
    <n v="45446.25"/>
    <n v="796185.63"/>
    <n v="118955.19"/>
    <n v="0"/>
    <n v="0"/>
    <n v="0"/>
    <n v="0"/>
    <n v="9013.94"/>
    <n v="6583.57"/>
    <n v="1565"/>
    <n v="9461.14"/>
    <n v="21313.51"/>
    <n v="17465.62"/>
    <s v="Other - Royalty fees"/>
    <n v="32863.1"/>
    <s v="Other - private medical insurance"/>
    <n v="6063.54"/>
    <n v="8120.37"/>
    <n v="2156.92"/>
    <n v="152.1"/>
    <n v="11043.76"/>
    <n v="0"/>
    <n v="0"/>
    <n v="12838.03"/>
    <n v="0"/>
    <s v="Other - Accountancy, Legal &amp; Professional"/>
    <n v="14488.57"/>
    <s v="Other - Sundry"/>
    <n v="4197.5600000000004"/>
    <n v="0"/>
    <n v="0"/>
    <s v="Other overheads - please specify"/>
    <n v="0"/>
    <s v="Other overheads - please specify"/>
    <n v="0"/>
    <m/>
    <n v="0"/>
    <n v="0"/>
    <m/>
    <d v="2021-10-11T15:02:39"/>
    <x v="0"/>
    <n v="65"/>
    <x v="4"/>
    <n v="13.5"/>
    <n v="14.5"/>
    <n v="13"/>
    <n v="13.5"/>
    <s v=""/>
    <s v=""/>
    <s v=""/>
    <s v=""/>
    <n v="12.7"/>
    <n v="13.5"/>
    <n v="12.5"/>
    <n v="12.7"/>
    <n v="12"/>
    <n v="12.5"/>
    <n v="12"/>
    <n v="12.5"/>
    <n v="13"/>
    <n v="13.5"/>
    <s v=""/>
    <s v=""/>
    <n v="9"/>
    <n v="9.25"/>
    <s v=""/>
    <s v=""/>
    <s v=""/>
    <s v=""/>
    <s v=""/>
    <s v=""/>
    <s v=""/>
    <s v=""/>
    <s v=""/>
    <s v=""/>
    <s v=""/>
    <s v=""/>
    <s v=""/>
    <s v=""/>
    <n v="9.25"/>
    <n v="10"/>
    <s v=""/>
    <s v=""/>
    <s v=""/>
    <s v=""/>
    <s v=""/>
    <s v=""/>
    <s v=""/>
    <s v=""/>
    <s v=""/>
    <s v=""/>
    <s v=""/>
    <s v=""/>
    <s v=""/>
    <s v=""/>
    <s v=""/>
    <s v=""/>
    <s v=""/>
    <s v=""/>
    <s v=""/>
    <s v=""/>
    <s v=""/>
    <s v=""/>
    <n v="13.5"/>
    <n v="14.5"/>
    <n v="13"/>
    <n v="13.5"/>
    <s v=""/>
    <s v=""/>
    <s v=""/>
    <s v=""/>
    <n v="12.7"/>
    <n v="13.5"/>
    <n v="12.5"/>
    <n v="12.7"/>
    <n v="12"/>
    <n v="12.5"/>
    <n v="12"/>
    <n v="12.5"/>
    <n v="13"/>
    <n v="13.5"/>
    <n v="13"/>
    <n v="13.5"/>
    <n v="9"/>
    <n v="9.25"/>
    <n v="9"/>
    <n v="9.25"/>
    <s v=""/>
    <s v=""/>
    <s v=""/>
    <s v=""/>
    <s v=""/>
    <s v=""/>
    <s v=""/>
    <s v=""/>
    <s v=""/>
    <s v=""/>
    <s v=""/>
    <s v=""/>
    <n v="9.25"/>
    <n v="10"/>
    <n v="9.25"/>
    <n v="10"/>
    <s v=""/>
    <s v=""/>
    <s v=""/>
    <s v=""/>
    <s v=""/>
    <s v=""/>
    <s v=""/>
    <s v=""/>
    <s v=""/>
    <s v=""/>
    <s v=""/>
    <s v=""/>
    <s v=""/>
    <s v=""/>
    <s v=""/>
    <s v=""/>
    <s v=""/>
    <s v=""/>
    <s v=""/>
    <s v=""/>
    <n v="7"/>
    <n v="62"/>
    <n v="2"/>
    <n v="0"/>
    <n v="71"/>
    <x v="2"/>
    <n v="1390.5"/>
    <n v="0"/>
    <e v="#VALUE!"/>
    <e v="#VALUE!"/>
    <e v="#VALUE!"/>
    <e v="#VALUE!"/>
    <x v="0"/>
    <n v="969601.01"/>
    <n v="95315.48"/>
    <n v="52997.31"/>
    <n v="0"/>
    <n v="0.69010614389406866"/>
    <n v="12.090163543596441"/>
    <n v="1.8063472226440307"/>
    <n v="0"/>
    <n v="0"/>
    <n v="0"/>
    <n v="0"/>
    <n v="0.13687763841224529"/>
    <n v="9.9972211255200893E-2"/>
    <n v="2.3764691590488048E-2"/>
    <n v="0.14366841801561028"/>
    <n v="0.32364791812190602"/>
    <n v="0.26521729887326506"/>
    <n v="0.49902967169799856"/>
    <n v="9.2075500349257447E-2"/>
    <n v="0.12330868284386673"/>
    <n v="3.2753059798949193E-2"/>
    <n v="2.3096546906793817E-3"/>
    <n v="0.16770067118170498"/>
    <n v="0"/>
    <n v="0"/>
    <n v="0.19494685212743343"/>
    <n v="0"/>
    <n v="0.22001047772344884"/>
    <n v="6.3740395420171903E-2"/>
    <n v="0"/>
    <n v="0"/>
    <n v="0"/>
    <n v="0"/>
    <n v="16.975640052236766"/>
    <s v=""/>
    <n v="0"/>
    <n v="47"/>
    <x v="0"/>
    <x v="1"/>
    <x v="1"/>
    <x v="1"/>
    <x v="0"/>
    <b v="1"/>
    <b v="1"/>
    <n v="0"/>
    <s v=""/>
    <n v="0"/>
    <n v="0"/>
    <n v="0"/>
    <n v="62"/>
    <s v=""/>
    <s v=""/>
    <s v=""/>
    <n v="0"/>
    <s v=""/>
    <s v=""/>
    <s v=""/>
    <s v=""/>
    <n v="62"/>
    <n v="0"/>
    <s v=""/>
    <n v="0"/>
    <n v="0"/>
    <n v="0"/>
    <n v="23.25"/>
    <s v=""/>
    <s v=""/>
    <s v=""/>
    <n v="0"/>
    <s v=""/>
    <s v=""/>
    <s v=""/>
    <s v=""/>
    <b v="1"/>
    <b v="0"/>
    <x v="2"/>
    <n v="14.723494548546785"/>
    <n v="1.4473757099037263"/>
    <n v="0.80476979378625435"/>
    <n v="0"/>
    <n v="0"/>
    <s v=""/>
    <n v="0"/>
    <n v="0"/>
    <n v="0"/>
    <n v="62"/>
    <s v=""/>
    <s v=""/>
    <s v=""/>
    <n v="2"/>
    <s v=""/>
    <s v=""/>
    <s v=""/>
    <s v=""/>
    <n v="64"/>
    <n v="0"/>
    <s v=""/>
    <n v="0"/>
    <n v="0"/>
    <n v="0"/>
    <n v="48.050000000000026"/>
    <s v=""/>
    <s v=""/>
    <s v=""/>
    <n v="0.55000000000000071"/>
    <s v=""/>
    <s v=""/>
    <s v=""/>
    <s v=""/>
    <n v="13.5"/>
    <n v="14.5"/>
    <n v="13"/>
    <n v="13.5"/>
    <s v=""/>
    <s v=""/>
    <s v=""/>
    <s v=""/>
    <n v="12.7"/>
    <n v="13.5"/>
    <n v="12.5"/>
    <n v="12.7"/>
    <n v="36"/>
    <n v="37.5"/>
    <n v="36"/>
    <n v="37.5"/>
    <n v="26"/>
    <n v="27"/>
    <n v="26"/>
    <n v="27"/>
    <n v="558"/>
    <n v="573.5"/>
    <n v="558"/>
    <n v="573.5"/>
    <s v=""/>
    <s v=""/>
    <s v=""/>
    <s v=""/>
    <s v=""/>
    <s v=""/>
    <s v=""/>
    <s v=""/>
    <s v=""/>
    <s v=""/>
    <s v=""/>
    <s v=""/>
    <n v="18.5"/>
    <n v="20"/>
    <n v="18.5"/>
    <n v="20"/>
    <s v=""/>
    <s v=""/>
    <s v=""/>
    <s v=""/>
    <s v=""/>
    <s v=""/>
    <s v=""/>
    <s v=""/>
    <s v=""/>
    <s v=""/>
    <s v=""/>
    <s v=""/>
    <s v=""/>
    <s v=""/>
    <s v=""/>
    <s v=""/>
    <s v=""/>
    <s v=""/>
    <s v=""/>
    <s v=""/>
    <n v="1"/>
    <n v="0"/>
    <n v="1"/>
    <n v="3"/>
    <n v="2"/>
    <n v="62"/>
    <n v="0"/>
    <n v="0"/>
    <n v="0"/>
    <n v="2"/>
    <n v="0"/>
    <n v="0"/>
    <n v="0"/>
    <n v="0"/>
    <n v="0"/>
  </r>
  <r>
    <m/>
    <m/>
    <m/>
    <m/>
    <m/>
    <m/>
    <n v="48"/>
    <n v="78"/>
    <m/>
    <n v="1"/>
    <m/>
    <m/>
    <m/>
    <m/>
    <m/>
    <m/>
    <m/>
    <n v="15.5"/>
    <n v="15.75"/>
    <n v="15.25"/>
    <n v="15.5"/>
    <n v="1"/>
    <n v="13.75"/>
    <n v="14"/>
    <n v="12.75"/>
    <n v="13"/>
    <n v="1"/>
    <s v="Other manager (care coordinator)"/>
    <n v="12.5"/>
    <n v="12.75"/>
    <n v="12.25"/>
    <n v="12.5"/>
    <n v="1"/>
    <s v="Other manager (care coordinator)"/>
    <n v="10.75"/>
    <n v="11.5"/>
    <n v="10.25"/>
    <n v="10.5"/>
    <n v="1"/>
    <s v="Other manager (care coordinator)"/>
    <n v="10.75"/>
    <n v="11.5"/>
    <n v="10.25"/>
    <n v="10.5"/>
    <n v="1"/>
    <s v="Care Assistant (Field Coordinator)"/>
    <n v="9.5"/>
    <n v="10"/>
    <n v="8.75"/>
    <n v="9.25"/>
    <n v="1"/>
    <s v="Care Assistant (Deputy Coordinator)"/>
    <n v="9.25"/>
    <n v="9.25"/>
    <n v="8.75"/>
    <n v="9.25"/>
    <n v="1"/>
    <s v="Care Assistant (home supprt carers)"/>
    <n v="9"/>
    <n v="9.5"/>
    <n v="8.75"/>
    <n v="9"/>
    <n v="45"/>
    <s v="Care Assistant (specify)"/>
    <n v="0"/>
    <n v="0"/>
    <n v="0"/>
    <n v="0"/>
    <n v="0"/>
    <s v="Administrative Officer (admin)"/>
    <n v="9.25"/>
    <n v="9.5"/>
    <n v="9"/>
    <n v="9.25"/>
    <n v="1"/>
    <s v="Administrative Officer (admin/apprentice)"/>
    <n v="4.3"/>
    <n v="4.3"/>
    <n v="4.1500000000000004"/>
    <n v="4.1500000000000004"/>
    <n v="1"/>
    <s v="Administrative Officer (specify)"/>
    <n v="0"/>
    <n v="0"/>
    <n v="0"/>
    <n v="0"/>
    <n v="0"/>
    <s v="Other staff (specify)"/>
    <n v="0"/>
    <n v="0"/>
    <n v="0"/>
    <n v="0"/>
    <n v="0"/>
    <s v="Other staff (specify)"/>
    <n v="0"/>
    <n v="0"/>
    <n v="0"/>
    <n v="0"/>
    <n v="0"/>
    <s v="Other staff (specify)"/>
    <n v="0"/>
    <n v="0"/>
    <n v="0"/>
    <n v="0"/>
    <n v="0"/>
    <n v="0.03"/>
    <n v="1287.75"/>
    <n v="0"/>
    <n v="0"/>
    <n v="0"/>
    <n v="143.5"/>
    <n v="60"/>
    <n v="0"/>
    <n v="0"/>
    <n v="0"/>
    <n v="0"/>
    <n v="0"/>
    <n v="0"/>
    <n v="15.58"/>
    <n v="15.58"/>
    <n v="15.58"/>
    <d v="2020-04-01T00:00:00"/>
    <d v="2021-03-31T00:00:00"/>
    <n v="62810"/>
    <n v="141329"/>
    <n v="669782"/>
    <n v="16730"/>
    <n v="0"/>
    <n v="0"/>
    <n v="5459"/>
    <n v="0"/>
    <n v="0"/>
    <n v="5800"/>
    <n v="4535"/>
    <n v="51001"/>
    <n v="3290"/>
    <n v="1000"/>
    <s v="Equipment Leasing"/>
    <n v="2408"/>
    <m/>
    <n v="0"/>
    <n v="5848"/>
    <n v="8353"/>
    <n v="6572"/>
    <n v="12888"/>
    <n v="4312"/>
    <n v="0"/>
    <n v="0"/>
    <n v="5511"/>
    <s v="Postage, stationery &amp; Adv"/>
    <n v="7999"/>
    <s v="Telephone costs"/>
    <n v="3783"/>
    <n v="0"/>
    <n v="1785"/>
    <s v="Other overheads - please specify"/>
    <n v="0"/>
    <s v="Other overheads - please specify"/>
    <n v="0"/>
    <n v="719"/>
    <n v="0"/>
    <n v="160378"/>
    <m/>
    <d v="2021-10-11T15:02:41"/>
    <x v="0"/>
    <n v="78"/>
    <x v="13"/>
    <n v="15.5"/>
    <n v="15.75"/>
    <n v="15.25"/>
    <n v="15.5"/>
    <n v="13.75"/>
    <n v="14"/>
    <n v="12.75"/>
    <n v="13"/>
    <n v="12.5"/>
    <n v="12.75"/>
    <n v="12.25"/>
    <n v="12.5"/>
    <n v="10.75"/>
    <n v="11.5"/>
    <n v="10.25"/>
    <n v="10.5"/>
    <n v="10.75"/>
    <n v="11.5"/>
    <n v="10.25"/>
    <n v="10.5"/>
    <n v="9.5"/>
    <n v="10"/>
    <n v="8.75"/>
    <n v="9.25"/>
    <n v="9.25"/>
    <n v="9.25"/>
    <n v="8.75"/>
    <n v="9.25"/>
    <n v="9"/>
    <n v="9.5"/>
    <n v="8.75"/>
    <n v="9"/>
    <s v=""/>
    <s v=""/>
    <s v=""/>
    <s v=""/>
    <n v="9.25"/>
    <n v="9.5"/>
    <n v="9"/>
    <n v="9.25"/>
    <n v="4.3"/>
    <n v="4.3"/>
    <n v="4.1500000000000004"/>
    <n v="4.1500000000000004"/>
    <s v=""/>
    <s v=""/>
    <s v=""/>
    <s v=""/>
    <s v=""/>
    <s v=""/>
    <s v=""/>
    <s v=""/>
    <s v=""/>
    <s v=""/>
    <s v=""/>
    <s v=""/>
    <s v=""/>
    <s v=""/>
    <s v=""/>
    <s v=""/>
    <n v="15.5"/>
    <n v="15.75"/>
    <n v="15.25"/>
    <n v="15.5"/>
    <n v="13.75"/>
    <n v="14"/>
    <n v="12.75"/>
    <n v="13"/>
    <n v="12.5"/>
    <n v="12.75"/>
    <n v="12.25"/>
    <n v="12.5"/>
    <n v="10.75"/>
    <n v="11.5"/>
    <n v="10.25"/>
    <n v="10.5"/>
    <n v="10.75"/>
    <n v="11.5"/>
    <n v="10.25"/>
    <n v="10.5"/>
    <n v="9.5"/>
    <n v="10"/>
    <n v="8.75"/>
    <n v="9.25"/>
    <n v="9.25"/>
    <n v="9.25"/>
    <n v="8.75"/>
    <n v="9.25"/>
    <n v="9"/>
    <n v="9.5"/>
    <n v="8.75"/>
    <n v="9"/>
    <s v=""/>
    <s v=""/>
    <s v=""/>
    <s v=""/>
    <n v="9.25"/>
    <n v="9.5"/>
    <n v="9"/>
    <n v="9.25"/>
    <n v="4.3"/>
    <n v="4.3"/>
    <n v="4.1500000000000004"/>
    <n v="4.1500000000000004"/>
    <s v=""/>
    <s v=""/>
    <s v=""/>
    <s v=""/>
    <s v=""/>
    <s v=""/>
    <s v=""/>
    <s v=""/>
    <s v=""/>
    <s v=""/>
    <s v=""/>
    <s v=""/>
    <s v=""/>
    <s v=""/>
    <s v=""/>
    <s v=""/>
    <n v="5"/>
    <n v="47"/>
    <n v="2"/>
    <n v="0"/>
    <n v="54"/>
    <x v="2"/>
    <n v="1491.25"/>
    <n v="0"/>
    <n v="60.75"/>
    <n v="62"/>
    <n v="63.25"/>
    <n v="65.5"/>
    <x v="0"/>
    <n v="833300"/>
    <n v="68034"/>
    <n v="55266"/>
    <n v="1785"/>
    <n v="2.2501034867059384"/>
    <n v="10.663620442604682"/>
    <n v="0.26635886005413151"/>
    <n v="0"/>
    <n v="0"/>
    <n v="8.6912911956694788E-2"/>
    <n v="0"/>
    <n v="0"/>
    <n v="9.2341983760547683E-2"/>
    <n v="7.2201878681738579E-2"/>
    <n v="0.8119885368571883"/>
    <n v="5.2380194236586533E-2"/>
    <n v="1.5921031682853051E-2"/>
    <n v="3.8337844292310144E-2"/>
    <n v="0"/>
    <n v="9.3106193281324634E-2"/>
    <n v="0.13298837764687152"/>
    <n v="0.10463302021971024"/>
    <n v="0.2051902563286101"/>
    <n v="6.865148861646235E-2"/>
    <n v="0"/>
    <n v="0"/>
    <n v="8.7740805604203151E-2"/>
    <n v="0.12735233243114155"/>
    <n v="6.0229262856233083E-2"/>
    <n v="0"/>
    <n v="2.8419041553892691E-2"/>
    <n v="0"/>
    <n v="0"/>
    <n v="15.25847794937112"/>
    <n v="1.1447221779971341E-2"/>
    <n v="0"/>
    <n v="48"/>
    <x v="0"/>
    <x v="1"/>
    <x v="1"/>
    <x v="1"/>
    <x v="0"/>
    <b v="1"/>
    <b v="1"/>
    <n v="0"/>
    <n v="0"/>
    <n v="0"/>
    <n v="0"/>
    <n v="0"/>
    <n v="0"/>
    <n v="1"/>
    <n v="45"/>
    <s v=""/>
    <n v="1"/>
    <n v="1"/>
    <s v=""/>
    <s v=""/>
    <s v=""/>
    <n v="48"/>
    <n v="0"/>
    <n v="0"/>
    <n v="0"/>
    <n v="0"/>
    <n v="0"/>
    <n v="0"/>
    <n v="0.25"/>
    <n v="11.25"/>
    <s v=""/>
    <n v="0.125"/>
    <n v="5.2"/>
    <s v=""/>
    <s v=""/>
    <s v=""/>
    <b v="1"/>
    <b v="1"/>
    <x v="3"/>
    <n v="13.266995701321447"/>
    <n v="1.0831714695112242"/>
    <n v="0.87989173698455658"/>
    <n v="2.8419041553892691E-2"/>
    <n v="0"/>
    <n v="0"/>
    <n v="0"/>
    <n v="0"/>
    <n v="0"/>
    <n v="1"/>
    <n v="1"/>
    <n v="45"/>
    <s v=""/>
    <n v="1"/>
    <n v="1"/>
    <s v=""/>
    <s v=""/>
    <s v=""/>
    <n v="49"/>
    <n v="0"/>
    <n v="0"/>
    <n v="0"/>
    <n v="0"/>
    <n v="0"/>
    <n v="0.15000000000000036"/>
    <n v="0.65000000000000036"/>
    <n v="29.250000000000014"/>
    <s v=""/>
    <n v="0.52500000000000036"/>
    <n v="5.6000000000000005"/>
    <s v=""/>
    <s v=""/>
    <s v=""/>
    <n v="15.5"/>
    <n v="15.75"/>
    <n v="15.25"/>
    <n v="15.5"/>
    <n v="13.75"/>
    <n v="14"/>
    <n v="12.75"/>
    <n v="13"/>
    <n v="12.5"/>
    <n v="12.75"/>
    <n v="12.25"/>
    <n v="12.5"/>
    <n v="10.75"/>
    <n v="11.5"/>
    <n v="10.25"/>
    <n v="10.5"/>
    <n v="10.75"/>
    <n v="11.5"/>
    <n v="10.25"/>
    <n v="10.5"/>
    <n v="9.5"/>
    <n v="10"/>
    <n v="8.75"/>
    <n v="9.25"/>
    <n v="9.25"/>
    <n v="9.25"/>
    <n v="8.75"/>
    <n v="9.25"/>
    <n v="405"/>
    <n v="427.5"/>
    <n v="393.75"/>
    <n v="405"/>
    <s v=""/>
    <s v=""/>
    <s v=""/>
    <s v=""/>
    <n v="9.25"/>
    <n v="9.5"/>
    <n v="9"/>
    <n v="9.25"/>
    <n v="4.3"/>
    <n v="4.3"/>
    <n v="4.1500000000000004"/>
    <n v="4.1500000000000004"/>
    <s v=""/>
    <s v=""/>
    <s v=""/>
    <s v=""/>
    <s v=""/>
    <s v=""/>
    <s v=""/>
    <s v=""/>
    <s v=""/>
    <s v=""/>
    <s v=""/>
    <s v=""/>
    <s v=""/>
    <s v=""/>
    <s v=""/>
    <s v=""/>
    <n v="1"/>
    <n v="1"/>
    <n v="1"/>
    <n v="1"/>
    <n v="1"/>
    <n v="1"/>
    <n v="1"/>
    <n v="45"/>
    <n v="0"/>
    <n v="1"/>
    <n v="1"/>
    <n v="0"/>
    <n v="0"/>
    <n v="0"/>
    <n v="0"/>
  </r>
  <r>
    <m/>
    <m/>
    <m/>
    <m/>
    <m/>
    <m/>
    <n v="49"/>
    <n v="0"/>
    <n v="25"/>
    <n v="0"/>
    <n v="1"/>
    <s v="Leased or Rented"/>
    <s v="Leased or Rented"/>
    <m/>
    <m/>
    <m/>
    <m/>
    <n v="20.190000000000001"/>
    <n v="20.190000000000001"/>
    <n v="19.23"/>
    <n v="19.23"/>
    <n v="1"/>
    <n v="11.37"/>
    <n v="11.37"/>
    <n v="11.13"/>
    <n v="11.13"/>
    <n v="1"/>
    <s v="Senior Registered Manager"/>
    <n v="27.4"/>
    <n v="33.17"/>
    <n v="26.44"/>
    <n v="32.21"/>
    <n v="0.2"/>
    <s v="Operations Director"/>
    <n v="22.6"/>
    <n v="31.25"/>
    <n v="20.190000000000001"/>
    <n v="28.85"/>
    <n v="0.2"/>
    <s v="Recruitment Manager"/>
    <n v="20.67"/>
    <n v="20.67"/>
    <n v="20.190000000000001"/>
    <n v="20.190000000000001"/>
    <n v="0.2"/>
    <s v="Support Worker"/>
    <n v="8.91"/>
    <n v="8.91"/>
    <n v="8.7200000000000006"/>
    <n v="8.7200000000000006"/>
    <n v="14"/>
    <s v="Senior Support"/>
    <n v="10.31"/>
    <n v="10.31"/>
    <n v="10.09"/>
    <n v="10.09"/>
    <n v="2"/>
    <s v="Care Assistant (specify)"/>
    <n v="0"/>
    <n v="0"/>
    <n v="0"/>
    <n v="0"/>
    <n v="0"/>
    <s v="Care Assistant (specify)"/>
    <n v="0"/>
    <n v="0"/>
    <n v="0"/>
    <n v="0"/>
    <n v="0"/>
    <s v="Administrative Officer "/>
    <n v="8.91"/>
    <n v="8.91"/>
    <n v="8.7200000000000006"/>
    <n v="8.7200000000000006"/>
    <n v="1"/>
    <s v="Finance Office"/>
    <n v="12.82"/>
    <n v="12.82"/>
    <n v="12.31"/>
    <n v="12.31"/>
    <n v="0.2"/>
    <s v="Administrative Officer (specify)"/>
    <n v="8.91"/>
    <n v="8.91"/>
    <n v="8.7200000000000006"/>
    <n v="8.7200000000000006"/>
    <n v="0.2"/>
    <s v="Recruitment Officer"/>
    <n v="10.31"/>
    <n v="10.31"/>
    <n v="10.09"/>
    <n v="10.09"/>
    <n v="0.2"/>
    <s v="Recruitment Officer"/>
    <n v="19.71"/>
    <n v="19.71"/>
    <n v="19.23"/>
    <n v="19.23"/>
    <n v="0.2"/>
    <s v="Other staff (specify)"/>
    <n v="0"/>
    <n v="0"/>
    <n v="0"/>
    <n v="0"/>
    <n v="0"/>
    <n v="0.03"/>
    <n v="0"/>
    <n v="0"/>
    <n v="0"/>
    <n v="0"/>
    <n v="0"/>
    <n v="0"/>
    <n v="1060"/>
    <n v="0"/>
    <n v="0"/>
    <n v="0"/>
    <n v="0"/>
    <n v="0"/>
    <n v="15.58"/>
    <n v="0"/>
    <n v="0"/>
    <d v="2019-10-01T00:00:00"/>
    <d v="2020-09-30T00:00:00"/>
    <n v="45865"/>
    <n v="135000"/>
    <n v="400000"/>
    <n v="35000"/>
    <n v="6000"/>
    <n v="0"/>
    <n v="1000"/>
    <m/>
    <n v="15000"/>
    <n v="2500"/>
    <n v="500"/>
    <n v="3000"/>
    <n v="0"/>
    <n v="2000"/>
    <s v="Other - please specify"/>
    <n v="0"/>
    <s v="Other - please specify"/>
    <n v="0"/>
    <n v="2000"/>
    <n v="8000"/>
    <n v="2000"/>
    <n v="18000"/>
    <n v="1000"/>
    <n v="1000"/>
    <n v="1000"/>
    <n v="0"/>
    <s v="Post , Stationery,  Storage"/>
    <n v="1500"/>
    <s v="Other - sundry, depreciation enteraining refreshments"/>
    <n v="1400"/>
    <n v="0"/>
    <n v="7500"/>
    <s v="Other overheads - please specify"/>
    <n v="0"/>
    <s v="Other overheads - please specify"/>
    <n v="0"/>
    <n v="41737"/>
    <m/>
    <m/>
    <m/>
    <d v="2021-10-11T15:02:44"/>
    <x v="0"/>
    <n v="25"/>
    <x v="2"/>
    <n v="20.190000000000001"/>
    <n v="20.190000000000001"/>
    <n v="19.23"/>
    <n v="19.23"/>
    <n v="11.37"/>
    <n v="11.37"/>
    <n v="11.13"/>
    <n v="11.13"/>
    <n v="27.4"/>
    <n v="33.17"/>
    <n v="26.44"/>
    <n v="32.21"/>
    <n v="22.6"/>
    <n v="31.25"/>
    <n v="20.190000000000001"/>
    <n v="28.85"/>
    <n v="20.67"/>
    <n v="20.67"/>
    <n v="20.190000000000001"/>
    <n v="20.190000000000001"/>
    <n v="8.91"/>
    <n v="8.91"/>
    <n v="8.7200000000000006"/>
    <n v="8.7200000000000006"/>
    <n v="10.31"/>
    <n v="10.31"/>
    <n v="10.09"/>
    <n v="10.09"/>
    <s v=""/>
    <s v=""/>
    <s v=""/>
    <s v=""/>
    <s v=""/>
    <s v=""/>
    <s v=""/>
    <s v=""/>
    <n v="8.91"/>
    <n v="8.91"/>
    <n v="8.7200000000000006"/>
    <n v="8.7200000000000006"/>
    <n v="12.82"/>
    <n v="12.82"/>
    <n v="12.31"/>
    <n v="12.31"/>
    <n v="8.91"/>
    <n v="8.91"/>
    <n v="8.7200000000000006"/>
    <n v="8.7200000000000006"/>
    <n v="10.31"/>
    <n v="10.31"/>
    <n v="10.09"/>
    <n v="10.09"/>
    <n v="19.71"/>
    <n v="19.71"/>
    <n v="19.23"/>
    <n v="19.23"/>
    <s v=""/>
    <s v=""/>
    <s v=""/>
    <s v=""/>
    <n v="20.190000000000001"/>
    <n v="20.190000000000001"/>
    <n v="19.23"/>
    <n v="19.23"/>
    <n v="11.37"/>
    <n v="11.37"/>
    <n v="11.13"/>
    <n v="11.13"/>
    <n v="27.4"/>
    <n v="33.17"/>
    <n v="26.44"/>
    <n v="32.21"/>
    <n v="22.6"/>
    <n v="31.25"/>
    <n v="20.190000000000001"/>
    <n v="28.85"/>
    <n v="20.67"/>
    <n v="20.67"/>
    <n v="20.190000000000001"/>
    <n v="20.190000000000001"/>
    <n v="8.91"/>
    <n v="8.91"/>
    <n v="8.7200000000000006"/>
    <n v="8.7200000000000006"/>
    <n v="10.31"/>
    <n v="10.31"/>
    <n v="10.09"/>
    <n v="10.09"/>
    <s v=""/>
    <s v=""/>
    <s v=""/>
    <s v=""/>
    <s v=""/>
    <s v=""/>
    <s v=""/>
    <s v=""/>
    <n v="8.91"/>
    <n v="8.91"/>
    <n v="8.7200000000000006"/>
    <n v="8.7200000000000006"/>
    <n v="12.82"/>
    <n v="12.82"/>
    <n v="12.31"/>
    <n v="12.31"/>
    <n v="8.91"/>
    <n v="8.91"/>
    <n v="8.7200000000000006"/>
    <n v="8.7200000000000006"/>
    <n v="10.31"/>
    <n v="10.31"/>
    <n v="10.09"/>
    <n v="10.09"/>
    <n v="19.71"/>
    <n v="19.71"/>
    <n v="19.23"/>
    <n v="19.23"/>
    <s v=""/>
    <s v=""/>
    <s v=""/>
    <s v=""/>
    <n v="2.6000000000000005"/>
    <n v="16"/>
    <n v="1.2"/>
    <n v="0.4"/>
    <n v="20.2"/>
    <x v="0"/>
    <n v="0"/>
    <n v="1060"/>
    <n v="43.72399999999999"/>
    <n v="46.61"/>
    <n v="45.69400000000001"/>
    <n v="48.578000000000003"/>
    <x v="0"/>
    <n v="592000"/>
    <n v="8000"/>
    <n v="35900"/>
    <n v="7500"/>
    <n v="2.9434209091900141"/>
    <n v="8.7212471383407824"/>
    <n v="0.7631091246048185"/>
    <n v="0.13081870707511173"/>
    <n v="0"/>
    <n v="2.1803117845851958E-2"/>
    <n v="0"/>
    <n v="0.32704676768777935"/>
    <n v="5.4507794614629894E-2"/>
    <n v="1.0901558922925979E-2"/>
    <n v="6.5409353537555864E-2"/>
    <n v="0"/>
    <n v="4.3606235691703917E-2"/>
    <n v="0"/>
    <n v="0"/>
    <n v="4.3606235691703917E-2"/>
    <n v="0.17442494276681567"/>
    <n v="4.3606235691703917E-2"/>
    <n v="0.39245612122533524"/>
    <n v="2.1803117845851958E-2"/>
    <n v="2.1803117845851958E-2"/>
    <n v="2.1803117845851958E-2"/>
    <n v="0"/>
    <n v="3.2704676768777932E-2"/>
    <n v="3.0524364984192739E-2"/>
    <n v="0"/>
    <n v="0.16352338384388967"/>
    <n v="0"/>
    <n v="0"/>
    <n v="14.028126022021146"/>
    <n v="0.90999672953232313"/>
    <n v="0"/>
    <n v="49"/>
    <x v="0"/>
    <x v="0"/>
    <x v="0"/>
    <x v="0"/>
    <x v="1"/>
    <b v="0"/>
    <b v="1"/>
    <n v="0"/>
    <n v="0"/>
    <n v="0"/>
    <n v="0"/>
    <n v="0"/>
    <n v="14"/>
    <n v="0"/>
    <s v=""/>
    <s v=""/>
    <n v="1"/>
    <n v="0"/>
    <n v="0"/>
    <n v="0"/>
    <s v=""/>
    <n v="15"/>
    <n v="0"/>
    <n v="0"/>
    <n v="0"/>
    <n v="0"/>
    <n v="0"/>
    <n v="8.259999999999998"/>
    <n v="0"/>
    <s v=""/>
    <s v=""/>
    <n v="0.58999999999999986"/>
    <n v="0"/>
    <n v="0"/>
    <n v="0"/>
    <s v=""/>
    <b v="0"/>
    <b v="1"/>
    <x v="1"/>
    <n v="12.907445764744358"/>
    <n v="0.17442494276681564"/>
    <n v="0.78273193066608548"/>
    <n v="0.16352338384388967"/>
    <n v="0"/>
    <n v="0"/>
    <n v="0"/>
    <n v="0"/>
    <n v="0"/>
    <n v="14"/>
    <n v="0"/>
    <s v=""/>
    <s v=""/>
    <n v="1"/>
    <n v="0"/>
    <n v="0"/>
    <n v="0"/>
    <s v=""/>
    <n v="15"/>
    <n v="0"/>
    <n v="0"/>
    <n v="0"/>
    <n v="0"/>
    <n v="0"/>
    <n v="13.860000000000003"/>
    <n v="0"/>
    <s v=""/>
    <s v=""/>
    <n v="0.99000000000000021"/>
    <n v="0"/>
    <n v="0"/>
    <n v="0"/>
    <s v=""/>
    <n v="20.190000000000001"/>
    <n v="20.190000000000001"/>
    <n v="19.23"/>
    <n v="19.23"/>
    <n v="11.37"/>
    <n v="11.37"/>
    <n v="11.13"/>
    <n v="11.13"/>
    <n v="5.48"/>
    <n v="6.6340000000000003"/>
    <n v="5.2880000000000003"/>
    <n v="6.4420000000000002"/>
    <n v="4.5200000000000005"/>
    <n v="6.25"/>
    <n v="4.0380000000000003"/>
    <n v="5.7700000000000005"/>
    <n v="4.1340000000000003"/>
    <n v="4.1340000000000003"/>
    <n v="4.0380000000000003"/>
    <n v="4.0380000000000003"/>
    <n v="124.74000000000001"/>
    <n v="124.74000000000001"/>
    <n v="122.08000000000001"/>
    <n v="122.08000000000001"/>
    <n v="20.62"/>
    <n v="20.62"/>
    <n v="20.18"/>
    <n v="20.18"/>
    <s v=""/>
    <s v=""/>
    <s v=""/>
    <s v=""/>
    <s v=""/>
    <s v=""/>
    <s v=""/>
    <s v=""/>
    <n v="8.91"/>
    <n v="8.91"/>
    <n v="8.7200000000000006"/>
    <n v="8.7200000000000006"/>
    <n v="2.5640000000000001"/>
    <n v="2.5640000000000001"/>
    <n v="2.4620000000000002"/>
    <n v="2.4620000000000002"/>
    <n v="1.782"/>
    <n v="1.782"/>
    <n v="1.7440000000000002"/>
    <n v="1.7440000000000002"/>
    <n v="2.0620000000000003"/>
    <n v="2.0620000000000003"/>
    <n v="2.0180000000000002"/>
    <n v="2.0180000000000002"/>
    <n v="3.9420000000000002"/>
    <n v="3.9420000000000002"/>
    <n v="3.8460000000000001"/>
    <n v="3.8460000000000001"/>
    <s v=""/>
    <s v=""/>
    <s v=""/>
    <s v=""/>
    <n v="1"/>
    <n v="1"/>
    <n v="0.2"/>
    <n v="0.2"/>
    <n v="0.2"/>
    <n v="14"/>
    <n v="2"/>
    <n v="0"/>
    <n v="0"/>
    <n v="1"/>
    <n v="0.2"/>
    <n v="0.2"/>
    <n v="0.2"/>
    <n v="0.2"/>
    <n v="0"/>
  </r>
  <r>
    <m/>
    <m/>
    <m/>
    <m/>
    <m/>
    <m/>
    <n v="50"/>
    <n v="0"/>
    <n v="32"/>
    <m/>
    <m/>
    <s v="Leased or Rented"/>
    <s v="Leased or Rented"/>
    <m/>
    <m/>
    <m/>
    <m/>
    <n v="18.5"/>
    <n v="0"/>
    <n v="0"/>
    <n v="0"/>
    <n v="1"/>
    <n v="15.5"/>
    <n v="0"/>
    <n v="0"/>
    <n v="0"/>
    <n v="1"/>
    <s v="Other manager (Care)"/>
    <n v="18.5"/>
    <n v="0"/>
    <n v="0"/>
    <n v="0"/>
    <n v="1"/>
    <s v="Other manager (specify)"/>
    <n v="0"/>
    <n v="0"/>
    <n v="0"/>
    <n v="0"/>
    <n v="0"/>
    <s v="Other manager (specify)"/>
    <n v="0"/>
    <n v="0"/>
    <n v="0"/>
    <n v="0"/>
    <n v="0"/>
    <s v="Care Assistant (specify)"/>
    <n v="9.5"/>
    <n v="0"/>
    <n v="0"/>
    <n v="0"/>
    <n v="3"/>
    <s v="Care Assistant (specify)"/>
    <n v="9.25"/>
    <n v="0"/>
    <n v="0"/>
    <n v="0"/>
    <n v="5"/>
    <s v="Care Assistant (specify)"/>
    <n v="0"/>
    <n v="0"/>
    <n v="0"/>
    <n v="0"/>
    <n v="0"/>
    <s v="Care Assistant (specify)"/>
    <n v="0"/>
    <n v="0"/>
    <n v="0"/>
    <n v="0"/>
    <n v="0"/>
    <s v="Administrative Officer (specify)"/>
    <n v="9.25"/>
    <n v="0"/>
    <n v="0"/>
    <n v="0"/>
    <n v="1"/>
    <s v="Administrative Officer (specify)"/>
    <n v="0"/>
    <n v="0"/>
    <n v="0"/>
    <n v="0"/>
    <n v="0"/>
    <s v="Administrative Officer (specify)"/>
    <n v="0"/>
    <n v="0"/>
    <n v="0"/>
    <n v="0"/>
    <n v="0"/>
    <s v="Other staff (specify)"/>
    <n v="0"/>
    <n v="0"/>
    <n v="0"/>
    <n v="0"/>
    <n v="0"/>
    <s v="Other staff (specify)"/>
    <n v="0"/>
    <n v="0"/>
    <n v="0"/>
    <n v="0"/>
    <n v="0"/>
    <s v="Other staff (specify)"/>
    <n v="0"/>
    <n v="0"/>
    <n v="0"/>
    <n v="0"/>
    <n v="0"/>
    <n v="4.4999999999999998E-2"/>
    <n v="0"/>
    <n v="0"/>
    <n v="0"/>
    <n v="0"/>
    <n v="0"/>
    <n v="0"/>
    <n v="193.75"/>
    <n v="3"/>
    <n v="108"/>
    <n v="15"/>
    <n v="74.5"/>
    <n v="2"/>
    <n v="15.58"/>
    <n v="15.58"/>
    <n v="15.27"/>
    <d v="2020-04-01T00:00:00"/>
    <d v="2021-04-01T00:00:00"/>
    <n v="20245.25"/>
    <n v="60523"/>
    <n v="161859.13"/>
    <n v="8404.2000000000007"/>
    <n v="5287.88"/>
    <n v="0"/>
    <n v="3519.95"/>
    <n v="0"/>
    <n v="9522.24"/>
    <n v="412.86"/>
    <n v="982.58"/>
    <n v="823.76"/>
    <n v="5460"/>
    <n v="1189.92"/>
    <s v="PPE"/>
    <n v="2432"/>
    <s v="Other - please specify"/>
    <n v="0"/>
    <n v="14176.8"/>
    <n v="6169.08"/>
    <n v="465.48"/>
    <n v="9388.5"/>
    <n v="2150"/>
    <n v="1198.18"/>
    <n v="525"/>
    <n v="1763.58"/>
    <s v="Other - please specify"/>
    <n v="0"/>
    <s v="Other - please specify"/>
    <n v="0"/>
    <n v="22100"/>
    <n v="5286.6"/>
    <s v="Other overheads - please specify"/>
    <n v="0"/>
    <s v="Other overheads - please specify"/>
    <n v="0"/>
    <n v="11040.46"/>
    <n v="54.48"/>
    <n v="20262"/>
    <m/>
    <d v="2021-10-11T15:02:48"/>
    <x v="0"/>
    <n v="32"/>
    <x v="5"/>
    <n v="18.5"/>
    <n v="18.5"/>
    <s v=""/>
    <s v=""/>
    <n v="15.5"/>
    <s v=""/>
    <s v=""/>
    <s v=""/>
    <n v="18.5"/>
    <n v="18.5"/>
    <s v=""/>
    <s v=""/>
    <s v=""/>
    <s v=""/>
    <s v=""/>
    <s v=""/>
    <s v=""/>
    <s v=""/>
    <s v=""/>
    <s v=""/>
    <n v="9.5"/>
    <n v="9.5"/>
    <s v=""/>
    <s v=""/>
    <n v="9.25"/>
    <n v="9.25"/>
    <s v=""/>
    <s v=""/>
    <s v=""/>
    <s v=""/>
    <s v=""/>
    <s v=""/>
    <s v=""/>
    <s v=""/>
    <s v=""/>
    <s v=""/>
    <n v="9.25"/>
    <n v="9.25"/>
    <s v=""/>
    <s v=""/>
    <s v=""/>
    <s v=""/>
    <s v=""/>
    <s v=""/>
    <s v=""/>
    <s v=""/>
    <s v=""/>
    <s v=""/>
    <s v=""/>
    <s v=""/>
    <s v=""/>
    <s v=""/>
    <s v=""/>
    <s v=""/>
    <s v=""/>
    <s v=""/>
    <s v=""/>
    <s v=""/>
    <s v=""/>
    <s v=""/>
    <n v="18.5"/>
    <n v="18.5"/>
    <n v="18.5"/>
    <n v="18.5"/>
    <n v="15.5"/>
    <s v=""/>
    <n v="15.5"/>
    <s v=""/>
    <n v="18.5"/>
    <n v="18.5"/>
    <n v="18.5"/>
    <n v="18.5"/>
    <s v=""/>
    <s v=""/>
    <s v=""/>
    <s v=""/>
    <s v=""/>
    <s v=""/>
    <s v=""/>
    <s v=""/>
    <n v="9.5"/>
    <n v="9.5"/>
    <n v="9.5"/>
    <n v="9.5"/>
    <n v="9.25"/>
    <n v="9.25"/>
    <n v="9.25"/>
    <n v="9.25"/>
    <s v=""/>
    <s v=""/>
    <s v=""/>
    <s v=""/>
    <s v=""/>
    <s v=""/>
    <s v=""/>
    <s v=""/>
    <n v="9.25"/>
    <n v="9.25"/>
    <n v="9.25"/>
    <n v="9.25"/>
    <s v=""/>
    <s v=""/>
    <s v=""/>
    <s v=""/>
    <s v=""/>
    <s v=""/>
    <s v=""/>
    <s v=""/>
    <s v=""/>
    <s v=""/>
    <s v=""/>
    <s v=""/>
    <s v=""/>
    <s v=""/>
    <s v=""/>
    <s v=""/>
    <s v=""/>
    <s v=""/>
    <s v=""/>
    <s v=""/>
    <n v="3"/>
    <n v="8"/>
    <n v="1"/>
    <n v="0"/>
    <n v="12"/>
    <x v="1"/>
    <n v="0"/>
    <n v="396.25"/>
    <e v="#VALUE!"/>
    <e v="#VALUE!"/>
    <e v="#VALUE!"/>
    <e v="#VALUE!"/>
    <x v="0"/>
    <n v="249116.40000000002"/>
    <n v="11301.119999999999"/>
    <n v="35836.619999999995"/>
    <n v="27386.6"/>
    <n v="2.9894913621713735"/>
    <n v="7.9949188081154841"/>
    <n v="0.41511959595460668"/>
    <n v="0.26119114360158557"/>
    <n v="0"/>
    <n v="0.17386547461750287"/>
    <n v="0"/>
    <n v="0.47034440177325543"/>
    <n v="2.0392931675331252E-2"/>
    <n v="4.853385361998494E-2"/>
    <n v="4.0689050518022747E-2"/>
    <n v="0.26969289092503179"/>
    <n v="5.8775268272804736E-2"/>
    <n v="0.12012694335708377"/>
    <n v="0"/>
    <n v="0.70025314579963194"/>
    <n v="0.30471740284758153"/>
    <n v="2.2992059865894469E-2"/>
    <n v="0.46373840777466319"/>
    <n v="0.10619775008952717"/>
    <n v="5.9183265210357987E-2"/>
    <n v="2.5932008742791519E-2"/>
    <n v="8.7110803768785272E-2"/>
    <n v="0"/>
    <n v="0"/>
    <n v="1.0916140823156049"/>
    <n v="0.26112791889455556"/>
    <n v="0"/>
    <n v="0"/>
    <n v="15.986008569911462"/>
    <n v="0.54533581951321908"/>
    <n v="2.6910015929662513E-3"/>
    <n v="50"/>
    <x v="0"/>
    <x v="0"/>
    <x v="0"/>
    <x v="0"/>
    <x v="1"/>
    <b v="0"/>
    <b v="1"/>
    <n v="0"/>
    <n v="0"/>
    <n v="0"/>
    <s v=""/>
    <s v=""/>
    <n v="0"/>
    <n v="5"/>
    <s v=""/>
    <s v=""/>
    <n v="1"/>
    <s v=""/>
    <s v=""/>
    <s v=""/>
    <s v=""/>
    <n v="6"/>
    <n v="0"/>
    <n v="0"/>
    <n v="0"/>
    <s v=""/>
    <s v=""/>
    <n v="0"/>
    <n v="1.25"/>
    <s v=""/>
    <s v=""/>
    <n v="0.25"/>
    <s v=""/>
    <s v=""/>
    <s v=""/>
    <s v=""/>
    <b v="0"/>
    <b v="1"/>
    <x v="1"/>
    <n v="12.304930786233809"/>
    <n v="0.55821093836825919"/>
    <n v="1.770124844099233"/>
    <n v="1.3527420012101605"/>
    <n v="0"/>
    <n v="0"/>
    <n v="0"/>
    <s v=""/>
    <s v=""/>
    <n v="3"/>
    <n v="5"/>
    <s v=""/>
    <s v=""/>
    <n v="1"/>
    <s v=""/>
    <s v=""/>
    <s v=""/>
    <s v=""/>
    <n v="9"/>
    <n v="0"/>
    <n v="0"/>
    <n v="0"/>
    <s v=""/>
    <s v=""/>
    <n v="1.2000000000000011"/>
    <n v="3.2500000000000018"/>
    <s v=""/>
    <s v=""/>
    <n v="0.65000000000000036"/>
    <s v=""/>
    <s v=""/>
    <s v=""/>
    <s v=""/>
    <n v="18.5"/>
    <n v="18.5"/>
    <n v="18.5"/>
    <n v="18.5"/>
    <n v="15.5"/>
    <s v=""/>
    <n v="15.5"/>
    <s v=""/>
    <n v="18.5"/>
    <n v="18.5"/>
    <n v="18.5"/>
    <n v="18.5"/>
    <s v=""/>
    <s v=""/>
    <s v=""/>
    <s v=""/>
    <s v=""/>
    <s v=""/>
    <s v=""/>
    <s v=""/>
    <n v="28.5"/>
    <n v="28.5"/>
    <n v="28.5"/>
    <n v="28.5"/>
    <n v="46.25"/>
    <n v="46.25"/>
    <n v="46.25"/>
    <n v="46.25"/>
    <s v=""/>
    <s v=""/>
    <s v=""/>
    <s v=""/>
    <s v=""/>
    <s v=""/>
    <s v=""/>
    <s v=""/>
    <n v="9.25"/>
    <n v="9.25"/>
    <n v="9.25"/>
    <n v="9.25"/>
    <s v=""/>
    <s v=""/>
    <s v=""/>
    <s v=""/>
    <s v=""/>
    <s v=""/>
    <s v=""/>
    <s v=""/>
    <s v=""/>
    <s v=""/>
    <s v=""/>
    <s v=""/>
    <s v=""/>
    <s v=""/>
    <s v=""/>
    <s v=""/>
    <s v=""/>
    <s v=""/>
    <s v=""/>
    <s v=""/>
    <n v="1"/>
    <n v="0"/>
    <n v="1"/>
    <n v="0"/>
    <n v="0"/>
    <n v="3"/>
    <n v="5"/>
    <n v="0"/>
    <n v="0"/>
    <n v="1"/>
    <n v="0"/>
    <n v="0"/>
    <n v="0"/>
    <n v="0"/>
    <n v="0"/>
  </r>
  <r>
    <m/>
    <m/>
    <m/>
    <m/>
    <m/>
    <m/>
    <n v="51"/>
    <m/>
    <n v="4"/>
    <m/>
    <n v="1"/>
    <s v="Owned outright"/>
    <s v="Owned outright"/>
    <m/>
    <m/>
    <m/>
    <m/>
    <n v="15.56"/>
    <n v="15.56"/>
    <n v="15.33"/>
    <n v="15.33"/>
    <n v="0.4"/>
    <n v="0"/>
    <n v="0"/>
    <n v="0"/>
    <n v="0"/>
    <n v="0"/>
    <s v="Locality Manager"/>
    <n v="20.010000000000002"/>
    <n v="20.010000000000002"/>
    <n v="19.72"/>
    <n v="19.72"/>
    <n v="0.2"/>
    <s v="Other manager (specify)"/>
    <n v="0"/>
    <n v="0"/>
    <n v="0"/>
    <n v="0"/>
    <n v="0"/>
    <s v="Other manager (specify)"/>
    <n v="0"/>
    <n v="0"/>
    <n v="0"/>
    <n v="0"/>
    <n v="0"/>
    <s v="Care Assistant (senior)"/>
    <n v="10.01"/>
    <n v="10.01"/>
    <n v="9.5"/>
    <n v="9.5"/>
    <n v="1"/>
    <s v="Care Assistant (Days)"/>
    <n v="9.01"/>
    <n v="9.01"/>
    <n v="8.7200000000000006"/>
    <n v="8.7200000000000006"/>
    <n v="5.4"/>
    <s v="Care Assistant (Nights)"/>
    <n v="9.01"/>
    <n v="9.01"/>
    <n v="8.7200000000000006"/>
    <n v="8.7200000000000006"/>
    <n v="2"/>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273.25"/>
    <n v="0"/>
    <n v="0"/>
    <n v="0"/>
    <n v="0"/>
    <n v="0"/>
    <n v="0"/>
    <n v="0"/>
    <n v="0"/>
    <d v="2020-04-01T00:00:00"/>
    <d v="2021-03-31T00:00:00"/>
    <n v="12507.793025652503"/>
    <n v="15006.73"/>
    <n v="138073.74"/>
    <n v="0"/>
    <n v="118.76"/>
    <n v="0"/>
    <n v="0"/>
    <n v="0"/>
    <n v="0"/>
    <n v="118.76"/>
    <n v="0"/>
    <n v="388.92500000000001"/>
    <n v="0"/>
    <n v="174.245"/>
    <s v="Other - please specify"/>
    <n v="0"/>
    <s v="Other - please specify"/>
    <n v="0"/>
    <n v="0"/>
    <n v="0"/>
    <n v="0"/>
    <n v="0"/>
    <n v="0"/>
    <n v="0"/>
    <n v="0"/>
    <n v="0"/>
    <s v="Other - please specify"/>
    <n v="0"/>
    <s v="Other - please specify"/>
    <n v="0"/>
    <n v="0"/>
    <n v="30939.053100000001"/>
    <s v="Other overheads - please specify"/>
    <n v="0"/>
    <s v="Other overheads - please specify"/>
    <n v="0"/>
    <n v="8671.4491999999991"/>
    <n v="12209.4442"/>
    <n v="610472.21"/>
    <m/>
    <d v="2021-10-11T15:02:50"/>
    <x v="0"/>
    <n v="4"/>
    <x v="0"/>
    <n v="15.56"/>
    <n v="15.56"/>
    <n v="15.33"/>
    <n v="15.33"/>
    <s v=""/>
    <s v=""/>
    <s v=""/>
    <s v=""/>
    <n v="20.010000000000002"/>
    <n v="20.010000000000002"/>
    <n v="19.72"/>
    <n v="19.72"/>
    <s v=""/>
    <s v=""/>
    <s v=""/>
    <s v=""/>
    <s v=""/>
    <s v=""/>
    <s v=""/>
    <s v=""/>
    <n v="10.01"/>
    <n v="10.01"/>
    <n v="9.5"/>
    <n v="9.5"/>
    <n v="9.01"/>
    <n v="9.01"/>
    <n v="8.7200000000000006"/>
    <n v="8.7200000000000006"/>
    <n v="9.01"/>
    <n v="9.01"/>
    <n v="8.7200000000000006"/>
    <n v="8.7200000000000006"/>
    <s v=""/>
    <s v=""/>
    <s v=""/>
    <s v=""/>
    <s v=""/>
    <s v=""/>
    <s v=""/>
    <s v=""/>
    <s v=""/>
    <s v=""/>
    <s v=""/>
    <s v=""/>
    <s v=""/>
    <s v=""/>
    <s v=""/>
    <s v=""/>
    <s v=""/>
    <s v=""/>
    <s v=""/>
    <s v=""/>
    <s v=""/>
    <s v=""/>
    <s v=""/>
    <s v=""/>
    <s v=""/>
    <s v=""/>
    <s v=""/>
    <s v=""/>
    <n v="15.56"/>
    <n v="15.56"/>
    <n v="15.33"/>
    <n v="15.33"/>
    <s v=""/>
    <s v=""/>
    <s v=""/>
    <s v=""/>
    <n v="20.010000000000002"/>
    <n v="20.010000000000002"/>
    <n v="19.72"/>
    <n v="19.72"/>
    <s v=""/>
    <s v=""/>
    <s v=""/>
    <s v=""/>
    <s v=""/>
    <s v=""/>
    <s v=""/>
    <s v=""/>
    <n v="10.01"/>
    <n v="10.01"/>
    <n v="9.5"/>
    <n v="9.5"/>
    <n v="9.01"/>
    <n v="9.01"/>
    <n v="8.7200000000000006"/>
    <n v="8.7200000000000006"/>
    <n v="9.01"/>
    <n v="9.01"/>
    <n v="8.7200000000000006"/>
    <n v="8.7200000000000006"/>
    <s v=""/>
    <s v=""/>
    <s v=""/>
    <s v=""/>
    <s v=""/>
    <s v=""/>
    <s v=""/>
    <s v=""/>
    <s v=""/>
    <s v=""/>
    <s v=""/>
    <s v=""/>
    <s v=""/>
    <s v=""/>
    <s v=""/>
    <s v=""/>
    <s v=""/>
    <s v=""/>
    <s v=""/>
    <s v=""/>
    <s v=""/>
    <s v=""/>
    <s v=""/>
    <s v=""/>
    <s v=""/>
    <s v=""/>
    <s v=""/>
    <s v=""/>
    <n v="0.60000000000000009"/>
    <n v="8.4"/>
    <n v="0"/>
    <n v="0"/>
    <n v="9"/>
    <x v="0"/>
    <n v="0"/>
    <n v="273.25"/>
    <e v="#VALUE!"/>
    <e v="#VALUE!"/>
    <e v="#VALUE!"/>
    <e v="#VALUE!"/>
    <x v="0"/>
    <n v="153199.23000000001"/>
    <n v="681.93000000000006"/>
    <n v="0"/>
    <n v="30939.053100000001"/>
    <n v="1.1997904002106825"/>
    <n v="11.039017012579404"/>
    <n v="0"/>
    <n v="9.4948804922205341E-3"/>
    <n v="0"/>
    <n v="0"/>
    <n v="0"/>
    <n v="0"/>
    <n v="9.4948804922205341E-3"/>
    <n v="0"/>
    <n v="3.1094614309842297E-2"/>
    <n v="0"/>
    <n v="1.393091488183704E-2"/>
    <n v="0"/>
    <n v="0"/>
    <n v="0"/>
    <n v="0"/>
    <n v="0"/>
    <n v="0"/>
    <n v="0"/>
    <n v="0"/>
    <n v="0"/>
    <n v="0"/>
    <n v="0"/>
    <n v="0"/>
    <n v="0"/>
    <n v="2.4735821128912532"/>
    <n v="0"/>
    <n v="0"/>
    <n v="14.776404815857457"/>
    <n v="0.69328371377872466"/>
    <n v="0.97614696493293318"/>
    <n v="51"/>
    <x v="1"/>
    <x v="0"/>
    <x v="0"/>
    <x v="0"/>
    <x v="1"/>
    <b v="0"/>
    <b v="1"/>
    <n v="0"/>
    <s v=""/>
    <n v="0"/>
    <s v=""/>
    <s v=""/>
    <n v="0"/>
    <n v="5.4"/>
    <n v="2"/>
    <s v=""/>
    <s v=""/>
    <s v=""/>
    <s v=""/>
    <s v=""/>
    <s v=""/>
    <n v="7.4"/>
    <n v="0"/>
    <s v=""/>
    <n v="0"/>
    <s v=""/>
    <s v=""/>
    <n v="0"/>
    <n v="2.6460000000000012"/>
    <n v="0.98000000000000043"/>
    <s v=""/>
    <s v=""/>
    <s v=""/>
    <s v=""/>
    <s v=""/>
    <s v=""/>
    <b v="0"/>
    <b v="1"/>
    <x v="1"/>
    <n v="12.248302293282306"/>
    <n v="5.4520409683899873E-2"/>
    <n v="0"/>
    <n v="2.4735821128912532"/>
    <n v="0"/>
    <s v=""/>
    <n v="0"/>
    <s v=""/>
    <s v=""/>
    <n v="0"/>
    <n v="5.4"/>
    <n v="2"/>
    <s v=""/>
    <s v=""/>
    <s v=""/>
    <s v=""/>
    <s v=""/>
    <s v=""/>
    <n v="7.4"/>
    <n v="0"/>
    <s v=""/>
    <n v="0"/>
    <s v=""/>
    <s v=""/>
    <n v="0"/>
    <n v="4.8060000000000036"/>
    <n v="1.7800000000000011"/>
    <s v=""/>
    <s v=""/>
    <s v=""/>
    <s v=""/>
    <s v=""/>
    <s v=""/>
    <n v="6.2240000000000002"/>
    <n v="6.2240000000000002"/>
    <n v="6.1320000000000006"/>
    <n v="6.1320000000000006"/>
    <s v=""/>
    <s v=""/>
    <s v=""/>
    <s v=""/>
    <n v="4.0020000000000007"/>
    <n v="4.0020000000000007"/>
    <n v="3.944"/>
    <n v="3.944"/>
    <s v=""/>
    <s v=""/>
    <s v=""/>
    <s v=""/>
    <s v=""/>
    <s v=""/>
    <s v=""/>
    <s v=""/>
    <n v="10.01"/>
    <n v="10.01"/>
    <n v="9.5"/>
    <n v="9.5"/>
    <n v="48.654000000000003"/>
    <n v="48.654000000000003"/>
    <n v="47.088000000000008"/>
    <n v="47.088000000000008"/>
    <n v="18.02"/>
    <n v="18.02"/>
    <n v="17.440000000000001"/>
    <n v="17.440000000000001"/>
    <s v=""/>
    <s v=""/>
    <s v=""/>
    <s v=""/>
    <s v=""/>
    <s v=""/>
    <s v=""/>
    <s v=""/>
    <s v=""/>
    <s v=""/>
    <s v=""/>
    <s v=""/>
    <s v=""/>
    <s v=""/>
    <s v=""/>
    <s v=""/>
    <s v=""/>
    <s v=""/>
    <s v=""/>
    <s v=""/>
    <s v=""/>
    <s v=""/>
    <s v=""/>
    <s v=""/>
    <s v=""/>
    <s v=""/>
    <s v=""/>
    <s v=""/>
    <n v="0.4"/>
    <n v="0"/>
    <n v="0.2"/>
    <n v="0"/>
    <n v="0"/>
    <n v="1"/>
    <n v="5.4"/>
    <n v="2"/>
    <n v="0"/>
    <n v="0"/>
    <n v="0"/>
    <n v="0"/>
    <n v="0"/>
    <n v="0"/>
    <n v="0"/>
  </r>
  <r>
    <m/>
    <m/>
    <m/>
    <m/>
    <m/>
    <m/>
    <n v="52"/>
    <m/>
    <n v="3"/>
    <m/>
    <n v="1"/>
    <s v="Leased or Rented"/>
    <s v="Owned outright"/>
    <m/>
    <m/>
    <m/>
    <m/>
    <n v="20.010000000000002"/>
    <n v="20.010000000000002"/>
    <n v="19.72"/>
    <n v="19.72"/>
    <n v="0.1"/>
    <n v="0"/>
    <n v="0"/>
    <n v="0"/>
    <n v="0"/>
    <n v="0"/>
    <s v="Scheme Manager"/>
    <n v="13.34"/>
    <n v="13.34"/>
    <n v="13.14"/>
    <n v="13.14"/>
    <n v="0.5"/>
    <s v="Other manager (specify)"/>
    <n v="0"/>
    <n v="0"/>
    <n v="0"/>
    <n v="0"/>
    <n v="0"/>
    <s v="Other manager (specify)"/>
    <n v="0"/>
    <n v="0"/>
    <n v="0"/>
    <n v="0"/>
    <n v="0"/>
    <s v="Care Assistant (senior)"/>
    <n v="10.01"/>
    <n v="10.01"/>
    <n v="9.5"/>
    <n v="9.5"/>
    <n v="0.5"/>
    <s v="Care Assistant (Days)"/>
    <n v="8.7200000000000006"/>
    <n v="8.7200000000000006"/>
    <n v="9.01"/>
    <n v="9.01"/>
    <n v="4.8"/>
    <s v="Care Assistant "/>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169.50000000000003"/>
    <n v="0"/>
    <n v="0"/>
    <n v="0"/>
    <n v="0"/>
    <n v="0"/>
    <n v="0"/>
    <n v="0"/>
    <n v="0"/>
    <d v="2020-04-01T00:00:00"/>
    <d v="2021-03-31T00:00:00"/>
    <n v="7777.3054071716888"/>
    <n v="12583.990100000001"/>
    <n v="59784.825700000001"/>
    <m/>
    <m/>
    <n v="21774.55"/>
    <m/>
    <m/>
    <m/>
    <n v="161"/>
    <m/>
    <n v="935.04"/>
    <m/>
    <n v="452.94499999999999"/>
    <s v="Other - please specify"/>
    <m/>
    <s v="Other - please specify"/>
    <m/>
    <n v="0"/>
    <n v="0"/>
    <n v="0"/>
    <n v="0"/>
    <n v="0"/>
    <n v="0"/>
    <n v="0"/>
    <n v="0"/>
    <s v="Other - please specify"/>
    <n v="0"/>
    <s v="Other - please specify"/>
    <n v="0"/>
    <n v="0"/>
    <n v="20770.677800000001"/>
    <s v="Other overheads - please specify"/>
    <n v="0"/>
    <s v="Other overheads - please specify"/>
    <n v="0"/>
    <n v="13436.0142"/>
    <n v="2209.4441999999999"/>
    <n v="0"/>
    <m/>
    <d v="2021-10-11T15:02:53"/>
    <x v="0"/>
    <n v="3"/>
    <x v="0"/>
    <n v="20.010000000000002"/>
    <n v="20.010000000000002"/>
    <n v="19.72"/>
    <n v="19.72"/>
    <s v=""/>
    <s v=""/>
    <s v=""/>
    <s v=""/>
    <n v="13.34"/>
    <n v="13.34"/>
    <n v="13.14"/>
    <n v="13.14"/>
    <s v=""/>
    <s v=""/>
    <s v=""/>
    <s v=""/>
    <s v=""/>
    <s v=""/>
    <s v=""/>
    <s v=""/>
    <n v="10.01"/>
    <n v="10.01"/>
    <n v="9.5"/>
    <n v="9.5"/>
    <n v="8.7200000000000006"/>
    <n v="8.7200000000000006"/>
    <n v="9.01"/>
    <n v="9.01"/>
    <s v=""/>
    <s v=""/>
    <s v=""/>
    <s v=""/>
    <s v=""/>
    <s v=""/>
    <s v=""/>
    <s v=""/>
    <s v=""/>
    <s v=""/>
    <s v=""/>
    <s v=""/>
    <s v=""/>
    <s v=""/>
    <s v=""/>
    <s v=""/>
    <s v=""/>
    <s v=""/>
    <s v=""/>
    <s v=""/>
    <s v=""/>
    <s v=""/>
    <s v=""/>
    <s v=""/>
    <s v=""/>
    <s v=""/>
    <s v=""/>
    <s v=""/>
    <s v=""/>
    <s v=""/>
    <s v=""/>
    <s v=""/>
    <n v="20.010000000000002"/>
    <n v="20.010000000000002"/>
    <n v="19.72"/>
    <n v="19.72"/>
    <s v=""/>
    <s v=""/>
    <s v=""/>
    <s v=""/>
    <n v="13.34"/>
    <n v="13.34"/>
    <n v="13.14"/>
    <n v="13.14"/>
    <s v=""/>
    <s v=""/>
    <s v=""/>
    <s v=""/>
    <s v=""/>
    <s v=""/>
    <s v=""/>
    <s v=""/>
    <n v="10.01"/>
    <n v="10.01"/>
    <n v="9.5"/>
    <n v="9.5"/>
    <n v="8.7200000000000006"/>
    <n v="8.7200000000000006"/>
    <n v="9.01"/>
    <n v="9.01"/>
    <s v=""/>
    <s v=""/>
    <s v=""/>
    <s v=""/>
    <s v=""/>
    <s v=""/>
    <s v=""/>
    <s v=""/>
    <s v=""/>
    <s v=""/>
    <s v=""/>
    <s v=""/>
    <s v=""/>
    <s v=""/>
    <s v=""/>
    <s v=""/>
    <s v=""/>
    <s v=""/>
    <s v=""/>
    <s v=""/>
    <s v=""/>
    <s v=""/>
    <s v=""/>
    <s v=""/>
    <s v=""/>
    <s v=""/>
    <s v=""/>
    <s v=""/>
    <s v=""/>
    <s v=""/>
    <s v=""/>
    <s v=""/>
    <n v="0.6"/>
    <n v="5.3"/>
    <n v="0"/>
    <n v="0"/>
    <n v="5.8999999999999995"/>
    <x v="0"/>
    <n v="0"/>
    <n v="169.50000000000003"/>
    <e v="#VALUE!"/>
    <e v="#VALUE!"/>
    <e v="#VALUE!"/>
    <e v="#VALUE!"/>
    <x v="0"/>
    <n v="94143.3658"/>
    <n v="1548.9849999999999"/>
    <n v="0"/>
    <n v="20770.677800000001"/>
    <n v="1.6180398532885083"/>
    <n v="7.6870873098117762"/>
    <n v="0"/>
    <n v="0"/>
    <n v="2.7997550385408587"/>
    <n v="0"/>
    <n v="0"/>
    <n v="0"/>
    <n v="2.0701257256984795E-2"/>
    <n v="0"/>
    <n v="0.12022673034516188"/>
    <n v="0"/>
    <n v="5.8239322784254519E-2"/>
    <n v="0"/>
    <n v="0"/>
    <n v="0"/>
    <n v="0"/>
    <n v="0"/>
    <n v="0"/>
    <n v="0"/>
    <n v="0"/>
    <n v="0"/>
    <n v="0"/>
    <n v="0"/>
    <n v="0"/>
    <n v="0"/>
    <n v="2.6706779163959191"/>
    <n v="0"/>
    <n v="0"/>
    <n v="14.974727428423463"/>
    <n v="1.7275924625012469"/>
    <n v="0.28408865080219231"/>
    <n v="52"/>
    <x v="0"/>
    <x v="0"/>
    <x v="0"/>
    <x v="0"/>
    <x v="1"/>
    <b v="0"/>
    <b v="0"/>
    <n v="0"/>
    <s v=""/>
    <n v="0"/>
    <s v=""/>
    <s v=""/>
    <n v="0"/>
    <n v="4.8"/>
    <s v=""/>
    <s v=""/>
    <s v=""/>
    <s v=""/>
    <s v=""/>
    <s v=""/>
    <s v=""/>
    <n v="4.8"/>
    <n v="0"/>
    <s v=""/>
    <n v="0"/>
    <s v=""/>
    <s v=""/>
    <n v="0"/>
    <n v="3.7439999999999967"/>
    <s v=""/>
    <s v=""/>
    <s v=""/>
    <s v=""/>
    <s v=""/>
    <s v=""/>
    <s v=""/>
    <b v="0"/>
    <b v="1"/>
    <x v="1"/>
    <n v="12.104882201641143"/>
    <n v="0.19916731038640118"/>
    <n v="0"/>
    <n v="2.6706779163959191"/>
    <n v="0"/>
    <s v=""/>
    <n v="0"/>
    <s v=""/>
    <s v=""/>
    <n v="0"/>
    <n v="4.8"/>
    <s v=""/>
    <s v=""/>
    <s v=""/>
    <s v=""/>
    <s v=""/>
    <s v=""/>
    <s v=""/>
    <n v="4.8"/>
    <n v="0"/>
    <s v=""/>
    <n v="0"/>
    <s v=""/>
    <s v=""/>
    <n v="0"/>
    <n v="5.6639999999999988"/>
    <s v=""/>
    <s v=""/>
    <s v=""/>
    <s v=""/>
    <s v=""/>
    <s v=""/>
    <s v=""/>
    <n v="2.0010000000000003"/>
    <n v="2.0010000000000003"/>
    <n v="1.972"/>
    <n v="1.972"/>
    <s v=""/>
    <s v=""/>
    <s v=""/>
    <s v=""/>
    <n v="6.67"/>
    <n v="6.67"/>
    <n v="6.57"/>
    <n v="6.57"/>
    <s v=""/>
    <s v=""/>
    <s v=""/>
    <s v=""/>
    <s v=""/>
    <s v=""/>
    <s v=""/>
    <s v=""/>
    <n v="5.0049999999999999"/>
    <n v="5.0049999999999999"/>
    <n v="4.75"/>
    <n v="4.75"/>
    <n v="41.856000000000002"/>
    <n v="41.856000000000002"/>
    <n v="43.247999999999998"/>
    <n v="43.247999999999998"/>
    <s v=""/>
    <s v=""/>
    <s v=""/>
    <s v=""/>
    <s v=""/>
    <s v=""/>
    <s v=""/>
    <s v=""/>
    <s v=""/>
    <s v=""/>
    <s v=""/>
    <s v=""/>
    <s v=""/>
    <s v=""/>
    <s v=""/>
    <s v=""/>
    <s v=""/>
    <s v=""/>
    <s v=""/>
    <s v=""/>
    <s v=""/>
    <s v=""/>
    <s v=""/>
    <s v=""/>
    <s v=""/>
    <s v=""/>
    <s v=""/>
    <s v=""/>
    <s v=""/>
    <s v=""/>
    <s v=""/>
    <s v=""/>
    <n v="0.1"/>
    <n v="0"/>
    <n v="0.5"/>
    <n v="0"/>
    <n v="0"/>
    <n v="0.5"/>
    <n v="4.8"/>
    <n v="0"/>
    <n v="0"/>
    <n v="0"/>
    <n v="0"/>
    <n v="0"/>
    <n v="0"/>
    <n v="0"/>
    <n v="0"/>
  </r>
  <r>
    <m/>
    <m/>
    <m/>
    <m/>
    <m/>
    <m/>
    <n v="53"/>
    <n v="15"/>
    <n v="0"/>
    <n v="0.8"/>
    <n v="0"/>
    <s v="Leased or Rented"/>
    <s v="N/A"/>
    <m/>
    <m/>
    <m/>
    <m/>
    <n v="18"/>
    <n v="18"/>
    <n v="18"/>
    <n v="18"/>
    <n v="1"/>
    <n v="25"/>
    <n v="25"/>
    <n v="25"/>
    <n v="25"/>
    <n v="1"/>
    <s v="Other manager (clinical lead)"/>
    <n v="30"/>
    <n v="30"/>
    <n v="30"/>
    <n v="30"/>
    <n v="1"/>
    <s v="Other manager (specify)"/>
    <n v="0"/>
    <n v="0"/>
    <n v="0"/>
    <n v="0"/>
    <n v="0"/>
    <s v="Other manager (specify)"/>
    <n v="0"/>
    <n v="0"/>
    <n v="0"/>
    <n v="0"/>
    <n v="0"/>
    <s v="Care Assistant (specify)"/>
    <n v="9"/>
    <n v="9"/>
    <n v="9"/>
    <n v="9"/>
    <n v="38"/>
    <s v="Care Assistant (senior)"/>
    <n v="10.5"/>
    <n v="10.5"/>
    <n v="10.5"/>
    <n v="10.5"/>
    <n v="10"/>
    <s v="Care Assistant (specify)"/>
    <n v="0"/>
    <n v="0"/>
    <n v="0"/>
    <n v="0"/>
    <n v="0"/>
    <s v="Care Assistant (specify)"/>
    <n v="0"/>
    <n v="0"/>
    <n v="0"/>
    <n v="0"/>
    <n v="0"/>
    <s v="Administrative Officer (specify)"/>
    <n v="12"/>
    <n v="12"/>
    <n v="12"/>
    <n v="12"/>
    <n v="2"/>
    <s v="Administrative Officer (specify)"/>
    <n v="0"/>
    <n v="0"/>
    <n v="0"/>
    <n v="0"/>
    <n v="0"/>
    <s v="Administrative Officer (specify)"/>
    <n v="0"/>
    <n v="0"/>
    <n v="0"/>
    <n v="0"/>
    <n v="0"/>
    <s v="Other staff (specify)"/>
    <n v="0"/>
    <n v="0"/>
    <n v="0"/>
    <n v="0"/>
    <n v="0"/>
    <s v="Other staff (specify)"/>
    <n v="0"/>
    <n v="0"/>
    <n v="0"/>
    <n v="0"/>
    <n v="0"/>
    <s v="Other staff (specify)"/>
    <n v="0"/>
    <n v="0"/>
    <n v="0"/>
    <n v="0"/>
    <n v="0"/>
    <n v="0.03"/>
    <n v="0"/>
    <n v="220"/>
    <n v="345"/>
    <n v="0"/>
    <n v="105"/>
    <n v="0"/>
    <n v="0"/>
    <n v="0"/>
    <n v="0"/>
    <n v="0"/>
    <n v="0"/>
    <n v="0"/>
    <n v="16"/>
    <n v="0"/>
    <n v="16"/>
    <d v="2019-07-01T00:00:00"/>
    <d v="2020-06-30T00:00:00"/>
    <n v="34840"/>
    <m/>
    <n v="459611"/>
    <n v="0"/>
    <n v="0"/>
    <n v="0"/>
    <n v="0"/>
    <n v="27055"/>
    <n v="0"/>
    <m/>
    <n v="5000"/>
    <n v="2024"/>
    <n v="0"/>
    <n v="1404"/>
    <s v="IT Equipment &amp; Telephoney"/>
    <n v="10775"/>
    <s v="Other - please specify"/>
    <n v="0"/>
    <m/>
    <n v="1644"/>
    <n v="5359"/>
    <n v="2250"/>
    <n v="15276"/>
    <n v="864"/>
    <n v="4273"/>
    <n v="0"/>
    <s v="Other non-staff current expenses"/>
    <n v="0"/>
    <s v="Other - please specify"/>
    <n v="0"/>
    <m/>
    <n v="0"/>
    <s v="Support Services (finance / HR / Payroll / legal etc.)"/>
    <n v="18600"/>
    <s v="Other overheads - please specify"/>
    <n v="0"/>
    <m/>
    <n v="130313"/>
    <m/>
    <m/>
    <d v="2021-10-11T15:02:55"/>
    <x v="0"/>
    <n v="15"/>
    <x v="1"/>
    <n v="18"/>
    <n v="18"/>
    <n v="18"/>
    <n v="18"/>
    <n v="25"/>
    <n v="25"/>
    <n v="25"/>
    <n v="25"/>
    <n v="30"/>
    <n v="30"/>
    <n v="30"/>
    <n v="30"/>
    <s v=""/>
    <s v=""/>
    <s v=""/>
    <s v=""/>
    <s v=""/>
    <s v=""/>
    <s v=""/>
    <s v=""/>
    <n v="9"/>
    <n v="9"/>
    <n v="9"/>
    <n v="9"/>
    <n v="10.5"/>
    <n v="10.5"/>
    <n v="10.5"/>
    <n v="10.5"/>
    <s v=""/>
    <s v=""/>
    <s v=""/>
    <s v=""/>
    <s v=""/>
    <s v=""/>
    <s v=""/>
    <s v=""/>
    <n v="12"/>
    <n v="12"/>
    <n v="12"/>
    <n v="12"/>
    <s v=""/>
    <s v=""/>
    <s v=""/>
    <s v=""/>
    <s v=""/>
    <s v=""/>
    <s v=""/>
    <s v=""/>
    <s v=""/>
    <s v=""/>
    <s v=""/>
    <s v=""/>
    <s v=""/>
    <s v=""/>
    <s v=""/>
    <s v=""/>
    <s v=""/>
    <s v=""/>
    <s v=""/>
    <s v=""/>
    <n v="18"/>
    <n v="18"/>
    <n v="18"/>
    <n v="18"/>
    <n v="25"/>
    <n v="25"/>
    <n v="25"/>
    <n v="25"/>
    <n v="30"/>
    <n v="30"/>
    <n v="30"/>
    <n v="30"/>
    <s v=""/>
    <s v=""/>
    <s v=""/>
    <s v=""/>
    <s v=""/>
    <s v=""/>
    <s v=""/>
    <s v=""/>
    <n v="9"/>
    <n v="9"/>
    <n v="9"/>
    <n v="9"/>
    <n v="10.5"/>
    <n v="10.5"/>
    <n v="10.5"/>
    <n v="10.5"/>
    <s v=""/>
    <s v=""/>
    <s v=""/>
    <s v=""/>
    <s v=""/>
    <s v=""/>
    <s v=""/>
    <s v=""/>
    <n v="12"/>
    <n v="12"/>
    <n v="12"/>
    <n v="12"/>
    <s v=""/>
    <s v=""/>
    <s v=""/>
    <s v=""/>
    <s v=""/>
    <s v=""/>
    <s v=""/>
    <s v=""/>
    <s v=""/>
    <s v=""/>
    <s v=""/>
    <s v=""/>
    <s v=""/>
    <s v=""/>
    <s v=""/>
    <s v=""/>
    <s v=""/>
    <s v=""/>
    <s v=""/>
    <s v=""/>
    <n v="3"/>
    <n v="48"/>
    <n v="2"/>
    <n v="0"/>
    <n v="53"/>
    <x v="2"/>
    <n v="670"/>
    <n v="0"/>
    <e v="#VALUE!"/>
    <e v="#VALUE!"/>
    <e v="#VALUE!"/>
    <e v="#VALUE!"/>
    <x v="0"/>
    <n v="486666"/>
    <n v="19203"/>
    <n v="29666"/>
    <n v="18600"/>
    <n v="0"/>
    <n v="13.192049368541905"/>
    <n v="0"/>
    <n v="0"/>
    <n v="0"/>
    <n v="0"/>
    <n v="0.77654994259471877"/>
    <n v="0"/>
    <n v="0"/>
    <n v="0.14351320321469574"/>
    <n v="5.8094144661308841E-2"/>
    <n v="0"/>
    <n v="4.0298507462686567E-2"/>
    <n v="0.30927095292766932"/>
    <n v="0"/>
    <n v="0"/>
    <n v="4.7187141216991961E-2"/>
    <n v="0.15381745120551091"/>
    <n v="6.4580941446613083E-2"/>
    <n v="0.43846153846153846"/>
    <n v="2.4799081515499425E-2"/>
    <n v="0.12264638346727899"/>
    <n v="0"/>
    <n v="0"/>
    <n v="0"/>
    <n v="0"/>
    <n v="0"/>
    <n v="0.53386911595866815"/>
    <n v="0"/>
    <n v="15.905137772675083"/>
    <s v=""/>
    <n v="3.7403272101033296"/>
    <n v="53"/>
    <x v="0"/>
    <x v="1"/>
    <x v="1"/>
    <x v="1"/>
    <x v="0"/>
    <b v="1"/>
    <b v="1"/>
    <n v="0"/>
    <n v="0"/>
    <n v="0"/>
    <s v=""/>
    <s v=""/>
    <n v="38"/>
    <n v="0"/>
    <s v=""/>
    <s v=""/>
    <n v="0"/>
    <s v=""/>
    <s v=""/>
    <s v=""/>
    <s v=""/>
    <n v="38"/>
    <n v="0"/>
    <n v="0"/>
    <n v="0"/>
    <s v=""/>
    <s v=""/>
    <n v="19"/>
    <n v="0"/>
    <s v=""/>
    <s v=""/>
    <n v="0"/>
    <s v=""/>
    <s v=""/>
    <s v=""/>
    <s v=""/>
    <b v="1"/>
    <b v="1"/>
    <x v="3"/>
    <n v="13.968599311136623"/>
    <n v="0.55117680826636051"/>
    <n v="0.85149253731343288"/>
    <n v="0.53386911595866815"/>
    <n v="0"/>
    <n v="0"/>
    <n v="0"/>
    <s v=""/>
    <s v=""/>
    <n v="38"/>
    <n v="0"/>
    <s v=""/>
    <s v=""/>
    <n v="0"/>
    <s v=""/>
    <s v=""/>
    <s v=""/>
    <s v=""/>
    <n v="38"/>
    <n v="0"/>
    <n v="0"/>
    <n v="0"/>
    <s v=""/>
    <s v=""/>
    <n v="34.200000000000017"/>
    <n v="0"/>
    <s v=""/>
    <s v=""/>
    <n v="0"/>
    <s v=""/>
    <s v=""/>
    <s v=""/>
    <s v=""/>
    <n v="18"/>
    <n v="18"/>
    <n v="18"/>
    <n v="18"/>
    <n v="25"/>
    <n v="25"/>
    <n v="25"/>
    <n v="25"/>
    <n v="30"/>
    <n v="30"/>
    <n v="30"/>
    <n v="30"/>
    <s v=""/>
    <s v=""/>
    <s v=""/>
    <s v=""/>
    <s v=""/>
    <s v=""/>
    <s v=""/>
    <s v=""/>
    <n v="342"/>
    <n v="342"/>
    <n v="342"/>
    <n v="342"/>
    <n v="105"/>
    <n v="105"/>
    <n v="105"/>
    <n v="105"/>
    <s v=""/>
    <s v=""/>
    <s v=""/>
    <s v=""/>
    <s v=""/>
    <s v=""/>
    <s v=""/>
    <s v=""/>
    <n v="24"/>
    <n v="24"/>
    <n v="24"/>
    <n v="24"/>
    <s v=""/>
    <s v=""/>
    <s v=""/>
    <s v=""/>
    <s v=""/>
    <s v=""/>
    <s v=""/>
    <s v=""/>
    <s v=""/>
    <s v=""/>
    <s v=""/>
    <s v=""/>
    <s v=""/>
    <s v=""/>
    <s v=""/>
    <s v=""/>
    <s v=""/>
    <s v=""/>
    <s v=""/>
    <s v=""/>
    <n v="1"/>
    <n v="1"/>
    <n v="1"/>
    <n v="0"/>
    <n v="0"/>
    <n v="38"/>
    <n v="10"/>
    <n v="0"/>
    <n v="0"/>
    <n v="2"/>
    <n v="0"/>
    <n v="0"/>
    <n v="0"/>
    <n v="0"/>
    <n v="0"/>
  </r>
  <r>
    <m/>
    <m/>
    <m/>
    <m/>
    <m/>
    <m/>
    <n v="54"/>
    <n v="1"/>
    <n v="2"/>
    <n v="0.33"/>
    <n v="0.67"/>
    <s v="Leased or Rented"/>
    <s v="Leased or Rented"/>
    <m/>
    <m/>
    <m/>
    <m/>
    <n v="15"/>
    <n v="20"/>
    <n v="12"/>
    <n v="15"/>
    <n v="1"/>
    <n v="14"/>
    <n v="18"/>
    <n v="0"/>
    <n v="0"/>
    <n v="1"/>
    <s v="Other manager (specify)"/>
    <n v="0"/>
    <n v="0"/>
    <n v="0"/>
    <n v="0"/>
    <n v="0"/>
    <s v="Other manager (specify)"/>
    <n v="0"/>
    <n v="0"/>
    <n v="0"/>
    <n v="0"/>
    <n v="0"/>
    <s v="Other manager (specify)"/>
    <n v="0"/>
    <n v="0"/>
    <n v="0"/>
    <n v="0"/>
    <n v="0"/>
    <s v="Care Assistant (Co-ordinator)"/>
    <n v="11"/>
    <n v="15"/>
    <n v="10"/>
    <n v="13"/>
    <n v="1"/>
    <s v="Care Assistant (PA)"/>
    <n v="8.91"/>
    <n v="11"/>
    <n v="8.7200000000000006"/>
    <n v="10"/>
    <n v="14"/>
    <s v="Care Assistant (specify)"/>
    <n v="0"/>
    <n v="0"/>
    <n v="0"/>
    <n v="0"/>
    <n v="0"/>
    <s v="Care Assistant (specify)"/>
    <n v="0"/>
    <n v="0"/>
    <n v="0"/>
    <n v="0"/>
    <n v="0"/>
    <s v="Administrative Officer (Home Admin)"/>
    <n v="11"/>
    <n v="15"/>
    <n v="10"/>
    <n v="13"/>
    <n v="0"/>
    <s v="Administrative Officer (Book keeper)"/>
    <n v="10"/>
    <n v="14"/>
    <n v="9"/>
    <n v="13"/>
    <n v="0"/>
    <s v="Administrative Officer (specify)"/>
    <n v="0"/>
    <n v="0"/>
    <n v="0"/>
    <n v="0"/>
    <n v="0"/>
    <s v="Other staff (Cleaners)"/>
    <n v="8.91"/>
    <n v="10"/>
    <n v="8.7200000000000006"/>
    <n v="9"/>
    <n v="1"/>
    <s v="Other staff (specify)"/>
    <n v="0"/>
    <n v="0"/>
    <n v="0"/>
    <n v="0"/>
    <n v="0"/>
    <s v="Other staff (specify)"/>
    <n v="0"/>
    <n v="0"/>
    <n v="0"/>
    <n v="0"/>
    <n v="0"/>
    <n v="0.03"/>
    <m/>
    <n v="168"/>
    <n v="0"/>
    <n v="0"/>
    <n v="0"/>
    <n v="0"/>
    <n v="303"/>
    <n v="0"/>
    <n v="0"/>
    <n v="0"/>
    <n v="0"/>
    <n v="0"/>
    <n v="20"/>
    <n v="0"/>
    <n v="0"/>
    <d v="2020-03-01T00:00:00"/>
    <d v="2021-02-28T00:00:00"/>
    <n v="24492"/>
    <n v="45000"/>
    <n v="244920"/>
    <n v="22880"/>
    <n v="4500"/>
    <m/>
    <n v="5429"/>
    <m/>
    <n v="4830"/>
    <m/>
    <m/>
    <n v="53332"/>
    <n v="0"/>
    <n v="2861"/>
    <s v="Other - please specify"/>
    <n v="0"/>
    <s v="Other - please specify"/>
    <n v="0"/>
    <n v="2110"/>
    <n v="5197"/>
    <n v="5718"/>
    <n v="24190"/>
    <n v="2633.4"/>
    <n v="258"/>
    <n v="0"/>
    <n v="2020"/>
    <s v="Other - please specify"/>
    <n v="0"/>
    <s v="Other - please specify"/>
    <n v="0"/>
    <n v="0"/>
    <n v="7381.6"/>
    <s v="Other overheads - please specify"/>
    <n v="0"/>
    <s v="Other overheads - please specify"/>
    <n v="0"/>
    <n v="3054"/>
    <n v="0.27"/>
    <n v="11191"/>
    <m/>
    <d v="2021-10-11T15:02:58"/>
    <x v="0"/>
    <n v="3"/>
    <x v="0"/>
    <n v="15"/>
    <n v="20"/>
    <n v="12"/>
    <n v="15"/>
    <n v="14"/>
    <n v="18"/>
    <s v=""/>
    <s v=""/>
    <s v=""/>
    <s v=""/>
    <s v=""/>
    <s v=""/>
    <s v=""/>
    <s v=""/>
    <s v=""/>
    <s v=""/>
    <s v=""/>
    <s v=""/>
    <s v=""/>
    <s v=""/>
    <n v="11"/>
    <n v="15"/>
    <n v="10"/>
    <n v="13"/>
    <n v="8.91"/>
    <n v="11"/>
    <n v="8.7200000000000006"/>
    <n v="10"/>
    <s v=""/>
    <s v=""/>
    <s v=""/>
    <s v=""/>
    <s v=""/>
    <s v=""/>
    <s v=""/>
    <s v=""/>
    <n v="11"/>
    <n v="15"/>
    <n v="10"/>
    <n v="13"/>
    <n v="10"/>
    <n v="14"/>
    <n v="9"/>
    <n v="13"/>
    <s v=""/>
    <s v=""/>
    <s v=""/>
    <s v=""/>
    <n v="8.91"/>
    <n v="10"/>
    <n v="8.7200000000000006"/>
    <n v="9"/>
    <s v=""/>
    <s v=""/>
    <s v=""/>
    <s v=""/>
    <s v=""/>
    <s v=""/>
    <s v=""/>
    <s v=""/>
    <n v="15"/>
    <n v="20"/>
    <n v="12"/>
    <n v="15"/>
    <n v="14"/>
    <n v="18"/>
    <n v="14"/>
    <n v="18"/>
    <s v=""/>
    <s v=""/>
    <s v=""/>
    <s v=""/>
    <s v=""/>
    <s v=""/>
    <s v=""/>
    <s v=""/>
    <s v=""/>
    <s v=""/>
    <s v=""/>
    <s v=""/>
    <n v="11"/>
    <n v="15"/>
    <n v="10"/>
    <n v="13"/>
    <n v="8.91"/>
    <n v="11"/>
    <n v="8.7200000000000006"/>
    <n v="10"/>
    <s v=""/>
    <s v=""/>
    <s v=""/>
    <s v=""/>
    <s v=""/>
    <s v=""/>
    <s v=""/>
    <s v=""/>
    <n v="11"/>
    <n v="15"/>
    <n v="10"/>
    <n v="13"/>
    <n v="10"/>
    <n v="14"/>
    <n v="9"/>
    <n v="13"/>
    <s v=""/>
    <s v=""/>
    <s v=""/>
    <s v=""/>
    <n v="8.91"/>
    <n v="10"/>
    <n v="8.7200000000000006"/>
    <n v="9"/>
    <s v=""/>
    <s v=""/>
    <s v=""/>
    <s v=""/>
    <s v=""/>
    <s v=""/>
    <s v=""/>
    <s v=""/>
    <n v="2"/>
    <n v="15"/>
    <n v="0"/>
    <n v="1"/>
    <n v="18"/>
    <x v="0"/>
    <n v="168"/>
    <n v="303"/>
    <e v="#VALUE!"/>
    <e v="#VALUE!"/>
    <e v="#VALUE!"/>
    <e v="#VALUE!"/>
    <x v="0"/>
    <n v="327559"/>
    <n v="56193"/>
    <n v="42126.400000000001"/>
    <n v="7381.6"/>
    <n v="1.8373346398824106"/>
    <n v="10"/>
    <n v="0.93418259023354566"/>
    <n v="0.18373346398824106"/>
    <n v="0"/>
    <n v="0.22166421688714683"/>
    <n v="0"/>
    <n v="0.19720725134737874"/>
    <n v="0"/>
    <n v="0"/>
    <n v="2.1775273558713049"/>
    <n v="0"/>
    <n v="0.11681365343785725"/>
    <n v="0"/>
    <n v="0"/>
    <n v="8.6150579781153036E-2"/>
    <n v="0.21219173607708638"/>
    <n v="0.2334639882410583"/>
    <n v="0.98766944308345583"/>
    <n v="0.10752082312591867"/>
    <n v="1.0534051935325821E-2"/>
    <n v="0"/>
    <n v="8.2475910501388208E-2"/>
    <n v="0"/>
    <n v="0"/>
    <n v="0"/>
    <n v="0.30138820839457786"/>
    <n v="0"/>
    <n v="0"/>
    <n v="17.689857912787851"/>
    <n v="0.12469377756001959"/>
    <n v="1.1024007839294465E-5"/>
    <n v="54"/>
    <x v="0"/>
    <x v="1"/>
    <x v="0"/>
    <x v="1"/>
    <x v="1"/>
    <b v="0"/>
    <b v="1"/>
    <n v="0"/>
    <n v="0"/>
    <s v=""/>
    <s v=""/>
    <s v=""/>
    <n v="0"/>
    <n v="0"/>
    <s v=""/>
    <s v=""/>
    <n v="0"/>
    <n v="0"/>
    <n v="1"/>
    <s v=""/>
    <s v=""/>
    <n v="1"/>
    <n v="0"/>
    <n v="0"/>
    <s v=""/>
    <s v=""/>
    <s v=""/>
    <n v="0"/>
    <n v="0"/>
    <s v=""/>
    <s v=""/>
    <n v="0"/>
    <n v="0"/>
    <n v="4.4999999999999929E-2"/>
    <s v=""/>
    <s v=""/>
    <b v="0"/>
    <b v="1"/>
    <x v="1"/>
    <n v="13.374122162338724"/>
    <n v="2.2943410093091621"/>
    <n v="1.7200065327453862"/>
    <n v="0.30138820839457786"/>
    <n v="0"/>
    <n v="0"/>
    <s v=""/>
    <s v=""/>
    <s v=""/>
    <n v="0"/>
    <n v="0"/>
    <s v=""/>
    <s v=""/>
    <n v="0"/>
    <n v="0"/>
    <n v="1"/>
    <s v=""/>
    <s v=""/>
    <n v="1"/>
    <n v="0"/>
    <n v="0"/>
    <s v=""/>
    <s v=""/>
    <s v=""/>
    <n v="0"/>
    <n v="0"/>
    <s v=""/>
    <s v=""/>
    <n v="0"/>
    <n v="0"/>
    <n v="0.44500000000000028"/>
    <s v=""/>
    <s v=""/>
    <n v="15"/>
    <n v="20"/>
    <n v="12"/>
    <n v="15"/>
    <n v="14"/>
    <n v="18"/>
    <n v="14"/>
    <n v="18"/>
    <s v=""/>
    <s v=""/>
    <s v=""/>
    <s v=""/>
    <s v=""/>
    <s v=""/>
    <s v=""/>
    <s v=""/>
    <s v=""/>
    <s v=""/>
    <s v=""/>
    <s v=""/>
    <n v="11"/>
    <n v="15"/>
    <n v="10"/>
    <n v="13"/>
    <n v="124.74000000000001"/>
    <n v="154"/>
    <n v="122.08000000000001"/>
    <n v="140"/>
    <s v=""/>
    <s v=""/>
    <s v=""/>
    <s v=""/>
    <s v=""/>
    <s v=""/>
    <s v=""/>
    <s v=""/>
    <s v=""/>
    <s v=""/>
    <s v=""/>
    <s v=""/>
    <s v=""/>
    <s v=""/>
    <s v=""/>
    <s v=""/>
    <s v=""/>
    <s v=""/>
    <s v=""/>
    <s v=""/>
    <n v="8.91"/>
    <n v="10"/>
    <n v="8.7200000000000006"/>
    <n v="9"/>
    <s v=""/>
    <s v=""/>
    <s v=""/>
    <s v=""/>
    <s v=""/>
    <s v=""/>
    <s v=""/>
    <s v=""/>
    <n v="1"/>
    <n v="1"/>
    <n v="0"/>
    <n v="0"/>
    <n v="0"/>
    <n v="1"/>
    <n v="14"/>
    <n v="0"/>
    <n v="0"/>
    <n v="0"/>
    <n v="0"/>
    <n v="0"/>
    <n v="1"/>
    <n v="0"/>
    <n v="0"/>
  </r>
  <r>
    <m/>
    <m/>
    <m/>
    <m/>
    <m/>
    <m/>
    <n v="55"/>
    <n v="300"/>
    <n v="0"/>
    <n v="1"/>
    <n v="0"/>
    <s v="Leased or Rented"/>
    <s v="Leased or Rented"/>
    <m/>
    <m/>
    <m/>
    <m/>
    <n v="20.51"/>
    <n v="22.05"/>
    <n v="17.309999999999999"/>
    <n v="20.51"/>
    <n v="1"/>
    <n v="13.33"/>
    <n v="14.31"/>
    <n v="13.33"/>
    <n v="13.33"/>
    <n v="1"/>
    <s v="Finane Manager"/>
    <n v="20.51"/>
    <n v="22.05"/>
    <n v="20"/>
    <n v="20.51"/>
    <n v="1"/>
    <s v="London Branch"/>
    <n v="15.38"/>
    <n v="15.38"/>
    <n v="11.28"/>
    <n v="11.28"/>
    <n v="1"/>
    <s v="Other manager (specify)"/>
    <n v="0"/>
    <n v="0"/>
    <n v="0"/>
    <n v="0"/>
    <n v="0"/>
    <s v="Care Coordinators"/>
    <n v="9.91"/>
    <n v="10"/>
    <n v="9.91"/>
    <n v="9.91"/>
    <n v="3"/>
    <s v="Care Assistant (specify)"/>
    <n v="8.7200000000000006"/>
    <n v="8.91"/>
    <n v="8.2100000000000009"/>
    <n v="8.2100000000000009"/>
    <n v="131"/>
    <s v="Care Assistant (specify)"/>
    <n v="9"/>
    <n v="9.15"/>
    <n v="9"/>
    <n v="9"/>
    <n v="34"/>
    <s v="Care Assistant (specify)"/>
    <n v="0"/>
    <n v="0"/>
    <n v="0"/>
    <n v="0"/>
    <n v="0"/>
    <s v="Admin staff"/>
    <n v="9.5"/>
    <n v="9.74"/>
    <n v="9.5"/>
    <n v="9.5"/>
    <n v="3"/>
    <s v="HR Staff-Apprenticship"/>
    <n v="4.3499999999999996"/>
    <n v="4.55"/>
    <n v="4.3499999999999996"/>
    <n v="4.55"/>
    <n v="3"/>
    <s v="Administrative Officer (specify)"/>
    <n v="0"/>
    <n v="0"/>
    <n v="0"/>
    <n v="0"/>
    <n v="0"/>
    <s v="Other staff (specify)"/>
    <n v="0"/>
    <n v="0"/>
    <n v="0"/>
    <n v="0"/>
    <n v="0"/>
    <s v="Other staff (specify)"/>
    <n v="0"/>
    <n v="0"/>
    <n v="0"/>
    <n v="0"/>
    <n v="0"/>
    <s v="Other staff (specify)"/>
    <n v="0"/>
    <n v="0"/>
    <n v="0"/>
    <n v="0"/>
    <n v="0"/>
    <n v="0.03"/>
    <n v="0"/>
    <n v="0"/>
    <n v="0"/>
    <n v="0"/>
    <n v="0"/>
    <n v="0"/>
    <n v="2282.5"/>
    <n v="661"/>
    <n v="91.5"/>
    <n v="307"/>
    <n v="108"/>
    <n v="0"/>
    <n v="14.86"/>
    <n v="15.58"/>
    <n v="15.58"/>
    <d v="2020-03-01T00:00:00"/>
    <d v="2021-02-28T00:00:00"/>
    <n v="130785.71"/>
    <n v="120000"/>
    <n v="1145574"/>
    <n v="95000"/>
    <n v="0"/>
    <n v="0"/>
    <n v="41183"/>
    <n v="8500"/>
    <n v="35060"/>
    <n v="32211"/>
    <n v="0"/>
    <n v="21270"/>
    <n v="15338"/>
    <n v="24982"/>
    <s v="Table Stationery"/>
    <n v="18750"/>
    <s v="Other - please specify"/>
    <n v="0"/>
    <n v="41672"/>
    <n v="19010"/>
    <n v="19671"/>
    <n v="35713"/>
    <n v="0"/>
    <n v="0"/>
    <n v="1645"/>
    <n v="0"/>
    <m/>
    <m/>
    <s v="Travel expenses"/>
    <n v="46580"/>
    <n v="0"/>
    <n v="9170"/>
    <s v="Consultancy fee"/>
    <n v="13688"/>
    <s v="Other overheads - please specify"/>
    <n v="0"/>
    <n v="85983"/>
    <n v="0"/>
    <n v="1"/>
    <m/>
    <d v="2021-10-11T15:03:01"/>
    <x v="0"/>
    <n v="300"/>
    <x v="8"/>
    <n v="20.51"/>
    <n v="22.05"/>
    <n v="17.309999999999999"/>
    <n v="20.51"/>
    <n v="13.33"/>
    <n v="14.31"/>
    <n v="13.33"/>
    <n v="13.33"/>
    <n v="20.51"/>
    <n v="22.05"/>
    <n v="20"/>
    <n v="20.51"/>
    <n v="15.38"/>
    <n v="15.38"/>
    <n v="11.28"/>
    <n v="11.28"/>
    <s v=""/>
    <s v=""/>
    <s v=""/>
    <s v=""/>
    <n v="9.91"/>
    <n v="10"/>
    <n v="9.91"/>
    <n v="9.91"/>
    <n v="8.7200000000000006"/>
    <n v="8.91"/>
    <n v="8.2100000000000009"/>
    <n v="8.2100000000000009"/>
    <n v="9"/>
    <n v="9.15"/>
    <n v="9"/>
    <n v="9"/>
    <s v=""/>
    <s v=""/>
    <s v=""/>
    <s v=""/>
    <n v="9.5"/>
    <n v="9.74"/>
    <n v="9.5"/>
    <n v="9.5"/>
    <n v="4.3499999999999996"/>
    <n v="4.55"/>
    <n v="4.3499999999999996"/>
    <n v="4.55"/>
    <s v=""/>
    <s v=""/>
    <s v=""/>
    <s v=""/>
    <s v=""/>
    <s v=""/>
    <s v=""/>
    <s v=""/>
    <s v=""/>
    <s v=""/>
    <s v=""/>
    <s v=""/>
    <s v=""/>
    <s v=""/>
    <s v=""/>
    <s v=""/>
    <n v="20.51"/>
    <n v="22.05"/>
    <n v="17.309999999999999"/>
    <n v="20.51"/>
    <n v="13.33"/>
    <n v="14.31"/>
    <n v="13.33"/>
    <n v="13.33"/>
    <n v="20.51"/>
    <n v="22.05"/>
    <n v="20"/>
    <n v="20.51"/>
    <n v="15.38"/>
    <n v="15.38"/>
    <n v="11.28"/>
    <n v="11.28"/>
    <s v=""/>
    <s v=""/>
    <s v=""/>
    <s v=""/>
    <n v="9.91"/>
    <n v="10"/>
    <n v="9.91"/>
    <n v="9.91"/>
    <n v="8.7200000000000006"/>
    <n v="8.91"/>
    <n v="8.2100000000000009"/>
    <n v="8.2100000000000009"/>
    <n v="9"/>
    <n v="9.15"/>
    <n v="9"/>
    <n v="9"/>
    <s v=""/>
    <s v=""/>
    <s v=""/>
    <s v=""/>
    <n v="9.5"/>
    <n v="9.74"/>
    <n v="9.5"/>
    <n v="9.5"/>
    <n v="4.3499999999999996"/>
    <n v="4.55"/>
    <n v="4.3499999999999996"/>
    <n v="4.55"/>
    <s v=""/>
    <s v=""/>
    <s v=""/>
    <s v=""/>
    <s v=""/>
    <s v=""/>
    <s v=""/>
    <s v=""/>
    <s v=""/>
    <s v=""/>
    <s v=""/>
    <s v=""/>
    <s v=""/>
    <s v=""/>
    <s v=""/>
    <s v=""/>
    <n v="4"/>
    <n v="168"/>
    <n v="6"/>
    <n v="0"/>
    <n v="178"/>
    <x v="2"/>
    <n v="0"/>
    <n v="3450"/>
    <e v="#VALUE!"/>
    <e v="#VALUE!"/>
    <e v="#VALUE!"/>
    <e v="#VALUE!"/>
    <x v="0"/>
    <n v="1445317"/>
    <n v="112551"/>
    <n v="164291"/>
    <n v="22858"/>
    <n v="0.91753143367115564"/>
    <n v="8.7591679549700032"/>
    <n v="0.72637905165633154"/>
    <n v="0"/>
    <n v="0"/>
    <n v="0.31488914194066003"/>
    <n v="6.4991809885040192E-2"/>
    <n v="0.26807210053758929"/>
    <n v="0.24628837508317994"/>
    <n v="0"/>
    <n v="0.16263244661821233"/>
    <n v="0.11727580941373487"/>
    <n v="0.19101475229977341"/>
    <n v="0.14336428651111807"/>
    <n v="0"/>
    <n v="0.31862808253286995"/>
    <n v="0.14535227128407224"/>
    <n v="0.15040634026454419"/>
    <n v="0.27306500075581652"/>
    <n v="0"/>
    <n v="0"/>
    <n v="1.2577826736575424E-2"/>
    <n v="0"/>
    <n v="0"/>
    <n v="0.35615511817002021"/>
    <n v="0"/>
    <n v="7.0114693723037469E-2"/>
    <n v="0.10465975220075649"/>
    <n v="0"/>
    <n v="13.342566248254492"/>
    <n v="0.65743421051122475"/>
    <n v="0"/>
    <n v="55"/>
    <x v="0"/>
    <x v="1"/>
    <x v="1"/>
    <x v="0"/>
    <x v="1"/>
    <b v="1"/>
    <b v="1"/>
    <n v="0"/>
    <n v="0"/>
    <n v="0"/>
    <n v="0"/>
    <s v=""/>
    <n v="0"/>
    <n v="131"/>
    <n v="34"/>
    <s v=""/>
    <n v="0"/>
    <n v="3"/>
    <s v=""/>
    <s v=""/>
    <s v=""/>
    <n v="168"/>
    <n v="0"/>
    <n v="0"/>
    <n v="0"/>
    <n v="0"/>
    <s v=""/>
    <n v="0"/>
    <n v="89.734999999999829"/>
    <n v="14.450000000000024"/>
    <s v=""/>
    <n v="0"/>
    <n v="15.150000000000002"/>
    <s v=""/>
    <s v=""/>
    <s v=""/>
    <b v="1"/>
    <b v="1"/>
    <x v="3"/>
    <n v="11.05103149266078"/>
    <n v="0.86057566992601864"/>
    <n v="1.2561846397438985"/>
    <n v="0.17477444592379396"/>
    <n v="0"/>
    <n v="0"/>
    <n v="0"/>
    <n v="0"/>
    <s v=""/>
    <n v="0"/>
    <n v="131"/>
    <n v="34"/>
    <s v=""/>
    <n v="3"/>
    <n v="3"/>
    <s v=""/>
    <s v=""/>
    <s v=""/>
    <n v="171"/>
    <n v="0"/>
    <n v="0"/>
    <n v="0"/>
    <n v="0"/>
    <s v=""/>
    <n v="0"/>
    <n v="142.13499999999988"/>
    <n v="28.050000000000036"/>
    <s v=""/>
    <n v="0.83999999999999808"/>
    <n v="16.350000000000001"/>
    <s v=""/>
    <s v=""/>
    <s v=""/>
    <n v="20.51"/>
    <n v="22.05"/>
    <n v="17.309999999999999"/>
    <n v="20.51"/>
    <n v="13.33"/>
    <n v="14.31"/>
    <n v="13.33"/>
    <n v="13.33"/>
    <n v="20.51"/>
    <n v="22.05"/>
    <n v="20"/>
    <n v="20.51"/>
    <n v="15.38"/>
    <n v="15.38"/>
    <n v="11.28"/>
    <n v="11.28"/>
    <s v=""/>
    <s v=""/>
    <s v=""/>
    <s v=""/>
    <n v="29.73"/>
    <n v="30"/>
    <n v="29.73"/>
    <n v="29.73"/>
    <n v="1142.3200000000002"/>
    <n v="1167.21"/>
    <n v="1075.5100000000002"/>
    <n v="1075.5100000000002"/>
    <n v="306"/>
    <n v="311.10000000000002"/>
    <n v="306"/>
    <n v="306"/>
    <s v=""/>
    <s v=""/>
    <s v=""/>
    <s v=""/>
    <n v="28.5"/>
    <n v="29.22"/>
    <n v="28.5"/>
    <n v="28.5"/>
    <n v="13.049999999999999"/>
    <n v="13.649999999999999"/>
    <n v="13.049999999999999"/>
    <n v="13.649999999999999"/>
    <s v=""/>
    <s v=""/>
    <s v=""/>
    <s v=""/>
    <s v=""/>
    <s v=""/>
    <s v=""/>
    <s v=""/>
    <s v=""/>
    <s v=""/>
    <s v=""/>
    <s v=""/>
    <s v=""/>
    <s v=""/>
    <s v=""/>
    <s v=""/>
    <n v="1"/>
    <n v="1"/>
    <n v="1"/>
    <n v="1"/>
    <n v="0"/>
    <n v="3"/>
    <n v="131"/>
    <n v="34"/>
    <n v="0"/>
    <n v="3"/>
    <n v="3"/>
    <n v="0"/>
    <n v="0"/>
    <n v="0"/>
    <n v="0"/>
  </r>
  <r>
    <m/>
    <m/>
    <m/>
    <m/>
    <m/>
    <m/>
    <n v="56"/>
    <n v="3"/>
    <n v="2"/>
    <n v="0.2"/>
    <n v="0.8"/>
    <s v="Owned outright"/>
    <s v="Owned outright"/>
    <m/>
    <m/>
    <m/>
    <m/>
    <n v="21.88"/>
    <n v="21.88"/>
    <n v="21.63"/>
    <n v="21.63"/>
    <n v="1"/>
    <n v="0"/>
    <n v="0"/>
    <n v="0"/>
    <n v="0"/>
    <n v="0"/>
    <s v="Service Manager"/>
    <n v="11.3"/>
    <n v="11.3"/>
    <n v="10.1"/>
    <n v="10.1"/>
    <n v="2"/>
    <s v="Service Manager"/>
    <n v="14.42"/>
    <n v="14.42"/>
    <n v="0"/>
    <n v="0"/>
    <n v="1"/>
    <m/>
    <m/>
    <m/>
    <m/>
    <m/>
    <m/>
    <s v="Support Worker"/>
    <n v="8.91"/>
    <n v="9.4499999999999993"/>
    <n v="8.7200000000000006"/>
    <n v="9.1999999999999993"/>
    <n v="43"/>
    <m/>
    <m/>
    <m/>
    <m/>
    <m/>
    <m/>
    <m/>
    <m/>
    <m/>
    <m/>
    <m/>
    <m/>
    <m/>
    <m/>
    <m/>
    <m/>
    <m/>
    <m/>
    <s v="Compliance Manager"/>
    <n v="13.22"/>
    <n v="13.22"/>
    <n v="12.98"/>
    <n v="12.98"/>
    <n v="1"/>
    <s v="Service Co-ordinator"/>
    <n v="11.78"/>
    <n v="11.78"/>
    <n v="9.1300000000000008"/>
    <n v="9.1300000000000008"/>
    <n v="1"/>
    <m/>
    <m/>
    <m/>
    <m/>
    <m/>
    <m/>
    <s v="HR Manager"/>
    <n v="29.17"/>
    <n v="29.17"/>
    <n v="20.83"/>
    <n v="20.83"/>
    <n v="1"/>
    <m/>
    <m/>
    <m/>
    <m/>
    <m/>
    <m/>
    <m/>
    <m/>
    <m/>
    <m/>
    <m/>
    <m/>
    <n v="0.03"/>
    <n v="0"/>
    <n v="0"/>
    <n v="0"/>
    <n v="121"/>
    <n v="277"/>
    <n v="133.25"/>
    <n v="14.75"/>
    <n v="1839.25"/>
    <n v="177"/>
    <n v="0"/>
    <n v="0"/>
    <n v="0"/>
    <n v="18.32"/>
    <n v="18.32"/>
    <n v="16.07"/>
    <d v="2019-08-01T00:00:00"/>
    <d v="2020-07-31T00:00:00"/>
    <n v="104000"/>
    <n v="87000"/>
    <n v="952425"/>
    <n v="46000"/>
    <n v="24000"/>
    <n v="0"/>
    <n v="8693"/>
    <n v="0"/>
    <n v="10221"/>
    <n v="5027"/>
    <n v="0"/>
    <n v="3901"/>
    <n v="5400"/>
    <n v="6101"/>
    <s v="Other - please specify"/>
    <n v="0"/>
    <s v="Other - please specify"/>
    <n v="0"/>
    <n v="574"/>
    <n v="2184"/>
    <n v="2874"/>
    <n v="6721"/>
    <n v="688"/>
    <n v="0"/>
    <n v="2400"/>
    <n v="2099"/>
    <s v="Other - please specify"/>
    <n v="0"/>
    <s v="Other - please specify"/>
    <n v="0"/>
    <n v="0"/>
    <n v="0"/>
    <s v="Other overheads - please specify"/>
    <n v="0"/>
    <s v="Other overheads - please specify"/>
    <n v="0"/>
    <n v="263511"/>
    <n v="0"/>
    <n v="291750"/>
    <m/>
    <d v="2021-10-11T15:03:04"/>
    <x v="4"/>
    <n v="5"/>
    <x v="0"/>
    <n v="21.88"/>
    <n v="21.88"/>
    <n v="21.63"/>
    <n v="21.63"/>
    <s v=""/>
    <s v=""/>
    <s v=""/>
    <s v=""/>
    <n v="11.3"/>
    <n v="11.3"/>
    <n v="10.1"/>
    <n v="10.1"/>
    <n v="14.42"/>
    <n v="14.42"/>
    <s v=""/>
    <s v=""/>
    <s v=""/>
    <s v=""/>
    <s v=""/>
    <s v=""/>
    <n v="8.91"/>
    <n v="9.4499999999999993"/>
    <n v="8.7200000000000006"/>
    <n v="9.1999999999999993"/>
    <s v=""/>
    <s v=""/>
    <s v=""/>
    <s v=""/>
    <s v=""/>
    <s v=""/>
    <s v=""/>
    <s v=""/>
    <s v=""/>
    <s v=""/>
    <s v=""/>
    <s v=""/>
    <n v="13.22"/>
    <n v="13.22"/>
    <n v="12.98"/>
    <n v="12.98"/>
    <n v="11.78"/>
    <n v="11.78"/>
    <n v="9.1300000000000008"/>
    <n v="9.1300000000000008"/>
    <s v=""/>
    <s v=""/>
    <s v=""/>
    <s v=""/>
    <n v="29.17"/>
    <n v="29.17"/>
    <n v="20.83"/>
    <n v="20.83"/>
    <s v=""/>
    <s v=""/>
    <s v=""/>
    <s v=""/>
    <s v=""/>
    <s v=""/>
    <s v=""/>
    <s v=""/>
    <n v="21.88"/>
    <n v="21.88"/>
    <n v="21.63"/>
    <n v="21.63"/>
    <s v=""/>
    <s v=""/>
    <s v=""/>
    <s v=""/>
    <n v="11.3"/>
    <n v="11.3"/>
    <n v="10.1"/>
    <n v="10.1"/>
    <n v="14.42"/>
    <n v="14.42"/>
    <n v="14.42"/>
    <n v="14.42"/>
    <s v=""/>
    <s v=""/>
    <s v=""/>
    <s v=""/>
    <n v="8.91"/>
    <n v="9.4499999999999993"/>
    <n v="8.7200000000000006"/>
    <n v="9.1999999999999993"/>
    <s v=""/>
    <s v=""/>
    <s v=""/>
    <s v=""/>
    <s v=""/>
    <s v=""/>
    <s v=""/>
    <s v=""/>
    <s v=""/>
    <s v=""/>
    <s v=""/>
    <s v=""/>
    <n v="13.22"/>
    <n v="13.22"/>
    <n v="12.98"/>
    <n v="12.98"/>
    <n v="11.78"/>
    <n v="11.78"/>
    <n v="9.1300000000000008"/>
    <n v="9.1300000000000008"/>
    <s v=""/>
    <s v=""/>
    <s v=""/>
    <s v=""/>
    <n v="29.17"/>
    <n v="29.17"/>
    <n v="20.83"/>
    <n v="20.83"/>
    <s v=""/>
    <s v=""/>
    <s v=""/>
    <s v=""/>
    <s v=""/>
    <s v=""/>
    <s v=""/>
    <s v=""/>
    <n v="4"/>
    <n v="43"/>
    <n v="2"/>
    <n v="1"/>
    <n v="50"/>
    <x v="0"/>
    <n v="531.25"/>
    <n v="2031"/>
    <e v="#VALUE!"/>
    <e v="#VALUE!"/>
    <e v="#VALUE!"/>
    <e v="#VALUE!"/>
    <x v="0"/>
    <n v="1128339"/>
    <n v="20429"/>
    <n v="17540"/>
    <n v="0"/>
    <n v="0.83653846153846156"/>
    <n v="9.1579326923076927"/>
    <n v="0.44230769230769229"/>
    <n v="0.23076923076923078"/>
    <n v="0"/>
    <n v="8.3586538461538462E-2"/>
    <n v="0"/>
    <n v="9.8278846153846147E-2"/>
    <n v="4.8336538461538459E-2"/>
    <n v="0"/>
    <n v="3.7509615384615384E-2"/>
    <n v="5.1923076923076926E-2"/>
    <n v="5.8663461538461539E-2"/>
    <n v="0"/>
    <n v="0"/>
    <n v="5.5192307692307693E-3"/>
    <n v="2.1000000000000001E-2"/>
    <n v="2.7634615384615386E-2"/>
    <n v="6.4625000000000002E-2"/>
    <n v="6.615384615384615E-3"/>
    <n v="0"/>
    <n v="2.3076923076923078E-2"/>
    <n v="2.0182692307692308E-2"/>
    <n v="0"/>
    <n v="0"/>
    <n v="0"/>
    <n v="0"/>
    <n v="0"/>
    <n v="0"/>
    <n v="11.214500000000001"/>
    <n v="2.5337596153846156"/>
    <n v="0"/>
    <n v="56"/>
    <x v="0"/>
    <x v="1"/>
    <x v="0"/>
    <x v="1"/>
    <x v="1"/>
    <b v="0"/>
    <b v="1"/>
    <n v="0"/>
    <s v=""/>
    <n v="0"/>
    <n v="0"/>
    <s v=""/>
    <n v="43"/>
    <s v=""/>
    <s v=""/>
    <s v=""/>
    <n v="0"/>
    <n v="0"/>
    <n v="0"/>
    <s v=""/>
    <s v=""/>
    <n v="43"/>
    <n v="0"/>
    <s v=""/>
    <n v="0"/>
    <n v="0"/>
    <s v=""/>
    <n v="13.760000000000012"/>
    <s v=""/>
    <s v=""/>
    <s v=""/>
    <n v="0"/>
    <n v="0"/>
    <n v="0"/>
    <s v=""/>
    <s v=""/>
    <b v="1"/>
    <b v="1"/>
    <x v="3"/>
    <n v="10.849413461538461"/>
    <n v="0.19643269230769234"/>
    <n v="0.16865384615384615"/>
    <n v="0"/>
    <n v="0"/>
    <s v=""/>
    <n v="0"/>
    <n v="0"/>
    <s v=""/>
    <n v="43"/>
    <s v=""/>
    <s v=""/>
    <s v=""/>
    <n v="0"/>
    <n v="0"/>
    <n v="0"/>
    <s v=""/>
    <s v=""/>
    <n v="43"/>
    <n v="0"/>
    <s v=""/>
    <n v="0"/>
    <n v="0"/>
    <s v=""/>
    <n v="30.960000000000029"/>
    <s v=""/>
    <s v=""/>
    <s v=""/>
    <n v="0"/>
    <n v="0"/>
    <n v="0"/>
    <s v=""/>
    <s v=""/>
    <n v="21.88"/>
    <n v="21.88"/>
    <n v="21.63"/>
    <n v="21.63"/>
    <s v=""/>
    <s v=""/>
    <s v=""/>
    <s v=""/>
    <n v="22.6"/>
    <n v="22.6"/>
    <n v="20.2"/>
    <n v="20.2"/>
    <n v="14.42"/>
    <n v="14.42"/>
    <n v="14.42"/>
    <n v="14.42"/>
    <s v=""/>
    <s v=""/>
    <s v=""/>
    <s v=""/>
    <n v="383.13"/>
    <n v="406.34999999999997"/>
    <n v="374.96000000000004"/>
    <n v="395.59999999999997"/>
    <s v=""/>
    <s v=""/>
    <s v=""/>
    <s v=""/>
    <s v=""/>
    <s v=""/>
    <s v=""/>
    <s v=""/>
    <s v=""/>
    <s v=""/>
    <s v=""/>
    <s v=""/>
    <n v="13.22"/>
    <n v="13.22"/>
    <n v="12.98"/>
    <n v="12.98"/>
    <n v="11.78"/>
    <n v="11.78"/>
    <n v="9.1300000000000008"/>
    <n v="9.1300000000000008"/>
    <s v=""/>
    <s v=""/>
    <s v=""/>
    <s v=""/>
    <n v="29.17"/>
    <n v="29.17"/>
    <n v="20.83"/>
    <n v="20.83"/>
    <s v=""/>
    <s v=""/>
    <s v=""/>
    <s v=""/>
    <s v=""/>
    <s v=""/>
    <s v=""/>
    <s v=""/>
    <n v="1"/>
    <n v="0"/>
    <n v="2"/>
    <n v="1"/>
    <n v="0"/>
    <n v="43"/>
    <n v="0"/>
    <n v="0"/>
    <n v="0"/>
    <n v="1"/>
    <n v="1"/>
    <n v="0"/>
    <n v="1"/>
    <n v="0"/>
    <n v="0"/>
  </r>
  <r>
    <m/>
    <m/>
    <m/>
    <m/>
    <m/>
    <m/>
    <n v="57"/>
    <n v="40"/>
    <n v="0"/>
    <n v="1"/>
    <n v="0"/>
    <s v="Owned outright"/>
    <s v="Owned outright"/>
    <m/>
    <m/>
    <m/>
    <m/>
    <n v="19.149999999999999"/>
    <n v="19.149999999999999"/>
    <n v="18.96"/>
    <n v="18.96"/>
    <n v="1"/>
    <n v="11.55"/>
    <n v="11.55"/>
    <n v="11.36"/>
    <n v="11.36"/>
    <n v="2"/>
    <s v="Other manager (Finance)"/>
    <n v="19.149999999999999"/>
    <n v="19.149999999999999"/>
    <n v="18.96"/>
    <n v="18.96"/>
    <n v="0.33783783783783783"/>
    <s v="Other manager (General)"/>
    <n v="31.1"/>
    <n v="31.1"/>
    <n v="31.1"/>
    <n v="31.1"/>
    <n v="0.5"/>
    <s v="Other manager (specify)"/>
    <n v="0"/>
    <n v="0"/>
    <n v="0"/>
    <n v="0"/>
    <n v="0"/>
    <s v="Care Assistant (NVQ2)"/>
    <n v="9.11"/>
    <n v="10.11"/>
    <n v="8.92"/>
    <n v="9.92"/>
    <n v="8.8108108108108105"/>
    <s v="Care Assistant (Non NVQ 2)"/>
    <n v="8.91"/>
    <n v="9.91"/>
    <n v="8.7200000000000006"/>
    <n v="9.7200000000000006"/>
    <n v="6.4864864864864868"/>
    <s v="Care Assistant (specify)"/>
    <n v="0"/>
    <n v="0"/>
    <n v="0"/>
    <n v="0"/>
    <n v="0"/>
    <s v="Care Assistant (specify)"/>
    <n v="0"/>
    <n v="0"/>
    <n v="0"/>
    <n v="0"/>
    <n v="0"/>
    <s v="Administrative Officer (reception)"/>
    <n v="10.39"/>
    <n v="10.39"/>
    <n v="9.17"/>
    <n v="9.17"/>
    <n v="1.472972972972973"/>
    <s v="Administrative Officer (Payroll)"/>
    <n v="12.96"/>
    <n v="12.96"/>
    <n v="12.7"/>
    <n v="12.7"/>
    <n v="0.33783783783783783"/>
    <s v="Administrative Officer (Payroll)"/>
    <n v="10.5"/>
    <n v="10.5"/>
    <n v="10.29"/>
    <n v="10.29"/>
    <n v="0.33783783783783783"/>
    <s v="Other staff (specify)"/>
    <n v="0"/>
    <n v="0"/>
    <n v="0"/>
    <n v="0"/>
    <n v="0"/>
    <s v="Other staff (specify)"/>
    <n v="0"/>
    <n v="0"/>
    <n v="0"/>
    <n v="0"/>
    <n v="0"/>
    <s v="Other staff (specify)"/>
    <n v="0"/>
    <n v="0"/>
    <n v="0"/>
    <n v="0"/>
    <n v="0"/>
    <n v="0.03"/>
    <n v="0"/>
    <n v="48"/>
    <n v="152"/>
    <n v="0"/>
    <n v="0"/>
    <n v="300"/>
    <n v="0"/>
    <n v="0"/>
    <n v="0"/>
    <n v="0"/>
    <n v="0"/>
    <n v="0"/>
    <n v="18.32"/>
    <n v="21.87"/>
    <n v="15.58"/>
    <d v="2020-04-01T00:00:00"/>
    <d v="2021-03-31T00:00:00"/>
    <n v="24274"/>
    <n v="115839"/>
    <n v="300723"/>
    <n v="0"/>
    <n v="0"/>
    <n v="0"/>
    <n v="36480"/>
    <n v="50000"/>
    <n v="0"/>
    <n v="9802"/>
    <n v="1073"/>
    <n v="7580"/>
    <n v="2726"/>
    <n v="7088.5"/>
    <s v="Other - please specify"/>
    <n v="0"/>
    <s v="Other - please specify"/>
    <n v="0"/>
    <n v="8413"/>
    <n v="6231"/>
    <n v="8985"/>
    <n v="0"/>
    <n v="2628"/>
    <n v="1089"/>
    <n v="0"/>
    <n v="0"/>
    <s v="Other - please specify"/>
    <n v="0"/>
    <s v="Other - please specify"/>
    <n v="0"/>
    <n v="30000"/>
    <n v="43289.5"/>
    <s v="Other overheads - Proportion of Central Support admin and office costs"/>
    <n v="29106.5"/>
    <s v="Other overheads - Proportion of Audit Fees, Bad Debts &amp; Bank Charges"/>
    <n v="7456"/>
    <m/>
    <n v="0"/>
    <n v="874284"/>
    <m/>
    <d v="2021-10-11T15:03:07"/>
    <x v="4"/>
    <n v="40"/>
    <x v="5"/>
    <n v="19.149999999999999"/>
    <n v="19.149999999999999"/>
    <n v="18.96"/>
    <n v="18.96"/>
    <n v="11.55"/>
    <n v="11.55"/>
    <n v="11.36"/>
    <n v="11.36"/>
    <n v="19.149999999999999"/>
    <n v="19.149999999999999"/>
    <n v="18.96"/>
    <n v="18.96"/>
    <n v="31.1"/>
    <n v="31.1"/>
    <n v="31.1"/>
    <n v="31.1"/>
    <s v=""/>
    <s v=""/>
    <s v=""/>
    <s v=""/>
    <n v="9.11"/>
    <n v="10.11"/>
    <n v="8.92"/>
    <n v="9.92"/>
    <n v="8.91"/>
    <n v="9.91"/>
    <n v="8.7200000000000006"/>
    <n v="9.7200000000000006"/>
    <s v=""/>
    <s v=""/>
    <s v=""/>
    <s v=""/>
    <s v=""/>
    <s v=""/>
    <s v=""/>
    <s v=""/>
    <n v="10.39"/>
    <n v="10.39"/>
    <n v="9.17"/>
    <n v="9.17"/>
    <n v="12.96"/>
    <n v="12.96"/>
    <n v="12.7"/>
    <n v="12.7"/>
    <n v="10.5"/>
    <n v="10.5"/>
    <n v="10.29"/>
    <n v="10.29"/>
    <s v=""/>
    <s v=""/>
    <s v=""/>
    <s v=""/>
    <s v=""/>
    <s v=""/>
    <s v=""/>
    <s v=""/>
    <s v=""/>
    <s v=""/>
    <s v=""/>
    <s v=""/>
    <n v="19.149999999999999"/>
    <n v="19.149999999999999"/>
    <n v="18.96"/>
    <n v="18.96"/>
    <n v="11.55"/>
    <n v="11.55"/>
    <n v="11.36"/>
    <n v="11.36"/>
    <n v="19.149999999999999"/>
    <n v="19.149999999999999"/>
    <n v="18.96"/>
    <n v="18.96"/>
    <n v="31.1"/>
    <n v="31.1"/>
    <n v="31.1"/>
    <n v="31.1"/>
    <s v=""/>
    <s v=""/>
    <s v=""/>
    <s v=""/>
    <n v="9.11"/>
    <n v="10.11"/>
    <n v="8.92"/>
    <n v="9.92"/>
    <n v="8.91"/>
    <n v="9.91"/>
    <n v="8.7200000000000006"/>
    <n v="9.7200000000000006"/>
    <s v=""/>
    <s v=""/>
    <s v=""/>
    <s v=""/>
    <s v=""/>
    <s v=""/>
    <s v=""/>
    <s v=""/>
    <n v="10.39"/>
    <n v="10.39"/>
    <n v="9.17"/>
    <n v="9.17"/>
    <n v="12.96"/>
    <n v="12.96"/>
    <n v="12.7"/>
    <n v="12.7"/>
    <n v="10.5"/>
    <n v="10.5"/>
    <n v="10.29"/>
    <n v="10.29"/>
    <s v=""/>
    <s v=""/>
    <s v=""/>
    <s v=""/>
    <s v=""/>
    <s v=""/>
    <s v=""/>
    <s v=""/>
    <s v=""/>
    <s v=""/>
    <s v=""/>
    <s v=""/>
    <n v="3.8378378378378377"/>
    <n v="15.297297297297298"/>
    <n v="1.810810810810811"/>
    <n v="0"/>
    <n v="20.945945945945947"/>
    <x v="2"/>
    <n v="500"/>
    <n v="0"/>
    <e v="#VALUE!"/>
    <e v="#VALUE!"/>
    <e v="#VALUE!"/>
    <e v="#VALUE!"/>
    <x v="0"/>
    <n v="503042"/>
    <n v="28269.5"/>
    <n v="27346"/>
    <n v="109852"/>
    <n v="4.7721430336986073"/>
    <n v="12.388687484551372"/>
    <n v="0"/>
    <n v="0"/>
    <n v="0"/>
    <n v="1.5028425475817748"/>
    <n v="2.0598170882425642"/>
    <n v="0"/>
    <n v="0.40380654197907223"/>
    <n v="4.4203674713685422E-2"/>
    <n v="0.31226827057757273"/>
    <n v="0.11230122765098459"/>
    <n v="0.29202026860014829"/>
    <n v="0"/>
    <n v="0"/>
    <n v="0.34658482326769385"/>
    <n v="0.25669440553678835"/>
    <n v="0.37014913075718875"/>
    <n v="0"/>
    <n v="0.10826398615802917"/>
    <n v="4.4862816181923046E-2"/>
    <n v="0"/>
    <n v="0"/>
    <n v="0"/>
    <n v="0"/>
    <n v="1.2358902529455384"/>
    <n v="1.7833690368295296"/>
    <n v="1.1990813215786438"/>
    <n v="0.30715992419873117"/>
    <n v="27.540145835049845"/>
    <s v=""/>
    <n v="0"/>
    <n v="57"/>
    <x v="0"/>
    <x v="1"/>
    <x v="1"/>
    <x v="1"/>
    <x v="0"/>
    <b v="1"/>
    <b v="1"/>
    <n v="0"/>
    <n v="0"/>
    <n v="0"/>
    <n v="0"/>
    <s v=""/>
    <n v="0"/>
    <n v="6.4864864864864868"/>
    <s v=""/>
    <s v=""/>
    <n v="0"/>
    <n v="0"/>
    <s v=""/>
    <s v=""/>
    <s v=""/>
    <n v="6.4864864864864868"/>
    <n v="0"/>
    <n v="0"/>
    <n v="0"/>
    <n v="0"/>
    <s v=""/>
    <n v="0"/>
    <n v="0.58378378378378293"/>
    <s v=""/>
    <s v=""/>
    <n v="0"/>
    <n v="0"/>
    <s v=""/>
    <s v=""/>
    <s v=""/>
    <b v="1"/>
    <b v="0"/>
    <x v="2"/>
    <n v="20.723490154074319"/>
    <n v="1.1645999835214633"/>
    <n v="1.1265551619016232"/>
    <n v="4.5255005355524434"/>
    <n v="0"/>
    <n v="0"/>
    <n v="0"/>
    <n v="0"/>
    <s v=""/>
    <n v="8.8108108108108105"/>
    <n v="6.4864864864864868"/>
    <s v=""/>
    <s v=""/>
    <n v="0"/>
    <n v="0"/>
    <s v=""/>
    <s v=""/>
    <s v=""/>
    <n v="15.297297297297298"/>
    <n v="0"/>
    <n v="0"/>
    <n v="0"/>
    <n v="0"/>
    <s v=""/>
    <n v="2.555135135135143"/>
    <n v="3.1783783783783801"/>
    <s v=""/>
    <s v=""/>
    <n v="0"/>
    <n v="0"/>
    <s v=""/>
    <s v=""/>
    <s v=""/>
    <n v="19.149999999999999"/>
    <n v="19.149999999999999"/>
    <n v="18.96"/>
    <n v="18.96"/>
    <n v="23.1"/>
    <n v="23.1"/>
    <n v="22.72"/>
    <n v="22.72"/>
    <n v="6.4695945945945939"/>
    <n v="6.4695945945945939"/>
    <n v="6.4054054054054053"/>
    <n v="6.4054054054054053"/>
    <n v="15.55"/>
    <n v="15.55"/>
    <n v="15.55"/>
    <n v="15.55"/>
    <s v=""/>
    <s v=""/>
    <s v=""/>
    <s v=""/>
    <n v="80.266486486486485"/>
    <n v="89.077297297297292"/>
    <n v="78.592432432432432"/>
    <n v="87.403243243243239"/>
    <n v="57.794594594594599"/>
    <n v="64.281081081081084"/>
    <n v="56.562162162162167"/>
    <n v="63.048648648648658"/>
    <s v=""/>
    <s v=""/>
    <s v=""/>
    <s v=""/>
    <s v=""/>
    <s v=""/>
    <s v=""/>
    <s v=""/>
    <n v="15.304189189189191"/>
    <n v="15.304189189189191"/>
    <n v="13.507162162162162"/>
    <n v="13.507162162162162"/>
    <n v="4.378378378378379"/>
    <n v="4.378378378378379"/>
    <n v="4.2905405405405403"/>
    <n v="4.2905405405405403"/>
    <n v="3.5472972972972974"/>
    <n v="3.5472972972972974"/>
    <n v="3.4763513513513509"/>
    <n v="3.4763513513513509"/>
    <s v=""/>
    <s v=""/>
    <s v=""/>
    <s v=""/>
    <s v=""/>
    <s v=""/>
    <s v=""/>
    <s v=""/>
    <s v=""/>
    <s v=""/>
    <s v=""/>
    <s v=""/>
    <n v="1"/>
    <n v="2"/>
    <n v="0.33783783783783783"/>
    <n v="0.5"/>
    <n v="0"/>
    <n v="8.8108108108108105"/>
    <n v="6.4864864864864868"/>
    <n v="0"/>
    <n v="0"/>
    <n v="1.472972972972973"/>
    <n v="0.33783783783783783"/>
    <n v="0.33783783783783783"/>
    <n v="0"/>
    <n v="0"/>
    <n v="0"/>
  </r>
  <r>
    <m/>
    <m/>
    <m/>
    <m/>
    <m/>
    <m/>
    <n v="58"/>
    <n v="0"/>
    <n v="21"/>
    <n v="0"/>
    <n v="1"/>
    <s v="Owned outright"/>
    <s v="Owned outright"/>
    <m/>
    <m/>
    <m/>
    <m/>
    <n v="17.190000000000001"/>
    <n v="17.190000000000001"/>
    <n v="16.6935"/>
    <n v="16.6935"/>
    <n v="1"/>
    <n v="11.79"/>
    <n v="11.9"/>
    <n v="11.452199999999999"/>
    <n v="11.551"/>
    <n v="3"/>
    <s v="Other manager (specify)"/>
    <n v="0"/>
    <n v="0"/>
    <n v="0"/>
    <n v="0"/>
    <n v="0"/>
    <s v="Other manager (specify)"/>
    <n v="0"/>
    <n v="0"/>
    <n v="0"/>
    <n v="0"/>
    <n v="0"/>
    <s v="Other manager (specify)"/>
    <n v="0"/>
    <n v="0"/>
    <n v="0"/>
    <n v="0"/>
    <n v="0"/>
    <s v="Care Assistant (specify) - Day"/>
    <n v="9.4216999999999995"/>
    <n v="9.4216999999999995"/>
    <n v="9.1440000000000001"/>
    <n v="9.1440000000000001"/>
    <n v="37.306666666666665"/>
    <s v="Care Assistant (specify) - Night"/>
    <n v="9.6994000000000007"/>
    <n v="9.6994000000000007"/>
    <n v="9.4216999999999995"/>
    <n v="9.4216999999999995"/>
    <n v="7.4666666666666668"/>
    <s v="Care Assistant (specify) - Senior"/>
    <n v="10.2651"/>
    <n v="10.2651"/>
    <n v="9.9669000000000008"/>
    <n v="9.9669000000000008"/>
    <n v="3"/>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1099.8699999999999"/>
    <n v="382.75"/>
    <n v="309.38"/>
    <n v="0"/>
    <n v="0"/>
    <n v="0"/>
    <n v="16.59"/>
    <n v="0"/>
    <n v="15.91"/>
    <d v="2020-04-01T00:00:00"/>
    <d v="2021-03-31T00:00:00"/>
    <n v="93434.880000000005"/>
    <n v="108924"/>
    <n v="1143562.44"/>
    <n v="0"/>
    <n v="0"/>
    <n v="0"/>
    <n v="0"/>
    <n v="0"/>
    <n v="31003.68"/>
    <n v="0"/>
    <n v="0"/>
    <n v="13240.06"/>
    <n v="0"/>
    <n v="3835.17"/>
    <s v="Other - please specify"/>
    <n v="0"/>
    <s v="Other - please specify"/>
    <n v="0"/>
    <n v="11402.92"/>
    <n v="0"/>
    <n v="0"/>
    <n v="0"/>
    <n v="1325.04"/>
    <n v="0"/>
    <n v="0"/>
    <n v="3541.12"/>
    <s v="Other - please specify"/>
    <n v="0"/>
    <s v="Other - please specify"/>
    <n v="0"/>
    <n v="145090.07999999999"/>
    <n v="0"/>
    <s v="Other overheads - please specify"/>
    <n v="0"/>
    <s v="Other overheads - please specify"/>
    <n v="0"/>
    <n v="44465"/>
    <n v="20329.32"/>
    <n v="1290930"/>
    <m/>
    <d v="2021-10-11T15:03:09"/>
    <x v="0"/>
    <n v="21"/>
    <x v="2"/>
    <n v="17.190000000000001"/>
    <n v="17.190000000000001"/>
    <n v="16.6935"/>
    <n v="16.6935"/>
    <n v="11.79"/>
    <n v="11.9"/>
    <n v="11.452199999999999"/>
    <n v="11.551"/>
    <s v=""/>
    <s v=""/>
    <s v=""/>
    <s v=""/>
    <s v=""/>
    <s v=""/>
    <s v=""/>
    <s v=""/>
    <s v=""/>
    <s v=""/>
    <s v=""/>
    <s v=""/>
    <n v="9.4216999999999995"/>
    <n v="9.4216999999999995"/>
    <n v="9.1440000000000001"/>
    <n v="9.1440000000000001"/>
    <n v="9.6994000000000007"/>
    <n v="9.6994000000000007"/>
    <n v="9.4216999999999995"/>
    <n v="9.4216999999999995"/>
    <n v="10.2651"/>
    <n v="10.2651"/>
    <n v="9.9669000000000008"/>
    <n v="9.9669000000000008"/>
    <s v=""/>
    <s v=""/>
    <s v=""/>
    <s v=""/>
    <s v=""/>
    <s v=""/>
    <s v=""/>
    <s v=""/>
    <s v=""/>
    <s v=""/>
    <s v=""/>
    <s v=""/>
    <s v=""/>
    <s v=""/>
    <s v=""/>
    <s v=""/>
    <s v=""/>
    <s v=""/>
    <s v=""/>
    <s v=""/>
    <s v=""/>
    <s v=""/>
    <s v=""/>
    <s v=""/>
    <s v=""/>
    <s v=""/>
    <s v=""/>
    <s v=""/>
    <n v="17.190000000000001"/>
    <n v="17.190000000000001"/>
    <n v="16.6935"/>
    <n v="16.6935"/>
    <n v="11.79"/>
    <n v="11.9"/>
    <n v="11.452199999999999"/>
    <n v="11.551"/>
    <s v=""/>
    <s v=""/>
    <s v=""/>
    <s v=""/>
    <s v=""/>
    <s v=""/>
    <s v=""/>
    <s v=""/>
    <s v=""/>
    <s v=""/>
    <s v=""/>
    <s v=""/>
    <n v="9.4216999999999995"/>
    <n v="9.4216999999999995"/>
    <n v="9.1440000000000001"/>
    <n v="9.1440000000000001"/>
    <n v="9.6994000000000007"/>
    <n v="9.6994000000000007"/>
    <n v="9.4216999999999995"/>
    <n v="9.4216999999999995"/>
    <n v="10.2651"/>
    <n v="10.2651"/>
    <n v="9.9669000000000008"/>
    <n v="9.9669000000000008"/>
    <s v=""/>
    <s v=""/>
    <s v=""/>
    <s v=""/>
    <s v=""/>
    <s v=""/>
    <s v=""/>
    <s v=""/>
    <s v=""/>
    <s v=""/>
    <s v=""/>
    <s v=""/>
    <s v=""/>
    <s v=""/>
    <s v=""/>
    <s v=""/>
    <s v=""/>
    <s v=""/>
    <s v=""/>
    <s v=""/>
    <s v=""/>
    <s v=""/>
    <s v=""/>
    <s v=""/>
    <s v=""/>
    <s v=""/>
    <s v=""/>
    <s v=""/>
    <n v="4"/>
    <n v="47.773333333333333"/>
    <n v="0"/>
    <n v="0"/>
    <n v="51.773333333333333"/>
    <x v="0"/>
    <n v="0"/>
    <n v="1792"/>
    <e v="#VALUE!"/>
    <e v="#VALUE!"/>
    <e v="#VALUE!"/>
    <e v="#VALUE!"/>
    <x v="0"/>
    <n v="1283490.1199999999"/>
    <n v="17075.23"/>
    <n v="16269.079999999998"/>
    <n v="145090.07999999999"/>
    <n v="1.1657744944928488"/>
    <n v="12.239138531563372"/>
    <n v="0"/>
    <n v="0"/>
    <n v="0"/>
    <n v="0"/>
    <n v="0"/>
    <n v="0.3318212641788591"/>
    <n v="0"/>
    <n v="0"/>
    <n v="0.14170361218422925"/>
    <n v="0"/>
    <n v="4.1046448606772971E-2"/>
    <n v="0"/>
    <n v="0"/>
    <n v="0.12204136185544413"/>
    <n v="0"/>
    <n v="0"/>
    <n v="0"/>
    <n v="1.4181427749465724E-2"/>
    <n v="0"/>
    <n v="0"/>
    <n v="3.7899336949969858E-2"/>
    <n v="0"/>
    <n v="0"/>
    <n v="1.5528470738122635"/>
    <n v="0"/>
    <n v="0"/>
    <n v="0"/>
    <n v="15.646453551393225"/>
    <n v="0.47589294276398703"/>
    <n v="0.21757741862567812"/>
    <n v="58"/>
    <x v="0"/>
    <x v="0"/>
    <x v="0"/>
    <x v="0"/>
    <x v="1"/>
    <b v="0"/>
    <b v="1"/>
    <n v="0"/>
    <n v="0"/>
    <s v=""/>
    <s v=""/>
    <s v=""/>
    <n v="37.306666666666665"/>
    <n v="0"/>
    <n v="0"/>
    <s v=""/>
    <s v=""/>
    <s v=""/>
    <s v=""/>
    <s v=""/>
    <s v=""/>
    <n v="37.306666666666665"/>
    <n v="0"/>
    <n v="0"/>
    <s v=""/>
    <s v=""/>
    <s v=""/>
    <n v="2.9211120000000177"/>
    <n v="0"/>
    <n v="0"/>
    <s v=""/>
    <s v=""/>
    <s v=""/>
    <s v=""/>
    <s v=""/>
    <s v=""/>
    <b v="1"/>
    <b v="1"/>
    <x v="3"/>
    <n v="13.736734290235081"/>
    <n v="0.18275006079100223"/>
    <n v="0.17412212655487971"/>
    <n v="1.5528470738122635"/>
    <n v="0"/>
    <n v="0"/>
    <s v=""/>
    <s v=""/>
    <s v=""/>
    <n v="37.306666666666665"/>
    <n v="7.4666666666666668"/>
    <n v="0"/>
    <s v=""/>
    <s v=""/>
    <s v=""/>
    <s v=""/>
    <s v=""/>
    <s v=""/>
    <n v="44.773333333333333"/>
    <n v="0"/>
    <n v="0"/>
    <s v=""/>
    <s v=""/>
    <s v=""/>
    <n v="17.843778666666697"/>
    <n v="1.4978133333333308"/>
    <n v="0"/>
    <s v=""/>
    <s v=""/>
    <s v=""/>
    <s v=""/>
    <s v=""/>
    <s v=""/>
    <n v="17.190000000000001"/>
    <n v="17.190000000000001"/>
    <n v="16.6935"/>
    <n v="16.6935"/>
    <n v="35.369999999999997"/>
    <n v="35.700000000000003"/>
    <n v="34.3566"/>
    <n v="34.652999999999999"/>
    <s v=""/>
    <s v=""/>
    <s v=""/>
    <s v=""/>
    <s v=""/>
    <s v=""/>
    <s v=""/>
    <s v=""/>
    <s v=""/>
    <s v=""/>
    <s v=""/>
    <s v=""/>
    <n v="351.4922213333333"/>
    <n v="351.4922213333333"/>
    <n v="341.13216"/>
    <n v="341.13216"/>
    <n v="72.422186666666676"/>
    <n v="72.422186666666676"/>
    <n v="70.34869333333333"/>
    <n v="70.34869333333333"/>
    <n v="30.795300000000001"/>
    <n v="30.795300000000001"/>
    <n v="29.900700000000001"/>
    <n v="29.900700000000001"/>
    <s v=""/>
    <s v=""/>
    <s v=""/>
    <s v=""/>
    <s v=""/>
    <s v=""/>
    <s v=""/>
    <s v=""/>
    <s v=""/>
    <s v=""/>
    <s v=""/>
    <s v=""/>
    <s v=""/>
    <s v=""/>
    <s v=""/>
    <s v=""/>
    <s v=""/>
    <s v=""/>
    <s v=""/>
    <s v=""/>
    <s v=""/>
    <s v=""/>
    <s v=""/>
    <s v=""/>
    <s v=""/>
    <s v=""/>
    <s v=""/>
    <s v=""/>
    <n v="1"/>
    <n v="3"/>
    <n v="0"/>
    <n v="0"/>
    <n v="0"/>
    <n v="37.306666666666665"/>
    <n v="7.4666666666666668"/>
    <n v="3"/>
    <n v="0"/>
    <n v="0"/>
    <n v="0"/>
    <n v="0"/>
    <n v="0"/>
    <n v="0"/>
    <n v="0"/>
  </r>
  <r>
    <m/>
    <m/>
    <m/>
    <m/>
    <m/>
    <m/>
    <n v="59"/>
    <n v="32"/>
    <n v="0"/>
    <n v="1"/>
    <n v="0"/>
    <s v="Leased or Rented"/>
    <s v="Leased or Rented"/>
    <m/>
    <m/>
    <m/>
    <m/>
    <n v="35"/>
    <n v="40"/>
    <n v="34"/>
    <n v="39"/>
    <n v="5"/>
    <n v="28"/>
    <n v="35"/>
    <n v="27"/>
    <n v="34"/>
    <n v="4"/>
    <s v="Other manager (specify)"/>
    <n v="0"/>
    <n v="0"/>
    <n v="0"/>
    <n v="0"/>
    <n v="0"/>
    <s v="Other manager (specify)"/>
    <n v="0"/>
    <n v="0"/>
    <n v="0"/>
    <n v="0"/>
    <n v="0"/>
    <s v="Other manager (specify)"/>
    <n v="0"/>
    <n v="0"/>
    <n v="0"/>
    <n v="0"/>
    <n v="0"/>
    <s v="Care Assistant (Band 2 )"/>
    <n v="14.55"/>
    <n v="16.55"/>
    <n v="13.85"/>
    <n v="15.95"/>
    <n v="245"/>
    <s v="Care Assistant (Band 3 )"/>
    <n v="15.55"/>
    <n v="17.55"/>
    <n v="14.85"/>
    <n v="14.95"/>
    <n v="110"/>
    <s v="Care Assistant (specify)"/>
    <n v="0"/>
    <n v="0"/>
    <n v="0"/>
    <n v="0"/>
    <n v="0"/>
    <s v="Care Assistant (specify)"/>
    <n v="0"/>
    <n v="0"/>
    <n v="0"/>
    <n v="0"/>
    <n v="0"/>
    <s v="Administrative Officer (specify)"/>
    <n v="17.5"/>
    <n v="19.5"/>
    <n v="16.5"/>
    <n v="18.5"/>
    <n v="25"/>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187"/>
    <n v="0"/>
    <n v="435"/>
    <n v="0"/>
    <n v="0"/>
    <n v="0"/>
    <n v="0"/>
    <n v="0"/>
    <n v="0"/>
    <n v="0"/>
    <n v="15.5"/>
    <n v="19"/>
    <n v="14.5"/>
    <d v="2020-09-01T00:00:00"/>
    <d v="2021-08-31T00:00:00"/>
    <n v="32500"/>
    <n v="35000"/>
    <n v="314600"/>
    <n v="22000"/>
    <n v="0"/>
    <n v="0"/>
    <n v="14820"/>
    <n v="0"/>
    <n v="15000"/>
    <n v="3200"/>
    <n v="4500"/>
    <n v="2900"/>
    <n v="1820"/>
    <n v="0"/>
    <s v="Other - please specify"/>
    <n v="0"/>
    <s v="Other - please specify"/>
    <n v="0"/>
    <n v="3000"/>
    <n v="450"/>
    <n v="0"/>
    <n v="0"/>
    <n v="0"/>
    <n v="0"/>
    <n v="0"/>
    <n v="0"/>
    <s v="Other - please specify"/>
    <n v="0"/>
    <s v="Other - please specify"/>
    <n v="0"/>
    <n v="0"/>
    <n v="10000"/>
    <s v="Other overheads - please specify"/>
    <n v="0"/>
    <s v="Other overheads - please specify"/>
    <n v="0"/>
    <n v="60210"/>
    <n v="0"/>
    <n v="0"/>
    <m/>
    <d v="2021-10-11T15:03:13"/>
    <x v="0"/>
    <n v="32"/>
    <x v="5"/>
    <n v="35"/>
    <n v="40"/>
    <n v="34"/>
    <n v="39"/>
    <n v="28"/>
    <n v="35"/>
    <n v="27"/>
    <n v="34"/>
    <s v=""/>
    <s v=""/>
    <s v=""/>
    <s v=""/>
    <s v=""/>
    <s v=""/>
    <s v=""/>
    <s v=""/>
    <s v=""/>
    <s v=""/>
    <s v=""/>
    <s v=""/>
    <n v="14.55"/>
    <n v="16.55"/>
    <n v="13.85"/>
    <n v="15.95"/>
    <n v="15.55"/>
    <n v="17.55"/>
    <n v="14.85"/>
    <n v="14.95"/>
    <s v=""/>
    <s v=""/>
    <s v=""/>
    <s v=""/>
    <s v=""/>
    <s v=""/>
    <s v=""/>
    <s v=""/>
    <n v="17.5"/>
    <n v="19.5"/>
    <n v="16.5"/>
    <n v="18.5"/>
    <s v=""/>
    <s v=""/>
    <s v=""/>
    <s v=""/>
    <s v=""/>
    <s v=""/>
    <s v=""/>
    <s v=""/>
    <s v=""/>
    <s v=""/>
    <s v=""/>
    <s v=""/>
    <s v=""/>
    <s v=""/>
    <s v=""/>
    <s v=""/>
    <s v=""/>
    <s v=""/>
    <s v=""/>
    <s v=""/>
    <n v="35"/>
    <n v="40"/>
    <n v="34"/>
    <n v="39"/>
    <n v="28"/>
    <n v="35"/>
    <n v="27"/>
    <n v="34"/>
    <s v=""/>
    <s v=""/>
    <s v=""/>
    <s v=""/>
    <s v=""/>
    <s v=""/>
    <s v=""/>
    <s v=""/>
    <s v=""/>
    <s v=""/>
    <s v=""/>
    <s v=""/>
    <n v="14.55"/>
    <n v="16.55"/>
    <n v="13.85"/>
    <n v="15.95"/>
    <n v="15.55"/>
    <n v="17.55"/>
    <n v="14.85"/>
    <n v="14.95"/>
    <s v=""/>
    <s v=""/>
    <s v=""/>
    <s v=""/>
    <s v=""/>
    <s v=""/>
    <s v=""/>
    <s v=""/>
    <n v="17.5"/>
    <n v="19.5"/>
    <n v="16.5"/>
    <n v="18.5"/>
    <s v=""/>
    <s v=""/>
    <s v=""/>
    <s v=""/>
    <s v=""/>
    <s v=""/>
    <s v=""/>
    <s v=""/>
    <s v=""/>
    <s v=""/>
    <s v=""/>
    <s v=""/>
    <s v=""/>
    <s v=""/>
    <s v=""/>
    <s v=""/>
    <s v=""/>
    <s v=""/>
    <s v=""/>
    <s v=""/>
    <n v="9"/>
    <n v="355"/>
    <n v="25"/>
    <n v="0"/>
    <n v="389"/>
    <x v="2"/>
    <n v="622"/>
    <n v="0"/>
    <e v="#VALUE!"/>
    <e v="#VALUE!"/>
    <e v="#VALUE!"/>
    <e v="#VALUE!"/>
    <x v="0"/>
    <n v="401420"/>
    <n v="12420"/>
    <n v="3450"/>
    <n v="10000"/>
    <n v="1.0769230769230769"/>
    <n v="9.68"/>
    <n v="0.67692307692307696"/>
    <n v="0"/>
    <n v="0"/>
    <n v="0.45600000000000002"/>
    <n v="0"/>
    <n v="0.46153846153846156"/>
    <n v="9.8461538461538461E-2"/>
    <n v="0.13846153846153847"/>
    <n v="8.9230769230769225E-2"/>
    <n v="5.6000000000000001E-2"/>
    <n v="0"/>
    <n v="0"/>
    <n v="0"/>
    <n v="9.2307692307692313E-2"/>
    <n v="1.3846153846153847E-2"/>
    <n v="0"/>
    <n v="0"/>
    <n v="0"/>
    <n v="0"/>
    <n v="0"/>
    <n v="0"/>
    <n v="0"/>
    <n v="0"/>
    <n v="0"/>
    <n v="0.30769230769230771"/>
    <n v="0"/>
    <n v="0"/>
    <n v="13.147384615384613"/>
    <n v="1.8526153846153846"/>
    <n v="0"/>
    <n v="59"/>
    <x v="1"/>
    <x v="1"/>
    <x v="1"/>
    <x v="1"/>
    <x v="0"/>
    <b v="1"/>
    <b v="1"/>
    <n v="0"/>
    <n v="0"/>
    <s v=""/>
    <s v=""/>
    <s v=""/>
    <n v="0"/>
    <n v="0"/>
    <s v=""/>
    <s v=""/>
    <n v="0"/>
    <s v=""/>
    <s v=""/>
    <s v=""/>
    <s v=""/>
    <n v="0"/>
    <n v="0"/>
    <n v="0"/>
    <s v=""/>
    <s v=""/>
    <s v=""/>
    <n v="0"/>
    <n v="0"/>
    <s v=""/>
    <s v=""/>
    <n v="0"/>
    <s v=""/>
    <s v=""/>
    <s v=""/>
    <s v=""/>
    <b v="1"/>
    <b v="0"/>
    <x v="2"/>
    <n v="12.351384615384614"/>
    <n v="0.38215384615384612"/>
    <n v="0.10615384615384615"/>
    <n v="0.30769230769230771"/>
    <n v="0"/>
    <n v="0"/>
    <s v=""/>
    <s v=""/>
    <s v=""/>
    <n v="0"/>
    <n v="0"/>
    <s v=""/>
    <s v=""/>
    <n v="0"/>
    <s v=""/>
    <s v=""/>
    <s v=""/>
    <s v=""/>
    <n v="0"/>
    <n v="0"/>
    <n v="0"/>
    <s v=""/>
    <s v=""/>
    <s v=""/>
    <n v="0"/>
    <n v="0"/>
    <s v=""/>
    <s v=""/>
    <n v="0"/>
    <s v=""/>
    <s v=""/>
    <s v=""/>
    <s v=""/>
    <n v="175"/>
    <n v="200"/>
    <n v="170"/>
    <n v="195"/>
    <n v="112"/>
    <n v="140"/>
    <n v="108"/>
    <n v="136"/>
    <s v=""/>
    <s v=""/>
    <s v=""/>
    <s v=""/>
    <s v=""/>
    <s v=""/>
    <s v=""/>
    <s v=""/>
    <s v=""/>
    <s v=""/>
    <s v=""/>
    <s v=""/>
    <n v="3564.75"/>
    <n v="4054.75"/>
    <n v="3393.25"/>
    <n v="3907.75"/>
    <n v="1710.5"/>
    <n v="1930.5"/>
    <n v="1633.5"/>
    <n v="1644.5"/>
    <s v=""/>
    <s v=""/>
    <s v=""/>
    <s v=""/>
    <s v=""/>
    <s v=""/>
    <s v=""/>
    <s v=""/>
    <n v="437.5"/>
    <n v="487.5"/>
    <n v="412.5"/>
    <n v="462.5"/>
    <s v=""/>
    <s v=""/>
    <s v=""/>
    <s v=""/>
    <s v=""/>
    <s v=""/>
    <s v=""/>
    <s v=""/>
    <s v=""/>
    <s v=""/>
    <s v=""/>
    <s v=""/>
    <s v=""/>
    <s v=""/>
    <s v=""/>
    <s v=""/>
    <s v=""/>
    <s v=""/>
    <s v=""/>
    <s v=""/>
    <n v="5"/>
    <n v="4"/>
    <n v="0"/>
    <n v="0"/>
    <n v="0"/>
    <n v="245"/>
    <n v="110"/>
    <n v="0"/>
    <n v="0"/>
    <n v="25"/>
    <n v="0"/>
    <n v="0"/>
    <n v="0"/>
    <n v="0"/>
    <n v="0"/>
  </r>
  <r>
    <m/>
    <m/>
    <m/>
    <m/>
    <m/>
    <m/>
    <n v="60"/>
    <n v="29"/>
    <n v="0"/>
    <n v="1"/>
    <n v="0"/>
    <s v="Leased or Rented"/>
    <s v="N/A"/>
    <m/>
    <m/>
    <m/>
    <m/>
    <n v="16"/>
    <n v="16"/>
    <n v="16"/>
    <n v="16"/>
    <n v="1"/>
    <n v="0"/>
    <n v="0"/>
    <n v="0"/>
    <n v="0"/>
    <n v="0"/>
    <s v="General Manager"/>
    <n v="16"/>
    <n v="16"/>
    <n v="16"/>
    <n v="16"/>
    <n v="1"/>
    <s v="Other manager (specify)"/>
    <n v="0"/>
    <n v="0"/>
    <n v="0"/>
    <n v="0"/>
    <n v="0"/>
    <s v="Other manager (specify)"/>
    <n v="0"/>
    <n v="0"/>
    <n v="0"/>
    <n v="0"/>
    <n v="0"/>
    <s v="Care Assistant (specify)"/>
    <n v="8.91"/>
    <n v="17.82"/>
    <n v="8.7200000000000006"/>
    <n v="17.440000000000001"/>
    <n v="19.5"/>
    <s v="Care Assistant - Senior"/>
    <n v="9.31"/>
    <n v="18.62"/>
    <n v="9.1199999999999992"/>
    <n v="18.239999999999998"/>
    <n v="1"/>
    <s v="Care Assistant (specify)"/>
    <n v="0"/>
    <n v="0"/>
    <n v="0"/>
    <n v="0"/>
    <n v="0"/>
    <s v="Care Assistant (specify)"/>
    <n v="0"/>
    <n v="0"/>
    <n v="0"/>
    <n v="0"/>
    <n v="0"/>
    <s v="Administrative Officer - Care"/>
    <n v="13.3"/>
    <n v="13.3"/>
    <n v="13"/>
    <n v="13"/>
    <n v="1"/>
    <s v="Administrative Officer - Finance"/>
    <n v="13.3"/>
    <n v="13.3"/>
    <n v="13"/>
    <n v="13"/>
    <n v="1"/>
    <s v="Administrative Officer (specify)"/>
    <n v="0"/>
    <n v="0"/>
    <n v="0"/>
    <n v="0"/>
    <n v="0"/>
    <s v="Other staff (specify)"/>
    <n v="0"/>
    <n v="0"/>
    <n v="0"/>
    <n v="0"/>
    <n v="0"/>
    <s v="Other staff (specify)"/>
    <n v="0"/>
    <n v="0"/>
    <n v="0"/>
    <n v="0"/>
    <n v="0"/>
    <s v="Other staff (specify)"/>
    <n v="0"/>
    <n v="0"/>
    <n v="0"/>
    <n v="0"/>
    <n v="0"/>
    <n v="0.03"/>
    <n v="493.25"/>
    <n v="0"/>
    <n v="0"/>
    <n v="0"/>
    <n v="120.5"/>
    <n v="41.75"/>
    <n v="0"/>
    <n v="0"/>
    <n v="0"/>
    <n v="0"/>
    <n v="0"/>
    <n v="0"/>
    <n v="0"/>
    <n v="15.94"/>
    <n v="0"/>
    <d v="2019-07-01T00:00:00"/>
    <d v="2020-06-30T00:00:00"/>
    <n v="34525"/>
    <n v="102730"/>
    <n v="317932"/>
    <n v="20008"/>
    <n v="0"/>
    <n v="0"/>
    <n v="6905"/>
    <n v="25510"/>
    <n v="706"/>
    <n v="180"/>
    <n v="819"/>
    <n v="3938"/>
    <n v="2249"/>
    <n v="2060"/>
    <s v="Other - please specify"/>
    <n v="0"/>
    <s v="Other - please specify"/>
    <n v="0"/>
    <n v="3019"/>
    <n v="586"/>
    <n v="0"/>
    <n v="4380"/>
    <n v="1903"/>
    <n v="873"/>
    <n v="425"/>
    <n v="996"/>
    <s v="Other - please specify"/>
    <n v="0"/>
    <s v="Other - please specify"/>
    <n v="0"/>
    <n v="0"/>
    <n v="913"/>
    <s v="Other overheads - please specify"/>
    <n v="0"/>
    <s v="Other overheads - please specify"/>
    <n v="0"/>
    <n v="11037"/>
    <n v="0"/>
    <n v="0"/>
    <m/>
    <d v="2021-10-11T15:03:15"/>
    <x v="4"/>
    <n v="29"/>
    <x v="2"/>
    <n v="16"/>
    <n v="16"/>
    <n v="16"/>
    <n v="16"/>
    <s v=""/>
    <s v=""/>
    <s v=""/>
    <s v=""/>
    <n v="16"/>
    <n v="16"/>
    <n v="16"/>
    <n v="16"/>
    <s v=""/>
    <s v=""/>
    <s v=""/>
    <s v=""/>
    <s v=""/>
    <s v=""/>
    <s v=""/>
    <s v=""/>
    <n v="8.91"/>
    <n v="17.82"/>
    <n v="8.7200000000000006"/>
    <n v="17.440000000000001"/>
    <n v="9.31"/>
    <n v="18.62"/>
    <n v="9.1199999999999992"/>
    <n v="18.239999999999998"/>
    <s v=""/>
    <s v=""/>
    <s v=""/>
    <s v=""/>
    <s v=""/>
    <s v=""/>
    <s v=""/>
    <s v=""/>
    <n v="13.3"/>
    <n v="13.3"/>
    <n v="13"/>
    <n v="13"/>
    <n v="13.3"/>
    <n v="13.3"/>
    <n v="13"/>
    <n v="13"/>
    <s v=""/>
    <s v=""/>
    <s v=""/>
    <s v=""/>
    <s v=""/>
    <s v=""/>
    <s v=""/>
    <s v=""/>
    <s v=""/>
    <s v=""/>
    <s v=""/>
    <s v=""/>
    <s v=""/>
    <s v=""/>
    <s v=""/>
    <s v=""/>
    <n v="16"/>
    <n v="16"/>
    <n v="16"/>
    <n v="16"/>
    <s v=""/>
    <s v=""/>
    <s v=""/>
    <s v=""/>
    <n v="16"/>
    <n v="16"/>
    <n v="16"/>
    <n v="16"/>
    <s v=""/>
    <s v=""/>
    <s v=""/>
    <s v=""/>
    <s v=""/>
    <s v=""/>
    <s v=""/>
    <s v=""/>
    <n v="8.91"/>
    <n v="17.82"/>
    <n v="8.7200000000000006"/>
    <n v="17.440000000000001"/>
    <n v="9.31"/>
    <n v="18.62"/>
    <n v="9.1199999999999992"/>
    <n v="18.239999999999998"/>
    <s v=""/>
    <s v=""/>
    <s v=""/>
    <s v=""/>
    <s v=""/>
    <s v=""/>
    <s v=""/>
    <s v=""/>
    <n v="13.3"/>
    <n v="13.3"/>
    <n v="13"/>
    <n v="13"/>
    <n v="13.3"/>
    <n v="13.3"/>
    <n v="13"/>
    <n v="13"/>
    <s v=""/>
    <s v=""/>
    <s v=""/>
    <s v=""/>
    <s v=""/>
    <s v=""/>
    <s v=""/>
    <s v=""/>
    <s v=""/>
    <s v=""/>
    <s v=""/>
    <s v=""/>
    <s v=""/>
    <s v=""/>
    <s v=""/>
    <s v=""/>
    <n v="2"/>
    <n v="20.5"/>
    <n v="2"/>
    <n v="0"/>
    <n v="24.5"/>
    <x v="2"/>
    <n v="655.5"/>
    <n v="0"/>
    <e v="#VALUE!"/>
    <e v="#VALUE!"/>
    <e v="#VALUE!"/>
    <e v="#VALUE!"/>
    <x v="0"/>
    <n v="473791"/>
    <n v="9246"/>
    <n v="12182"/>
    <n v="913"/>
    <n v="2.9755249818971761"/>
    <n v="9.2087472845763934"/>
    <n v="0.57952208544532946"/>
    <n v="0"/>
    <n v="0"/>
    <n v="0.2"/>
    <n v="0.73888486603910208"/>
    <n v="2.0448950036205647E-2"/>
    <n v="5.2136133236784935E-3"/>
    <n v="2.3721940622737147E-2"/>
    <n v="0.1140622737146995"/>
    <n v="6.514120202751629E-2"/>
    <n v="5.9666908037653871E-2"/>
    <n v="0"/>
    <n v="0"/>
    <n v="8.7443881245474295E-2"/>
    <n v="1.6973207820419986E-2"/>
    <n v="0"/>
    <n v="0.12686459087617669"/>
    <n v="5.5119478638667632E-2"/>
    <n v="2.5286024619840697E-2"/>
    <n v="1.2309920347574221E-2"/>
    <n v="2.8848660391020998E-2"/>
    <n v="0"/>
    <n v="0"/>
    <n v="0"/>
    <n v="2.6444605358435916E-2"/>
    <n v="0"/>
    <n v="0"/>
    <n v="14.370224475018103"/>
    <n v="0.3196813902968863"/>
    <n v="0"/>
    <n v="60"/>
    <x v="1"/>
    <x v="1"/>
    <x v="1"/>
    <x v="1"/>
    <x v="0"/>
    <b v="1"/>
    <b v="1"/>
    <n v="0"/>
    <s v=""/>
    <n v="0"/>
    <s v=""/>
    <s v=""/>
    <n v="0"/>
    <n v="0"/>
    <s v=""/>
    <s v=""/>
    <n v="0"/>
    <n v="0"/>
    <s v=""/>
    <s v=""/>
    <s v=""/>
    <n v="0"/>
    <n v="0"/>
    <s v=""/>
    <n v="0"/>
    <s v=""/>
    <s v=""/>
    <n v="0"/>
    <n v="0"/>
    <s v=""/>
    <s v=""/>
    <n v="0"/>
    <n v="0"/>
    <s v=""/>
    <s v=""/>
    <s v=""/>
    <b v="0"/>
    <b v="1"/>
    <x v="1"/>
    <n v="13.723128167994208"/>
    <n v="0.26780593772628525"/>
    <n v="0.35284576393917455"/>
    <n v="2.6444605358435916E-2"/>
    <n v="0"/>
    <s v=""/>
    <n v="0"/>
    <s v=""/>
    <s v=""/>
    <n v="0"/>
    <n v="0"/>
    <s v=""/>
    <s v=""/>
    <n v="0"/>
    <n v="0"/>
    <s v=""/>
    <s v=""/>
    <s v=""/>
    <n v="0"/>
    <n v="0"/>
    <s v=""/>
    <n v="0"/>
    <s v=""/>
    <s v=""/>
    <n v="0"/>
    <n v="0"/>
    <s v=""/>
    <s v=""/>
    <n v="0"/>
    <n v="0"/>
    <s v=""/>
    <s v=""/>
    <s v=""/>
    <n v="16"/>
    <n v="16"/>
    <n v="16"/>
    <n v="16"/>
    <s v=""/>
    <s v=""/>
    <s v=""/>
    <s v=""/>
    <n v="16"/>
    <n v="16"/>
    <n v="16"/>
    <n v="16"/>
    <s v=""/>
    <s v=""/>
    <s v=""/>
    <s v=""/>
    <s v=""/>
    <s v=""/>
    <s v=""/>
    <s v=""/>
    <n v="173.745"/>
    <n v="347.49"/>
    <n v="170.04000000000002"/>
    <n v="340.08000000000004"/>
    <n v="9.31"/>
    <n v="18.62"/>
    <n v="9.1199999999999992"/>
    <n v="18.239999999999998"/>
    <s v=""/>
    <s v=""/>
    <s v=""/>
    <s v=""/>
    <s v=""/>
    <s v=""/>
    <s v=""/>
    <s v=""/>
    <n v="13.3"/>
    <n v="13.3"/>
    <n v="13"/>
    <n v="13"/>
    <n v="13.3"/>
    <n v="13.3"/>
    <n v="13"/>
    <n v="13"/>
    <s v=""/>
    <s v=""/>
    <s v=""/>
    <s v=""/>
    <s v=""/>
    <s v=""/>
    <s v=""/>
    <s v=""/>
    <s v=""/>
    <s v=""/>
    <s v=""/>
    <s v=""/>
    <s v=""/>
    <s v=""/>
    <s v=""/>
    <s v=""/>
    <n v="1"/>
    <n v="0"/>
    <n v="1"/>
    <n v="0"/>
    <n v="0"/>
    <n v="19.5"/>
    <n v="1"/>
    <n v="0"/>
    <n v="0"/>
    <n v="1"/>
    <n v="1"/>
    <n v="0"/>
    <n v="0"/>
    <n v="0"/>
    <n v="0"/>
  </r>
  <r>
    <m/>
    <m/>
    <m/>
    <m/>
    <m/>
    <m/>
    <n v="61"/>
    <n v="0"/>
    <n v="1"/>
    <n v="0"/>
    <n v="1"/>
    <s v="Leased or Rented"/>
    <s v="Mortgaged"/>
    <m/>
    <m/>
    <m/>
    <m/>
    <n v="0"/>
    <n v="0"/>
    <n v="0"/>
    <n v="0"/>
    <n v="0"/>
    <n v="0"/>
    <n v="0"/>
    <n v="0"/>
    <n v="0"/>
    <n v="0"/>
    <s v="Other manager (specify)"/>
    <n v="0"/>
    <n v="0"/>
    <n v="0"/>
    <n v="0"/>
    <n v="0"/>
    <s v="Other manager (specify)"/>
    <n v="0"/>
    <n v="0"/>
    <n v="0"/>
    <n v="0"/>
    <n v="0"/>
    <s v="Other manager (specify)"/>
    <n v="0"/>
    <n v="0"/>
    <n v="0"/>
    <n v="0"/>
    <n v="0"/>
    <s v="Care Assistant (specify)"/>
    <n v="9.2857000000000003"/>
    <n v="9.2857000000000003"/>
    <n v="9.2308000000000003"/>
    <n v="9.2308000000000003"/>
    <n v="1"/>
    <s v="Care Assistant (specify)"/>
    <n v="9.0226000000000006"/>
    <n v="9.0226000000000006"/>
    <n v="9.0226000000000006"/>
    <n v="9.0226000000000006"/>
    <n v="1"/>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m/>
    <n v="0"/>
    <n v="0"/>
    <n v="0"/>
    <n v="0"/>
    <n v="0"/>
    <n v="0"/>
    <n v="0"/>
    <n v="0"/>
    <n v="0"/>
    <n v="18"/>
    <n v="0"/>
    <n v="0"/>
    <n v="5.1100000000000003"/>
    <n v="0"/>
    <n v="9.4888999999999992"/>
    <d v="2020-02-01T00:00:00"/>
    <d v="2021-01-31T00:00:00"/>
    <n v="786.85714285714289"/>
    <n v="0"/>
    <n v="0"/>
    <n v="0"/>
    <n v="0"/>
    <n v="27000"/>
    <n v="1337.6"/>
    <n v="0"/>
    <n v="0"/>
    <n v="21.85"/>
    <n v="184.79"/>
    <n v="0"/>
    <n v="0"/>
    <n v="1280.71"/>
    <s v="Other - please specify"/>
    <n v="1040.08"/>
    <s v="Other - please specify"/>
    <n v="0"/>
    <n v="1531.43"/>
    <n v="3136.18"/>
    <n v="1731.66"/>
    <n v="9060"/>
    <n v="0"/>
    <n v="0"/>
    <n v="0"/>
    <n v="0"/>
    <s v="Other - please specify"/>
    <n v="4863"/>
    <s v="Other - please specify"/>
    <n v="2265"/>
    <n v="0"/>
    <n v="0"/>
    <s v="Other overheads - please specify"/>
    <n v="339.31"/>
    <s v="Other overheads - please specify"/>
    <n v="61.55"/>
    <m/>
    <n v="0"/>
    <n v="39391.4"/>
    <m/>
    <d v="2021-10-11T15:03:19"/>
    <x v="7"/>
    <n v="1"/>
    <x v="0"/>
    <s v=""/>
    <s v=""/>
    <s v=""/>
    <s v=""/>
    <s v=""/>
    <s v=""/>
    <s v=""/>
    <s v=""/>
    <s v=""/>
    <s v=""/>
    <s v=""/>
    <s v=""/>
    <s v=""/>
    <s v=""/>
    <s v=""/>
    <s v=""/>
    <s v=""/>
    <s v=""/>
    <s v=""/>
    <s v=""/>
    <n v="9.2857000000000003"/>
    <n v="9.2857000000000003"/>
    <n v="9.2308000000000003"/>
    <n v="9.2308000000000003"/>
    <n v="9.0226000000000006"/>
    <n v="9.0226000000000006"/>
    <n v="9.0226000000000006"/>
    <n v="9.0226000000000006"/>
    <s v=""/>
    <s v=""/>
    <s v=""/>
    <s v=""/>
    <s v=""/>
    <s v=""/>
    <s v=""/>
    <s v=""/>
    <s v=""/>
    <s v=""/>
    <s v=""/>
    <s v=""/>
    <s v=""/>
    <s v=""/>
    <s v=""/>
    <s v=""/>
    <s v=""/>
    <s v=""/>
    <s v=""/>
    <s v=""/>
    <s v=""/>
    <s v=""/>
    <s v=""/>
    <s v=""/>
    <s v=""/>
    <s v=""/>
    <s v=""/>
    <s v=""/>
    <s v=""/>
    <s v=""/>
    <s v=""/>
    <s v=""/>
    <s v=""/>
    <s v=""/>
    <s v=""/>
    <s v=""/>
    <s v=""/>
    <s v=""/>
    <s v=""/>
    <s v=""/>
    <s v=""/>
    <s v=""/>
    <s v=""/>
    <s v=""/>
    <s v=""/>
    <s v=""/>
    <s v=""/>
    <s v=""/>
    <s v=""/>
    <s v=""/>
    <s v=""/>
    <s v=""/>
    <n v="9.2857000000000003"/>
    <n v="9.2857000000000003"/>
    <n v="9.2308000000000003"/>
    <n v="9.2308000000000003"/>
    <n v="9.0226000000000006"/>
    <n v="9.0226000000000006"/>
    <n v="9.0226000000000006"/>
    <n v="9.0226000000000006"/>
    <s v=""/>
    <s v=""/>
    <s v=""/>
    <s v=""/>
    <s v=""/>
    <s v=""/>
    <s v=""/>
    <s v=""/>
    <s v=""/>
    <s v=""/>
    <s v=""/>
    <s v=""/>
    <s v=""/>
    <s v=""/>
    <s v=""/>
    <s v=""/>
    <s v=""/>
    <s v=""/>
    <s v=""/>
    <s v=""/>
    <s v=""/>
    <s v=""/>
    <s v=""/>
    <s v=""/>
    <s v=""/>
    <s v=""/>
    <s v=""/>
    <s v=""/>
    <s v=""/>
    <s v=""/>
    <s v=""/>
    <s v=""/>
    <n v="0"/>
    <n v="2"/>
    <n v="0"/>
    <n v="0"/>
    <n v="2"/>
    <x v="0"/>
    <n v="0"/>
    <n v="18"/>
    <e v="#VALUE!"/>
    <e v="#VALUE!"/>
    <e v="#VALUE!"/>
    <e v="#VALUE!"/>
    <x v="0"/>
    <n v="28337.599999999999"/>
    <n v="2527.4299999999998"/>
    <n v="22587.27"/>
    <n v="400.86"/>
    <n v="0"/>
    <n v="0"/>
    <n v="0"/>
    <n v="0"/>
    <n v="34.313725490196077"/>
    <n v="1.6999273783587507"/>
    <n v="0"/>
    <n v="0"/>
    <n v="2.7768700072621642E-2"/>
    <n v="0.23484567901234565"/>
    <n v="0"/>
    <n v="0"/>
    <n v="1.6276270878721859"/>
    <n v="1.3218155410312271"/>
    <n v="0"/>
    <n v="1.946261801016703"/>
    <n v="3.9857044299201156"/>
    <n v="2.2007298474945536"/>
    <n v="11.514161220043572"/>
    <n v="0"/>
    <n v="0"/>
    <n v="0"/>
    <n v="0"/>
    <n v="6.1802832244008714"/>
    <n v="2.8785403050108931"/>
    <n v="0"/>
    <n v="0"/>
    <n v="0.43122185911401595"/>
    <n v="7.822258533042846E-2"/>
    <n v="68.440835148874356"/>
    <s v=""/>
    <n v="0"/>
    <n v="61"/>
    <x v="2"/>
    <x v="0"/>
    <x v="0"/>
    <x v="0"/>
    <x v="1"/>
    <b v="0"/>
    <b v="0"/>
    <s v=""/>
    <s v=""/>
    <s v=""/>
    <s v=""/>
    <s v=""/>
    <n v="1"/>
    <n v="1"/>
    <s v=""/>
    <s v=""/>
    <s v=""/>
    <s v=""/>
    <s v=""/>
    <s v=""/>
    <s v=""/>
    <n v="2"/>
    <s v=""/>
    <s v=""/>
    <s v=""/>
    <s v=""/>
    <s v=""/>
    <n v="0.21429999999999971"/>
    <n v="0.47739999999999938"/>
    <s v=""/>
    <s v=""/>
    <s v=""/>
    <s v=""/>
    <s v=""/>
    <s v=""/>
    <s v=""/>
    <b v="0"/>
    <b v="1"/>
    <x v="1"/>
    <n v="36.013652868554829"/>
    <n v="3.2120570079883803"/>
    <n v="28.705680827886709"/>
    <n v="0.50944444444444437"/>
    <s v=""/>
    <s v=""/>
    <s v=""/>
    <s v=""/>
    <s v=""/>
    <n v="1"/>
    <n v="1"/>
    <s v=""/>
    <s v=""/>
    <s v=""/>
    <s v=""/>
    <s v=""/>
    <s v=""/>
    <s v=""/>
    <n v="2"/>
    <s v=""/>
    <s v=""/>
    <s v=""/>
    <s v=""/>
    <s v=""/>
    <n v="0.61430000000000007"/>
    <n v="0.87739999999999974"/>
    <s v=""/>
    <s v=""/>
    <s v=""/>
    <s v=""/>
    <s v=""/>
    <s v=""/>
    <s v=""/>
    <s v=""/>
    <s v=""/>
    <s v=""/>
    <s v=""/>
    <s v=""/>
    <s v=""/>
    <s v=""/>
    <s v=""/>
    <s v=""/>
    <s v=""/>
    <s v=""/>
    <s v=""/>
    <s v=""/>
    <s v=""/>
    <s v=""/>
    <s v=""/>
    <s v=""/>
    <s v=""/>
    <s v=""/>
    <s v=""/>
    <n v="9.2857000000000003"/>
    <n v="9.2857000000000003"/>
    <n v="9.2308000000000003"/>
    <n v="9.2308000000000003"/>
    <n v="9.0226000000000006"/>
    <n v="9.0226000000000006"/>
    <n v="9.0226000000000006"/>
    <n v="9.0226000000000006"/>
    <s v=""/>
    <s v=""/>
    <s v=""/>
    <s v=""/>
    <s v=""/>
    <s v=""/>
    <s v=""/>
    <s v=""/>
    <s v=""/>
    <s v=""/>
    <s v=""/>
    <s v=""/>
    <s v=""/>
    <s v=""/>
    <s v=""/>
    <s v=""/>
    <s v=""/>
    <s v=""/>
    <s v=""/>
    <s v=""/>
    <s v=""/>
    <s v=""/>
    <s v=""/>
    <s v=""/>
    <s v=""/>
    <s v=""/>
    <s v=""/>
    <s v=""/>
    <s v=""/>
    <s v=""/>
    <s v=""/>
    <s v=""/>
    <n v="0"/>
    <n v="0"/>
    <n v="0"/>
    <n v="0"/>
    <n v="0"/>
    <n v="1"/>
    <n v="1"/>
    <n v="0"/>
    <n v="0"/>
    <n v="0"/>
    <n v="0"/>
    <n v="0"/>
    <n v="0"/>
    <n v="0"/>
    <n v="0"/>
  </r>
  <r>
    <m/>
    <m/>
    <m/>
    <m/>
    <m/>
    <m/>
    <n v="62"/>
    <n v="61"/>
    <n v="0"/>
    <n v="1"/>
    <n v="0"/>
    <s v="Leased or Rented"/>
    <s v="Leased or Rented"/>
    <m/>
    <m/>
    <m/>
    <m/>
    <n v="13.33"/>
    <n v="13.33"/>
    <n v="13.06"/>
    <n v="13.06"/>
    <n v="1"/>
    <n v="12.92"/>
    <n v="12.92"/>
    <n v="12.66"/>
    <n v="12.66"/>
    <n v="0.5"/>
    <s v="Other manager (specify)"/>
    <n v="0"/>
    <n v="0"/>
    <n v="0"/>
    <n v="0"/>
    <n v="0"/>
    <s v="Other manager (specify)"/>
    <n v="0"/>
    <n v="0"/>
    <n v="0"/>
    <n v="0"/>
    <n v="0"/>
    <s v="Other manager (specify)"/>
    <n v="0"/>
    <n v="0"/>
    <n v="0"/>
    <n v="0"/>
    <n v="0"/>
    <s v="Care Worker"/>
    <n v="9.3699999999999992"/>
    <n v="18.739999999999998"/>
    <n v="9"/>
    <n v="18"/>
    <n v="23"/>
    <s v="Care Assistant (specify)"/>
    <n v="0"/>
    <n v="0"/>
    <n v="0"/>
    <n v="0"/>
    <n v="0"/>
    <s v="Care Assistant (specify)"/>
    <n v="0"/>
    <n v="0"/>
    <n v="0"/>
    <n v="0"/>
    <n v="0"/>
    <s v="Care Assistant (specify)"/>
    <n v="0"/>
    <n v="0"/>
    <n v="0"/>
    <n v="0"/>
    <n v="0"/>
    <s v="Co-ordinator"/>
    <n v="10.51"/>
    <n v="10.51"/>
    <n v="10.29"/>
    <n v="10.29"/>
    <n v="0.75"/>
    <s v="Administrative Officer (specify)"/>
    <n v="0"/>
    <n v="0"/>
    <n v="0"/>
    <n v="0"/>
    <n v="0"/>
    <s v="Administrative Officer (specify)"/>
    <n v="0"/>
    <n v="0"/>
    <n v="0"/>
    <n v="0"/>
    <n v="0"/>
    <s v="Other staff (specify)"/>
    <n v="0"/>
    <n v="0"/>
    <n v="0"/>
    <n v="0"/>
    <n v="0"/>
    <s v="Other staff (specify)"/>
    <n v="0"/>
    <n v="0"/>
    <n v="0"/>
    <n v="0"/>
    <n v="0"/>
    <s v="Other staff (specify)"/>
    <n v="0"/>
    <n v="0"/>
    <n v="0"/>
    <n v="0"/>
    <n v="0"/>
    <n v="0.03"/>
    <n v="614"/>
    <n v="0"/>
    <n v="34"/>
    <n v="0"/>
    <n v="168"/>
    <n v="25"/>
    <n v="0"/>
    <n v="0"/>
    <n v="0"/>
    <n v="0"/>
    <n v="0"/>
    <n v="0"/>
    <n v="15.58"/>
    <n v="16"/>
    <n v="15.5"/>
    <d v="2021-04-01T00:00:00"/>
    <d v="2021-08-31T00:00:00"/>
    <n v="43732"/>
    <n v="45544"/>
    <n v="483703"/>
    <n v="18138"/>
    <n v="7770"/>
    <n v="0"/>
    <n v="20064"/>
    <n v="0"/>
    <n v="9674"/>
    <n v="34067"/>
    <n v="0"/>
    <n v="9881"/>
    <n v="0"/>
    <n v="10392"/>
    <s v="Other - please specify"/>
    <n v="0"/>
    <s v="Other - please specify"/>
    <n v="0"/>
    <n v="0"/>
    <n v="10776"/>
    <n v="900"/>
    <n v="5000"/>
    <n v="0"/>
    <n v="0"/>
    <n v="0"/>
    <n v="0"/>
    <s v="Other - please specify"/>
    <n v="0"/>
    <s v="Other - please specify"/>
    <n v="0"/>
    <n v="3345"/>
    <n v="1673"/>
    <s v="Other overheads - please specify"/>
    <n v="0"/>
    <s v="Other overheads - please specify"/>
    <n v="0"/>
    <n v="21068"/>
    <n v="0"/>
    <n v="0"/>
    <m/>
    <d v="2021-10-11T15:03:24"/>
    <x v="0"/>
    <n v="61"/>
    <x v="4"/>
    <n v="13.33"/>
    <n v="13.33"/>
    <n v="13.06"/>
    <n v="13.06"/>
    <n v="12.92"/>
    <n v="12.92"/>
    <n v="12.66"/>
    <n v="12.66"/>
    <s v=""/>
    <s v=""/>
    <s v=""/>
    <s v=""/>
    <s v=""/>
    <s v=""/>
    <s v=""/>
    <s v=""/>
    <s v=""/>
    <s v=""/>
    <s v=""/>
    <s v=""/>
    <n v="9.3699999999999992"/>
    <n v="18.739999999999998"/>
    <n v="9"/>
    <n v="18"/>
    <s v=""/>
    <s v=""/>
    <s v=""/>
    <s v=""/>
    <s v=""/>
    <s v=""/>
    <s v=""/>
    <s v=""/>
    <s v=""/>
    <s v=""/>
    <s v=""/>
    <s v=""/>
    <n v="10.51"/>
    <n v="10.51"/>
    <n v="10.29"/>
    <n v="10.29"/>
    <s v=""/>
    <s v=""/>
    <s v=""/>
    <s v=""/>
    <s v=""/>
    <s v=""/>
    <s v=""/>
    <s v=""/>
    <s v=""/>
    <s v=""/>
    <s v=""/>
    <s v=""/>
    <s v=""/>
    <s v=""/>
    <s v=""/>
    <s v=""/>
    <s v=""/>
    <s v=""/>
    <s v=""/>
    <s v=""/>
    <n v="13.33"/>
    <n v="13.33"/>
    <n v="13.06"/>
    <n v="13.06"/>
    <n v="12.92"/>
    <n v="12.92"/>
    <n v="12.66"/>
    <n v="12.66"/>
    <s v=""/>
    <s v=""/>
    <s v=""/>
    <s v=""/>
    <s v=""/>
    <s v=""/>
    <s v=""/>
    <s v=""/>
    <s v=""/>
    <s v=""/>
    <s v=""/>
    <s v=""/>
    <n v="9.3699999999999992"/>
    <n v="18.739999999999998"/>
    <n v="9"/>
    <n v="18"/>
    <s v=""/>
    <s v=""/>
    <s v=""/>
    <s v=""/>
    <s v=""/>
    <s v=""/>
    <s v=""/>
    <s v=""/>
    <s v=""/>
    <s v=""/>
    <s v=""/>
    <s v=""/>
    <n v="10.51"/>
    <n v="10.51"/>
    <n v="10.29"/>
    <n v="10.29"/>
    <s v=""/>
    <s v=""/>
    <s v=""/>
    <s v=""/>
    <s v=""/>
    <s v=""/>
    <s v=""/>
    <s v=""/>
    <s v=""/>
    <s v=""/>
    <s v=""/>
    <s v=""/>
    <s v=""/>
    <s v=""/>
    <s v=""/>
    <s v=""/>
    <s v=""/>
    <s v=""/>
    <s v=""/>
    <s v=""/>
    <n v="1.5"/>
    <n v="23"/>
    <n v="0.75"/>
    <n v="0"/>
    <n v="25.25"/>
    <x v="2"/>
    <n v="841"/>
    <n v="0"/>
    <e v="#VALUE!"/>
    <e v="#VALUE!"/>
    <e v="#VALUE!"/>
    <e v="#VALUE!"/>
    <x v="0"/>
    <n v="584893"/>
    <n v="54340"/>
    <n v="16676"/>
    <n v="5018"/>
    <n v="1.0414341900667703"/>
    <n v="11.06061922619592"/>
    <n v="0.41475349858227384"/>
    <n v="0.17767309978962773"/>
    <n v="0"/>
    <n v="0.45879447544132446"/>
    <n v="0"/>
    <n v="0.22121101253086983"/>
    <n v="0.7789947864264154"/>
    <n v="0"/>
    <n v="0.22594438854843135"/>
    <n v="0"/>
    <n v="0.23762919601207355"/>
    <n v="0"/>
    <n v="0"/>
    <n v="0"/>
    <n v="0.24640995152291228"/>
    <n v="2.0579895728528308E-2"/>
    <n v="0.1143327540473795"/>
    <n v="0"/>
    <n v="0"/>
    <n v="0"/>
    <n v="0"/>
    <n v="0"/>
    <n v="0"/>
    <n v="7.6488612457696878E-2"/>
    <n v="3.8255739504253178E-2"/>
    <n v="0"/>
    <n v="0"/>
    <n v="15.113120826854473"/>
    <n v="0.48175249245403823"/>
    <n v="0"/>
    <n v="63"/>
    <x v="0"/>
    <x v="1"/>
    <x v="1"/>
    <x v="1"/>
    <x v="0"/>
    <b v="1"/>
    <b v="1"/>
    <n v="0"/>
    <n v="0"/>
    <s v=""/>
    <s v=""/>
    <s v=""/>
    <n v="0"/>
    <s v=""/>
    <s v=""/>
    <s v=""/>
    <n v="0"/>
    <s v=""/>
    <s v=""/>
    <s v=""/>
    <s v=""/>
    <n v="0"/>
    <n v="0"/>
    <n v="0"/>
    <s v=""/>
    <s v=""/>
    <s v=""/>
    <n v="0"/>
    <s v=""/>
    <s v=""/>
    <s v=""/>
    <n v="0"/>
    <s v=""/>
    <s v=""/>
    <s v=""/>
    <s v=""/>
    <b v="1"/>
    <b v="0"/>
    <x v="2"/>
    <n v="13.374485502606785"/>
    <n v="1.2425683709869204"/>
    <n v="0.38132260129882012"/>
    <n v="0.11474435196195006"/>
    <n v="0"/>
    <n v="0"/>
    <s v=""/>
    <s v=""/>
    <s v=""/>
    <n v="0"/>
    <s v=""/>
    <s v=""/>
    <s v=""/>
    <n v="0"/>
    <s v=""/>
    <s v=""/>
    <s v=""/>
    <s v=""/>
    <n v="0"/>
    <n v="0"/>
    <n v="0"/>
    <s v=""/>
    <s v=""/>
    <s v=""/>
    <n v="0"/>
    <s v=""/>
    <s v=""/>
    <s v=""/>
    <n v="0"/>
    <s v=""/>
    <s v=""/>
    <s v=""/>
    <s v=""/>
    <n v="13.33"/>
    <n v="13.33"/>
    <n v="13.06"/>
    <n v="13.06"/>
    <n v="6.46"/>
    <n v="6.46"/>
    <n v="6.33"/>
    <n v="6.33"/>
    <s v=""/>
    <s v=""/>
    <s v=""/>
    <s v=""/>
    <s v=""/>
    <s v=""/>
    <s v=""/>
    <s v=""/>
    <s v=""/>
    <s v=""/>
    <s v=""/>
    <s v=""/>
    <n v="215.51"/>
    <n v="431.02"/>
    <n v="207"/>
    <n v="414"/>
    <s v=""/>
    <s v=""/>
    <s v=""/>
    <s v=""/>
    <s v=""/>
    <s v=""/>
    <s v=""/>
    <s v=""/>
    <s v=""/>
    <s v=""/>
    <s v=""/>
    <s v=""/>
    <n v="7.8825000000000003"/>
    <n v="7.8825000000000003"/>
    <n v="7.7174999999999994"/>
    <n v="7.7174999999999994"/>
    <s v=""/>
    <s v=""/>
    <s v=""/>
    <s v=""/>
    <s v=""/>
    <s v=""/>
    <s v=""/>
    <s v=""/>
    <s v=""/>
    <s v=""/>
    <s v=""/>
    <s v=""/>
    <s v=""/>
    <s v=""/>
    <s v=""/>
    <s v=""/>
    <s v=""/>
    <s v=""/>
    <s v=""/>
    <s v=""/>
    <n v="1"/>
    <n v="0.5"/>
    <n v="0"/>
    <n v="0"/>
    <n v="0"/>
    <n v="23"/>
    <n v="0"/>
    <n v="0"/>
    <n v="0"/>
    <n v="0.75"/>
    <n v="0"/>
    <n v="0"/>
    <n v="0"/>
    <n v="0"/>
    <n v="0"/>
  </r>
  <r>
    <m/>
    <m/>
    <m/>
    <m/>
    <m/>
    <m/>
    <n v="63"/>
    <n v="0"/>
    <n v="45"/>
    <n v="0"/>
    <n v="1"/>
    <s v="Leased or Rented"/>
    <s v="Leased or Rented"/>
    <m/>
    <m/>
    <m/>
    <m/>
    <n v="19.53"/>
    <n v="20.059999999999999"/>
    <n v="19.100000000000001"/>
    <n v="19.62"/>
    <n v="4"/>
    <n v="12.76"/>
    <n v="12.76"/>
    <n v="12.48"/>
    <n v="12.48"/>
    <n v="3"/>
    <s v="Other manager (specify)"/>
    <n v="0"/>
    <n v="0"/>
    <n v="0"/>
    <n v="0"/>
    <n v="0"/>
    <s v="Other manager (specify)"/>
    <n v="0"/>
    <n v="0"/>
    <n v="0"/>
    <n v="0"/>
    <n v="0"/>
    <s v="Other manager (specify)"/>
    <n v="0"/>
    <n v="0"/>
    <m/>
    <n v="0"/>
    <n v="0"/>
    <s v="Team Leader"/>
    <n v="10.15"/>
    <n v="10.65"/>
    <n v="9.9499999999999993"/>
    <n v="10.45"/>
    <n v="10"/>
    <s v="Support Worker"/>
    <n v="9.1"/>
    <n v="9.6"/>
    <n v="8.9"/>
    <n v="9.4"/>
    <n v="143"/>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265"/>
    <n v="3282"/>
    <n v="1254"/>
    <n v="782"/>
    <n v="0"/>
    <n v="0"/>
    <n v="16.8"/>
    <n v="0"/>
    <n v="17.8"/>
    <d v="2020-08-01T00:00:00"/>
    <d v="2021-08-31T00:00:00"/>
    <n v="286768"/>
    <n v="257500"/>
    <n v="3095384"/>
    <n v="0"/>
    <n v="0"/>
    <n v="40183"/>
    <n v="7793.3714"/>
    <n v="0"/>
    <n v="52175.238100000002"/>
    <n v="0"/>
    <n v="0"/>
    <n v="13819.123799999999"/>
    <n v="0"/>
    <n v="4000.9142999999999"/>
    <s v="Other - please specify"/>
    <n v="0"/>
    <s v="Other - please specify"/>
    <n v="0"/>
    <n v="5578.3618999999999"/>
    <n v="30529.828600000001"/>
    <n v="6360.9904999999999"/>
    <n v="89585.371400000004"/>
    <n v="0"/>
    <n v="16905.752400000001"/>
    <n v="21719.771400000001"/>
    <n v="20275.2"/>
    <s v="Voids"/>
    <n v="39789.7143"/>
    <s v="Other - please specify"/>
    <n v="0"/>
    <n v="149994"/>
    <n v="242204"/>
    <s v="Training Costs (inc App Levy/Room Hire/External Trainer fees)"/>
    <n v="27994"/>
    <s v="All other Head Office Costs"/>
    <n v="142023"/>
    <n v="676447"/>
    <n v="0"/>
    <m/>
    <m/>
    <d v="2021-10-11T15:03:27"/>
    <x v="0"/>
    <n v="45"/>
    <x v="3"/>
    <n v="19.53"/>
    <n v="20.059999999999999"/>
    <n v="19.100000000000001"/>
    <n v="19.62"/>
    <n v="12.76"/>
    <n v="12.76"/>
    <n v="12.48"/>
    <n v="12.48"/>
    <s v=""/>
    <s v=""/>
    <s v=""/>
    <s v=""/>
    <s v=""/>
    <s v=""/>
    <s v=""/>
    <s v=""/>
    <s v=""/>
    <s v=""/>
    <s v=""/>
    <s v=""/>
    <n v="10.15"/>
    <n v="10.65"/>
    <n v="9.9499999999999993"/>
    <n v="10.45"/>
    <n v="9.1"/>
    <n v="9.6"/>
    <n v="8.9"/>
    <n v="9.4"/>
    <s v=""/>
    <s v=""/>
    <s v=""/>
    <s v=""/>
    <s v=""/>
    <s v=""/>
    <s v=""/>
    <s v=""/>
    <s v=""/>
    <s v=""/>
    <s v=""/>
    <s v=""/>
    <s v=""/>
    <s v=""/>
    <s v=""/>
    <s v=""/>
    <s v=""/>
    <s v=""/>
    <s v=""/>
    <s v=""/>
    <s v=""/>
    <s v=""/>
    <s v=""/>
    <s v=""/>
    <s v=""/>
    <s v=""/>
    <s v=""/>
    <s v=""/>
    <s v=""/>
    <s v=""/>
    <s v=""/>
    <s v=""/>
    <n v="19.53"/>
    <n v="20.059999999999999"/>
    <n v="19.100000000000001"/>
    <n v="19.62"/>
    <n v="12.76"/>
    <n v="12.76"/>
    <n v="12.48"/>
    <n v="12.48"/>
    <s v=""/>
    <s v=""/>
    <s v=""/>
    <s v=""/>
    <s v=""/>
    <s v=""/>
    <s v=""/>
    <s v=""/>
    <s v=""/>
    <s v=""/>
    <s v=""/>
    <s v=""/>
    <n v="10.15"/>
    <n v="10.65"/>
    <n v="9.9499999999999993"/>
    <n v="10.45"/>
    <n v="9.1"/>
    <n v="9.6"/>
    <n v="8.9"/>
    <n v="9.4"/>
    <s v=""/>
    <s v=""/>
    <s v=""/>
    <s v=""/>
    <s v=""/>
    <s v=""/>
    <s v=""/>
    <s v=""/>
    <s v=""/>
    <s v=""/>
    <s v=""/>
    <s v=""/>
    <s v=""/>
    <s v=""/>
    <s v=""/>
    <s v=""/>
    <s v=""/>
    <s v=""/>
    <s v=""/>
    <s v=""/>
    <s v=""/>
    <s v=""/>
    <s v=""/>
    <s v=""/>
    <s v=""/>
    <s v=""/>
    <s v=""/>
    <s v=""/>
    <s v=""/>
    <s v=""/>
    <s v=""/>
    <s v=""/>
    <n v="7"/>
    <n v="153"/>
    <n v="0"/>
    <n v="0"/>
    <n v="160"/>
    <x v="0"/>
    <n v="0"/>
    <n v="5583"/>
    <e v="#VALUE!"/>
    <e v="#VALUE!"/>
    <e v="#VALUE!"/>
    <e v="#VALUE!"/>
    <x v="0"/>
    <n v="3453035.6095000003"/>
    <n v="17820.038099999998"/>
    <n v="230744.99049999999"/>
    <n v="562215"/>
    <n v="0.89793840316911233"/>
    <n v="10.794035596719299"/>
    <n v="0"/>
    <n v="0"/>
    <n v="0.14012372370696871"/>
    <n v="2.7176572699882832E-2"/>
    <n v="0"/>
    <n v="0.1819423300368242"/>
    <n v="0"/>
    <n v="0"/>
    <n v="4.8189211488032138E-2"/>
    <n v="0"/>
    <n v="1.3951746010712493E-2"/>
    <n v="0"/>
    <n v="0"/>
    <n v="1.9452525735088991E-2"/>
    <n v="0.10646176909557552"/>
    <n v="2.2181660785024829E-2"/>
    <n v="0.31239668094069073"/>
    <n v="0"/>
    <n v="5.8952715784187919E-2"/>
    <n v="7.5739871254812255E-2"/>
    <n v="7.0702449366735476E-2"/>
    <n v="0.13875228163532891"/>
    <n v="0"/>
    <n v="0.52304999163086541"/>
    <n v="0.8445991184511521"/>
    <n v="9.761898119734419E-2"/>
    <n v="0.49525400323606539"/>
    <n v="14.8685196329437"/>
    <n v="2.3588650058583944"/>
    <n v="0"/>
    <n v="64"/>
    <x v="0"/>
    <x v="0"/>
    <x v="0"/>
    <x v="0"/>
    <x v="1"/>
    <b v="0"/>
    <b v="0"/>
    <n v="0"/>
    <n v="0"/>
    <s v=""/>
    <s v=""/>
    <s v=""/>
    <n v="0"/>
    <n v="143"/>
    <s v=""/>
    <s v=""/>
    <s v=""/>
    <s v=""/>
    <s v=""/>
    <s v=""/>
    <s v=""/>
    <n v="143"/>
    <n v="0"/>
    <n v="0"/>
    <s v=""/>
    <s v=""/>
    <s v=""/>
    <n v="0"/>
    <n v="21.450000000000053"/>
    <s v=""/>
    <s v=""/>
    <s v=""/>
    <s v=""/>
    <s v=""/>
    <s v=""/>
    <s v=""/>
    <b v="0"/>
    <b v="0"/>
    <x v="0"/>
    <n v="12.041216626332087"/>
    <n v="6.2140957498744633E-2"/>
    <n v="0.80463995459744464"/>
    <n v="1.9605220945154271"/>
    <n v="0"/>
    <n v="0"/>
    <s v=""/>
    <s v=""/>
    <s v=""/>
    <n v="0"/>
    <n v="143"/>
    <s v=""/>
    <s v=""/>
    <s v=""/>
    <s v=""/>
    <s v=""/>
    <s v=""/>
    <s v=""/>
    <n v="143"/>
    <n v="0"/>
    <n v="0"/>
    <s v=""/>
    <s v=""/>
    <s v=""/>
    <n v="0"/>
    <n v="78.650000000000105"/>
    <s v=""/>
    <s v=""/>
    <s v=""/>
    <s v=""/>
    <s v=""/>
    <s v=""/>
    <s v=""/>
    <n v="78.12"/>
    <n v="80.239999999999995"/>
    <n v="76.400000000000006"/>
    <n v="78.48"/>
    <n v="38.28"/>
    <n v="38.28"/>
    <n v="37.44"/>
    <n v="37.44"/>
    <s v=""/>
    <s v=""/>
    <s v=""/>
    <s v=""/>
    <s v=""/>
    <s v=""/>
    <s v=""/>
    <s v=""/>
    <s v=""/>
    <s v=""/>
    <s v=""/>
    <s v=""/>
    <n v="101.5"/>
    <n v="106.5"/>
    <n v="99.5"/>
    <n v="104.5"/>
    <n v="1301.3"/>
    <n v="1372.8"/>
    <n v="1272.7"/>
    <n v="1344.2"/>
    <s v=""/>
    <s v=""/>
    <s v=""/>
    <s v=""/>
    <s v=""/>
    <s v=""/>
    <s v=""/>
    <s v=""/>
    <s v=""/>
    <s v=""/>
    <s v=""/>
    <s v=""/>
    <s v=""/>
    <s v=""/>
    <s v=""/>
    <s v=""/>
    <s v=""/>
    <s v=""/>
    <s v=""/>
    <s v=""/>
    <s v=""/>
    <s v=""/>
    <s v=""/>
    <s v=""/>
    <s v=""/>
    <s v=""/>
    <s v=""/>
    <s v=""/>
    <s v=""/>
    <s v=""/>
    <s v=""/>
    <s v=""/>
    <n v="4"/>
    <n v="3"/>
    <n v="0"/>
    <n v="0"/>
    <n v="0"/>
    <n v="10"/>
    <n v="143"/>
    <n v="0"/>
    <n v="0"/>
    <n v="0"/>
    <n v="0"/>
    <n v="0"/>
    <n v="0"/>
    <n v="0"/>
    <n v="0"/>
  </r>
  <r>
    <m/>
    <m/>
    <m/>
    <m/>
    <m/>
    <m/>
    <n v="64"/>
    <n v="0"/>
    <n v="8"/>
    <n v="0"/>
    <n v="1"/>
    <s v="Leased or Rented"/>
    <s v="Leased or Rented"/>
    <m/>
    <m/>
    <m/>
    <m/>
    <n v="15.38"/>
    <n v="15.38"/>
    <n v="15.38"/>
    <n v="15.38"/>
    <n v="1"/>
    <n v="13.75"/>
    <n v="13.75"/>
    <n v="13.75"/>
    <n v="13.75"/>
    <n v="1"/>
    <s v="Other manager (specify)"/>
    <n v="9.5"/>
    <n v="9.5"/>
    <n v="0"/>
    <n v="0"/>
    <n v="2"/>
    <s v="Other manager (specify)"/>
    <n v="0"/>
    <n v="0"/>
    <n v="0"/>
    <n v="0"/>
    <n v="0"/>
    <s v="Other manager (specify)"/>
    <n v="0"/>
    <n v="0"/>
    <n v="0"/>
    <n v="0"/>
    <n v="0"/>
    <s v="Care Assistant (specify)"/>
    <n v="9.25"/>
    <n v="9.25"/>
    <n v="9.25"/>
    <n v="9.25"/>
    <n v="15"/>
    <s v="Care Assistant (specify)"/>
    <n v="0"/>
    <n v="0"/>
    <n v="0"/>
    <n v="0"/>
    <n v="0"/>
    <s v="Care Assistant (specify)"/>
    <n v="0"/>
    <n v="0"/>
    <n v="0"/>
    <n v="0"/>
    <n v="0"/>
    <s v="Care Assistant (specify)"/>
    <n v="0"/>
    <n v="0"/>
    <n v="0"/>
    <n v="0"/>
    <n v="0"/>
    <s v="Administrative Officer (specify)"/>
    <n v="9.5"/>
    <n v="9.5"/>
    <n v="9.5"/>
    <n v="9.5"/>
    <n v="1"/>
    <s v="Administrative Officer (specify)"/>
    <n v="0"/>
    <n v="0"/>
    <n v="0"/>
    <n v="0"/>
    <n v="0"/>
    <s v="Administrative Officer (specify)"/>
    <n v="0"/>
    <n v="0"/>
    <n v="0"/>
    <n v="0"/>
    <n v="0"/>
    <s v="Other staff (specify)"/>
    <n v="0"/>
    <n v="0"/>
    <n v="0"/>
    <n v="0"/>
    <n v="0"/>
    <s v="Other staff (specify)"/>
    <n v="0"/>
    <n v="0"/>
    <n v="0"/>
    <n v="0"/>
    <n v="0"/>
    <s v="Other staff (specify)"/>
    <n v="0"/>
    <n v="0"/>
    <n v="0"/>
    <n v="0"/>
    <n v="0"/>
    <m/>
    <n v="0"/>
    <n v="0"/>
    <n v="0"/>
    <n v="0"/>
    <n v="0"/>
    <n v="0"/>
    <n v="504"/>
    <n v="0"/>
    <n v="0"/>
    <n v="70"/>
    <n v="0"/>
    <n v="0"/>
    <n v="0"/>
    <n v="0"/>
    <n v="15.57"/>
    <d v="2020-10-01T00:00:00"/>
    <d v="2021-09-30T00:00:00"/>
    <n v="29848"/>
    <n v="58400"/>
    <n v="276094"/>
    <n v="24700"/>
    <n v="3000"/>
    <n v="2000"/>
    <n v="3200"/>
    <n v="0"/>
    <n v="5600"/>
    <n v="1500"/>
    <n v="0"/>
    <n v="4550"/>
    <n v="0"/>
    <n v="1250"/>
    <s v="Other - please specify"/>
    <n v="0"/>
    <s v="Other - please specify"/>
    <n v="0"/>
    <n v="1530"/>
    <n v="3600"/>
    <n v="6940"/>
    <n v="29820"/>
    <n v="800"/>
    <n v="5600"/>
    <n v="0"/>
    <n v="0"/>
    <s v="Other - please specify"/>
    <n v="0"/>
    <s v="Other - please specify"/>
    <n v="0"/>
    <n v="0"/>
    <n v="3120"/>
    <s v="Other overheads - please specify"/>
    <n v="0"/>
    <s v="Other overheads - please specify"/>
    <n v="0"/>
    <m/>
    <n v="0"/>
    <n v="0"/>
    <m/>
    <d v="2021-10-11T15:03:29"/>
    <x v="0"/>
    <n v="8"/>
    <x v="0"/>
    <n v="15.38"/>
    <n v="15.38"/>
    <n v="15.38"/>
    <n v="15.38"/>
    <n v="13.75"/>
    <n v="13.75"/>
    <n v="13.75"/>
    <n v="13.75"/>
    <n v="9.5"/>
    <n v="9.5"/>
    <s v=""/>
    <s v=""/>
    <s v=""/>
    <s v=""/>
    <s v=""/>
    <s v=""/>
    <s v=""/>
    <s v=""/>
    <s v=""/>
    <s v=""/>
    <n v="9.25"/>
    <n v="9.25"/>
    <n v="9.25"/>
    <n v="9.25"/>
    <s v=""/>
    <s v=""/>
    <s v=""/>
    <s v=""/>
    <s v=""/>
    <s v=""/>
    <s v=""/>
    <s v=""/>
    <s v=""/>
    <s v=""/>
    <s v=""/>
    <s v=""/>
    <n v="9.5"/>
    <n v="9.5"/>
    <n v="9.5"/>
    <n v="9.5"/>
    <s v=""/>
    <s v=""/>
    <s v=""/>
    <s v=""/>
    <s v=""/>
    <s v=""/>
    <s v=""/>
    <s v=""/>
    <s v=""/>
    <s v=""/>
    <s v=""/>
    <s v=""/>
    <s v=""/>
    <s v=""/>
    <s v=""/>
    <s v=""/>
    <s v=""/>
    <s v=""/>
    <s v=""/>
    <s v=""/>
    <n v="15.38"/>
    <n v="15.38"/>
    <n v="15.38"/>
    <n v="15.38"/>
    <n v="13.75"/>
    <n v="13.75"/>
    <n v="13.75"/>
    <n v="13.75"/>
    <n v="9.5"/>
    <n v="9.5"/>
    <n v="9.5"/>
    <n v="9.5"/>
    <s v=""/>
    <s v=""/>
    <s v=""/>
    <s v=""/>
    <s v=""/>
    <s v=""/>
    <s v=""/>
    <s v=""/>
    <n v="9.25"/>
    <n v="9.25"/>
    <n v="9.25"/>
    <n v="9.25"/>
    <s v=""/>
    <s v=""/>
    <s v=""/>
    <s v=""/>
    <s v=""/>
    <s v=""/>
    <s v=""/>
    <s v=""/>
    <s v=""/>
    <s v=""/>
    <s v=""/>
    <s v=""/>
    <n v="9.5"/>
    <n v="9.5"/>
    <n v="9.5"/>
    <n v="9.5"/>
    <s v=""/>
    <s v=""/>
    <s v=""/>
    <s v=""/>
    <s v=""/>
    <s v=""/>
    <s v=""/>
    <s v=""/>
    <s v=""/>
    <s v=""/>
    <s v=""/>
    <s v=""/>
    <s v=""/>
    <s v=""/>
    <s v=""/>
    <s v=""/>
    <s v=""/>
    <s v=""/>
    <s v=""/>
    <s v=""/>
    <n v="4"/>
    <n v="15"/>
    <n v="1"/>
    <n v="0"/>
    <n v="20"/>
    <x v="0"/>
    <n v="0"/>
    <n v="574"/>
    <e v="#VALUE!"/>
    <e v="#VALUE!"/>
    <e v="#VALUE!"/>
    <e v="#VALUE!"/>
    <x v="0"/>
    <n v="372994"/>
    <n v="7300"/>
    <n v="48290"/>
    <n v="3120"/>
    <n v="1.9565800053604931"/>
    <n v="9.25"/>
    <n v="0.82752613240418116"/>
    <n v="0.10050924685071026"/>
    <n v="6.7006164567140175E-2"/>
    <n v="0.10720986330742428"/>
    <n v="0"/>
    <n v="0.18761726078799248"/>
    <n v="5.0254623425355131E-2"/>
    <n v="0"/>
    <n v="0.1524390243902439"/>
    <n v="0"/>
    <n v="4.1878852854462613E-2"/>
    <n v="0"/>
    <n v="0"/>
    <n v="5.1259715893862239E-2"/>
    <n v="0.12061109622085232"/>
    <n v="0.23251139104797641"/>
    <n v="0.99906191369606001"/>
    <n v="2.6802465826856071E-2"/>
    <n v="0.18761726078799248"/>
    <n v="0"/>
    <n v="0"/>
    <n v="0"/>
    <n v="0"/>
    <n v="0"/>
    <n v="0.10452961672473868"/>
    <n v="0"/>
    <n v="0"/>
    <n v="14.463414634146341"/>
    <s v=""/>
    <n v="0"/>
    <n v="65"/>
    <x v="0"/>
    <x v="0"/>
    <x v="0"/>
    <x v="0"/>
    <x v="1"/>
    <b v="0"/>
    <b v="0"/>
    <n v="0"/>
    <n v="0"/>
    <n v="0"/>
    <s v=""/>
    <s v=""/>
    <n v="15"/>
    <s v=""/>
    <s v=""/>
    <s v=""/>
    <n v="0"/>
    <s v=""/>
    <s v=""/>
    <s v=""/>
    <s v=""/>
    <n v="15"/>
    <n v="0"/>
    <n v="0"/>
    <n v="0"/>
    <s v=""/>
    <s v=""/>
    <n v="3.75"/>
    <s v=""/>
    <s v=""/>
    <s v=""/>
    <n v="0"/>
    <s v=""/>
    <s v=""/>
    <s v=""/>
    <s v=""/>
    <b v="1"/>
    <b v="1"/>
    <x v="3"/>
    <n v="12.496448673277941"/>
    <n v="0.24457250067006164"/>
    <n v="1.6178638434735995"/>
    <n v="0.10452961672473868"/>
    <n v="0"/>
    <n v="0"/>
    <n v="2"/>
    <s v=""/>
    <s v=""/>
    <n v="15"/>
    <s v=""/>
    <s v=""/>
    <s v=""/>
    <n v="1"/>
    <s v=""/>
    <s v=""/>
    <s v=""/>
    <s v=""/>
    <n v="18"/>
    <n v="0"/>
    <n v="0"/>
    <n v="0.80000000000000071"/>
    <s v=""/>
    <s v=""/>
    <n v="9.7500000000000053"/>
    <s v=""/>
    <s v=""/>
    <s v=""/>
    <n v="0.40000000000000036"/>
    <s v=""/>
    <s v=""/>
    <s v=""/>
    <s v=""/>
    <n v="15.38"/>
    <n v="15.38"/>
    <n v="15.38"/>
    <n v="15.38"/>
    <n v="13.75"/>
    <n v="13.75"/>
    <n v="13.75"/>
    <n v="13.75"/>
    <n v="19"/>
    <n v="19"/>
    <n v="19"/>
    <n v="19"/>
    <s v=""/>
    <s v=""/>
    <s v=""/>
    <s v=""/>
    <s v=""/>
    <s v=""/>
    <s v=""/>
    <s v=""/>
    <n v="138.75"/>
    <n v="138.75"/>
    <n v="138.75"/>
    <n v="138.75"/>
    <s v=""/>
    <s v=""/>
    <s v=""/>
    <s v=""/>
    <s v=""/>
    <s v=""/>
    <s v=""/>
    <s v=""/>
    <s v=""/>
    <s v=""/>
    <s v=""/>
    <s v=""/>
    <n v="9.5"/>
    <n v="9.5"/>
    <n v="9.5"/>
    <n v="9.5"/>
    <s v=""/>
    <s v=""/>
    <s v=""/>
    <s v=""/>
    <s v=""/>
    <s v=""/>
    <s v=""/>
    <s v=""/>
    <s v=""/>
    <s v=""/>
    <s v=""/>
    <s v=""/>
    <s v=""/>
    <s v=""/>
    <s v=""/>
    <s v=""/>
    <s v=""/>
    <s v=""/>
    <s v=""/>
    <s v=""/>
    <n v="1"/>
    <n v="1"/>
    <n v="2"/>
    <n v="0"/>
    <n v="0"/>
    <n v="15"/>
    <n v="0"/>
    <n v="0"/>
    <n v="0"/>
    <n v="1"/>
    <n v="0"/>
    <n v="0"/>
    <n v="0"/>
    <n v="0"/>
    <n v="0"/>
  </r>
  <r>
    <m/>
    <m/>
    <m/>
    <m/>
    <m/>
    <m/>
    <n v="65"/>
    <n v="3"/>
    <n v="2"/>
    <n v="0.65"/>
    <n v="0.45"/>
    <m/>
    <m/>
    <m/>
    <m/>
    <m/>
    <m/>
    <n v="10"/>
    <n v="10"/>
    <n v="12"/>
    <n v="0"/>
    <n v="3"/>
    <n v="0"/>
    <n v="0"/>
    <n v="0"/>
    <n v="0"/>
    <n v="0"/>
    <s v="Other manager (specify)"/>
    <n v="0"/>
    <n v="0"/>
    <n v="0"/>
    <n v="0"/>
    <n v="0"/>
    <s v="Other manager (specify)"/>
    <n v="0"/>
    <n v="0"/>
    <n v="0"/>
    <n v="0"/>
    <n v="0"/>
    <s v="Other manager (specify)"/>
    <n v="0"/>
    <n v="0"/>
    <n v="0"/>
    <n v="0"/>
    <n v="0"/>
    <s v="Care Assistant (specify)"/>
    <n v="9"/>
    <n v="9"/>
    <n v="9"/>
    <n v="9.5"/>
    <n v="8"/>
    <s v="Care Assistant (specify)"/>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m/>
    <n v="0"/>
    <n v="0"/>
    <n v="0"/>
    <n v="0"/>
    <n v="0"/>
    <n v="0"/>
    <n v="0"/>
    <n v="0"/>
    <n v="0"/>
    <n v="0"/>
    <n v="0"/>
    <n v="0"/>
    <n v="0"/>
    <n v="0"/>
    <s v="dd/mm/yyyy"/>
    <s v="dd/mm/yyyy"/>
    <n v="0"/>
    <n v="0"/>
    <n v="0"/>
    <n v="0"/>
    <n v="0"/>
    <n v="0"/>
    <n v="0"/>
    <n v="0"/>
    <n v="0"/>
    <n v="0"/>
    <n v="0"/>
    <n v="0"/>
    <n v="0"/>
    <n v="0"/>
    <s v="Other - please specify"/>
    <n v="0"/>
    <s v="Other - please specify"/>
    <n v="0"/>
    <n v="0"/>
    <n v="0"/>
    <n v="0"/>
    <n v="0"/>
    <n v="0"/>
    <n v="0"/>
    <n v="0"/>
    <n v="0"/>
    <s v="Other - please specify"/>
    <n v="0"/>
    <s v="Other - please specify"/>
    <n v="0"/>
    <n v="0"/>
    <n v="0"/>
    <s v="Other overheads - please specify"/>
    <n v="0"/>
    <s v="Other overheads - please specify"/>
    <n v="0"/>
    <m/>
    <n v="0"/>
    <n v="0"/>
    <m/>
    <d v="2021-10-11T15:03:33"/>
    <x v="0"/>
    <n v="5"/>
    <x v="0"/>
    <n v="10"/>
    <n v="10"/>
    <n v="12"/>
    <n v="12"/>
    <s v=""/>
    <s v=""/>
    <s v=""/>
    <s v=""/>
    <s v=""/>
    <s v=""/>
    <s v=""/>
    <s v=""/>
    <s v=""/>
    <s v=""/>
    <s v=""/>
    <s v=""/>
    <s v=""/>
    <s v=""/>
    <s v=""/>
    <s v=""/>
    <n v="9"/>
    <n v="9"/>
    <n v="9"/>
    <n v="9.5"/>
    <s v=""/>
    <s v=""/>
    <s v=""/>
    <s v=""/>
    <s v=""/>
    <s v=""/>
    <s v=""/>
    <s v=""/>
    <s v=""/>
    <s v=""/>
    <s v=""/>
    <s v=""/>
    <s v=""/>
    <s v=""/>
    <s v=""/>
    <s v=""/>
    <s v=""/>
    <s v=""/>
    <s v=""/>
    <s v=""/>
    <s v=""/>
    <s v=""/>
    <s v=""/>
    <s v=""/>
    <s v=""/>
    <s v=""/>
    <s v=""/>
    <s v=""/>
    <s v=""/>
    <s v=""/>
    <s v=""/>
    <s v=""/>
    <s v=""/>
    <s v=""/>
    <s v=""/>
    <s v=""/>
    <n v="10"/>
    <n v="10"/>
    <n v="12"/>
    <n v="12"/>
    <s v=""/>
    <s v=""/>
    <s v=""/>
    <s v=""/>
    <s v=""/>
    <s v=""/>
    <s v=""/>
    <s v=""/>
    <s v=""/>
    <s v=""/>
    <s v=""/>
    <s v=""/>
    <s v=""/>
    <s v=""/>
    <s v=""/>
    <s v=""/>
    <n v="9"/>
    <n v="9"/>
    <n v="9"/>
    <n v="9.5"/>
    <s v=""/>
    <s v=""/>
    <s v=""/>
    <s v=""/>
    <s v=""/>
    <s v=""/>
    <s v=""/>
    <s v=""/>
    <s v=""/>
    <s v=""/>
    <s v=""/>
    <s v=""/>
    <s v=""/>
    <s v=""/>
    <s v=""/>
    <s v=""/>
    <s v=""/>
    <s v=""/>
    <s v=""/>
    <s v=""/>
    <s v=""/>
    <s v=""/>
    <s v=""/>
    <s v=""/>
    <s v=""/>
    <s v=""/>
    <s v=""/>
    <s v=""/>
    <s v=""/>
    <s v=""/>
    <s v=""/>
    <s v=""/>
    <s v=""/>
    <s v=""/>
    <s v=""/>
    <s v=""/>
    <n v="3"/>
    <n v="8"/>
    <n v="0"/>
    <n v="0"/>
    <n v="11"/>
    <x v="2"/>
    <n v="0"/>
    <n v="0"/>
    <e v="#VALUE!"/>
    <e v="#VALUE!"/>
    <e v="#VALUE!"/>
    <e v="#VALUE!"/>
    <x v="1"/>
    <n v="0"/>
    <n v="0"/>
    <n v="0"/>
    <n v="0"/>
    <n v="0"/>
    <n v="0"/>
    <n v="0"/>
    <n v="0"/>
    <n v="0"/>
    <n v="0"/>
    <n v="0"/>
    <n v="0"/>
    <n v="0"/>
    <n v="0"/>
    <n v="0"/>
    <n v="0"/>
    <n v="0"/>
    <n v="0"/>
    <n v="0"/>
    <n v="0"/>
    <n v="0"/>
    <n v="0"/>
    <n v="0"/>
    <n v="0"/>
    <n v="0"/>
    <n v="0"/>
    <n v="0"/>
    <n v="0"/>
    <n v="0"/>
    <n v="0"/>
    <n v="0"/>
    <n v="0"/>
    <n v="0"/>
    <n v="0"/>
    <s v=""/>
    <n v="0"/>
    <n v="66"/>
    <x v="0"/>
    <x v="1"/>
    <x v="0"/>
    <x v="0"/>
    <x v="0"/>
    <b v="1"/>
    <b v="1"/>
    <n v="0"/>
    <s v=""/>
    <s v=""/>
    <s v=""/>
    <s v=""/>
    <n v="8"/>
    <s v=""/>
    <s v=""/>
    <s v=""/>
    <s v=""/>
    <s v=""/>
    <s v=""/>
    <s v=""/>
    <s v=""/>
    <n v="8"/>
    <n v="0"/>
    <s v=""/>
    <s v=""/>
    <s v=""/>
    <s v=""/>
    <n v="4"/>
    <s v=""/>
    <s v=""/>
    <s v=""/>
    <s v=""/>
    <s v=""/>
    <s v=""/>
    <s v=""/>
    <s v=""/>
    <b v="0"/>
    <b v="1"/>
    <x v="1"/>
    <n v="0"/>
    <n v="0"/>
    <n v="0"/>
    <n v="0"/>
    <n v="0"/>
    <s v=""/>
    <s v=""/>
    <s v=""/>
    <s v=""/>
    <n v="8"/>
    <s v=""/>
    <s v=""/>
    <s v=""/>
    <s v=""/>
    <s v=""/>
    <s v=""/>
    <s v=""/>
    <s v=""/>
    <n v="8"/>
    <n v="0"/>
    <s v=""/>
    <s v=""/>
    <s v=""/>
    <s v=""/>
    <n v="7.2000000000000028"/>
    <s v=""/>
    <s v=""/>
    <s v=""/>
    <s v=""/>
    <s v=""/>
    <s v=""/>
    <s v=""/>
    <s v=""/>
    <n v="30"/>
    <n v="30"/>
    <n v="36"/>
    <n v="36"/>
    <s v=""/>
    <s v=""/>
    <s v=""/>
    <s v=""/>
    <s v=""/>
    <s v=""/>
    <s v=""/>
    <s v=""/>
    <s v=""/>
    <s v=""/>
    <s v=""/>
    <s v=""/>
    <s v=""/>
    <s v=""/>
    <s v=""/>
    <s v=""/>
    <n v="72"/>
    <n v="72"/>
    <n v="72"/>
    <n v="76"/>
    <s v=""/>
    <s v=""/>
    <s v=""/>
    <s v=""/>
    <s v=""/>
    <s v=""/>
    <s v=""/>
    <s v=""/>
    <s v=""/>
    <s v=""/>
    <s v=""/>
    <s v=""/>
    <s v=""/>
    <s v=""/>
    <s v=""/>
    <s v=""/>
    <s v=""/>
    <s v=""/>
    <s v=""/>
    <s v=""/>
    <s v=""/>
    <s v=""/>
    <s v=""/>
    <s v=""/>
    <s v=""/>
    <s v=""/>
    <s v=""/>
    <s v=""/>
    <s v=""/>
    <s v=""/>
    <s v=""/>
    <s v=""/>
    <s v=""/>
    <s v=""/>
    <s v=""/>
    <s v=""/>
    <n v="3"/>
    <n v="0"/>
    <n v="0"/>
    <n v="0"/>
    <n v="0"/>
    <n v="8"/>
    <n v="0"/>
    <n v="0"/>
    <n v="0"/>
    <n v="0"/>
    <n v="0"/>
    <n v="0"/>
    <n v="0"/>
    <n v="0"/>
    <n v="0"/>
  </r>
  <r>
    <m/>
    <m/>
    <m/>
    <m/>
    <m/>
    <m/>
    <n v="66"/>
    <n v="0"/>
    <n v="4"/>
    <m/>
    <m/>
    <m/>
    <m/>
    <m/>
    <m/>
    <m/>
    <m/>
    <m/>
    <m/>
    <m/>
    <m/>
    <m/>
    <m/>
    <m/>
    <m/>
    <m/>
    <m/>
    <s v="Service Manager"/>
    <n v="16.12"/>
    <n v="17.88"/>
    <n v="0"/>
    <n v="0"/>
    <n v="0.33"/>
    <m/>
    <n v="0"/>
    <n v="0"/>
    <n v="0"/>
    <n v="0"/>
    <m/>
    <m/>
    <m/>
    <m/>
    <m/>
    <m/>
    <m/>
    <s v="Support Worker"/>
    <n v="9.3000000000000007"/>
    <n v="9.64"/>
    <n v="0"/>
    <n v="0"/>
    <n v="6.44"/>
    <s v="Support Worker vacancy"/>
    <m/>
    <m/>
    <m/>
    <m/>
    <n v="1.74"/>
    <m/>
    <m/>
    <m/>
    <m/>
    <m/>
    <m/>
    <m/>
    <m/>
    <m/>
    <m/>
    <m/>
    <m/>
    <m/>
    <m/>
    <m/>
    <m/>
    <m/>
    <m/>
    <m/>
    <m/>
    <m/>
    <m/>
    <m/>
    <m/>
    <m/>
    <m/>
    <m/>
    <m/>
    <m/>
    <m/>
    <m/>
    <m/>
    <m/>
    <m/>
    <m/>
    <m/>
    <m/>
    <m/>
    <m/>
    <m/>
    <m/>
    <m/>
    <m/>
    <m/>
    <m/>
    <m/>
    <m/>
    <m/>
    <m/>
    <n v="0"/>
    <n v="0"/>
    <n v="0"/>
    <n v="0"/>
    <n v="0"/>
    <n v="0"/>
    <n v="0"/>
    <n v="0"/>
    <n v="0"/>
    <n v="0"/>
    <n v="0"/>
    <n v="0"/>
    <n v="0"/>
    <n v="0"/>
    <n v="0"/>
    <d v="2020-04-01T00:00:00"/>
    <d v="2021-03-31T00:00:00"/>
    <n v="0"/>
    <n v="14789.0139"/>
    <n v="250865.98620000001"/>
    <n v="0"/>
    <n v="0"/>
    <n v="903"/>
    <n v="1630"/>
    <n v="0"/>
    <n v="0"/>
    <n v="0"/>
    <n v="0"/>
    <n v="0"/>
    <n v="0"/>
    <n v="1219"/>
    <s v="Other - please specify"/>
    <n v="0"/>
    <s v="Other - please specify"/>
    <n v="0"/>
    <n v="2075"/>
    <n v="5112"/>
    <n v="1869"/>
    <n v="0"/>
    <n v="0"/>
    <n v="0"/>
    <n v="0"/>
    <n v="8413"/>
    <s v="Scheme Depreciation"/>
    <n v="7361"/>
    <s v="Servicing contracts"/>
    <n v="16901"/>
    <n v="3190.1"/>
    <n v="28710.9"/>
    <s v="Other overheads - please specify"/>
    <n v="0"/>
    <s v="Other overheads - please specify"/>
    <n v="0"/>
    <m/>
    <n v="0"/>
    <n v="0"/>
    <m/>
    <d v="2021-10-11T15:03:37"/>
    <x v="0"/>
    <n v="4"/>
    <x v="0"/>
    <s v=""/>
    <s v=""/>
    <s v=""/>
    <s v=""/>
    <s v=""/>
    <s v=""/>
    <s v=""/>
    <s v=""/>
    <n v="16.12"/>
    <n v="17.88"/>
    <s v=""/>
    <s v=""/>
    <s v=""/>
    <s v=""/>
    <s v=""/>
    <s v=""/>
    <s v=""/>
    <s v=""/>
    <s v=""/>
    <s v=""/>
    <n v="9.3000000000000007"/>
    <n v="9.64"/>
    <s v=""/>
    <s v=""/>
    <s v=""/>
    <s v=""/>
    <s v=""/>
    <s v=""/>
    <s v=""/>
    <s v=""/>
    <s v=""/>
    <s v=""/>
    <s v=""/>
    <s v=""/>
    <s v=""/>
    <s v=""/>
    <s v=""/>
    <s v=""/>
    <s v=""/>
    <s v=""/>
    <s v=""/>
    <s v=""/>
    <s v=""/>
    <s v=""/>
    <s v=""/>
    <s v=""/>
    <s v=""/>
    <s v=""/>
    <s v=""/>
    <s v=""/>
    <s v=""/>
    <s v=""/>
    <s v=""/>
    <s v=""/>
    <s v=""/>
    <s v=""/>
    <s v=""/>
    <s v=""/>
    <s v=""/>
    <s v=""/>
    <s v=""/>
    <s v=""/>
    <s v=""/>
    <s v=""/>
    <s v=""/>
    <s v=""/>
    <s v=""/>
    <s v=""/>
    <n v="16.12"/>
    <n v="17.88"/>
    <n v="16.12"/>
    <n v="17.88"/>
    <s v=""/>
    <s v=""/>
    <s v=""/>
    <s v=""/>
    <s v=""/>
    <s v=""/>
    <s v=""/>
    <s v=""/>
    <n v="9.3000000000000007"/>
    <n v="9.64"/>
    <n v="9.3000000000000007"/>
    <n v="9.64"/>
    <s v=""/>
    <s v=""/>
    <s v=""/>
    <s v=""/>
    <s v=""/>
    <s v=""/>
    <s v=""/>
    <s v=""/>
    <s v=""/>
    <s v=""/>
    <s v=""/>
    <s v=""/>
    <s v=""/>
    <s v=""/>
    <s v=""/>
    <s v=""/>
    <s v=""/>
    <s v=""/>
    <s v=""/>
    <s v=""/>
    <s v=""/>
    <s v=""/>
    <s v=""/>
    <s v=""/>
    <s v=""/>
    <s v=""/>
    <s v=""/>
    <s v=""/>
    <s v=""/>
    <s v=""/>
    <s v=""/>
    <s v=""/>
    <s v=""/>
    <s v=""/>
    <s v=""/>
    <s v=""/>
    <n v="0.33"/>
    <n v="8.18"/>
    <n v="0"/>
    <n v="0"/>
    <n v="8.51"/>
    <x v="1"/>
    <n v="0"/>
    <n v="0"/>
    <e v="#VALUE!"/>
    <e v="#VALUE!"/>
    <e v="#VALUE!"/>
    <e v="#VALUE!"/>
    <x v="0"/>
    <n v="268188.0001"/>
    <n v="1219"/>
    <n v="41731"/>
    <n v="31901"/>
    <n v="0"/>
    <n v="0"/>
    <n v="0"/>
    <n v="0"/>
    <n v="0"/>
    <n v="0"/>
    <n v="0"/>
    <n v="0"/>
    <n v="0"/>
    <n v="0"/>
    <n v="0"/>
    <n v="0"/>
    <n v="0"/>
    <n v="0"/>
    <n v="0"/>
    <n v="0"/>
    <n v="0"/>
    <n v="0"/>
    <n v="0"/>
    <n v="0"/>
    <n v="0"/>
    <n v="0"/>
    <n v="0"/>
    <n v="0"/>
    <n v="0"/>
    <n v="0"/>
    <n v="0"/>
    <n v="0"/>
    <n v="0"/>
    <n v="0"/>
    <s v=""/>
    <n v="0"/>
    <n v="67"/>
    <x v="0"/>
    <x v="0"/>
    <x v="0"/>
    <x v="0"/>
    <x v="0"/>
    <b v="0"/>
    <b v="1"/>
    <s v=""/>
    <s v=""/>
    <n v="0"/>
    <s v=""/>
    <s v=""/>
    <n v="6.44"/>
    <s v=""/>
    <s v=""/>
    <s v=""/>
    <s v=""/>
    <s v=""/>
    <s v=""/>
    <s v=""/>
    <s v=""/>
    <n v="6.44"/>
    <s v=""/>
    <s v=""/>
    <n v="0"/>
    <s v=""/>
    <s v=""/>
    <n v="0.1931999999999959"/>
    <s v=""/>
    <s v=""/>
    <s v=""/>
    <s v=""/>
    <s v=""/>
    <s v=""/>
    <s v=""/>
    <s v=""/>
    <b v="1"/>
    <b v="1"/>
    <x v="3"/>
    <n v="0"/>
    <n v="0"/>
    <n v="0"/>
    <n v="0"/>
    <s v=""/>
    <s v=""/>
    <n v="0"/>
    <s v=""/>
    <s v=""/>
    <n v="6.44"/>
    <s v=""/>
    <s v=""/>
    <s v=""/>
    <s v=""/>
    <s v=""/>
    <s v=""/>
    <s v=""/>
    <s v=""/>
    <n v="6.44"/>
    <s v=""/>
    <s v=""/>
    <n v="0"/>
    <s v=""/>
    <s v=""/>
    <n v="2.7691999999999983"/>
    <s v=""/>
    <s v=""/>
    <s v=""/>
    <s v=""/>
    <s v=""/>
    <s v=""/>
    <s v=""/>
    <s v=""/>
    <s v=""/>
    <s v=""/>
    <s v=""/>
    <s v=""/>
    <s v=""/>
    <s v=""/>
    <s v=""/>
    <s v=""/>
    <n v="5.3196000000000003"/>
    <n v="5.9004000000000003"/>
    <n v="5.3196000000000003"/>
    <n v="5.9004000000000003"/>
    <s v=""/>
    <s v=""/>
    <s v=""/>
    <s v=""/>
    <s v=""/>
    <s v=""/>
    <s v=""/>
    <s v=""/>
    <n v="59.89200000000001"/>
    <n v="62.081600000000009"/>
    <n v="59.89200000000001"/>
    <n v="62.081600000000009"/>
    <s v=""/>
    <s v=""/>
    <s v=""/>
    <s v=""/>
    <s v=""/>
    <s v=""/>
    <s v=""/>
    <s v=""/>
    <s v=""/>
    <s v=""/>
    <s v=""/>
    <s v=""/>
    <s v=""/>
    <s v=""/>
    <s v=""/>
    <s v=""/>
    <s v=""/>
    <s v=""/>
    <s v=""/>
    <s v=""/>
    <s v=""/>
    <s v=""/>
    <s v=""/>
    <s v=""/>
    <s v=""/>
    <s v=""/>
    <s v=""/>
    <s v=""/>
    <s v=""/>
    <s v=""/>
    <s v=""/>
    <s v=""/>
    <s v=""/>
    <s v=""/>
    <s v=""/>
    <s v=""/>
    <n v="0"/>
    <n v="0"/>
    <n v="0.33"/>
    <n v="0"/>
    <n v="0"/>
    <n v="6.44"/>
    <n v="0"/>
    <n v="0"/>
    <n v="0"/>
    <n v="0"/>
    <n v="0"/>
    <n v="0"/>
    <n v="0"/>
    <n v="0"/>
    <n v="0"/>
  </r>
  <r>
    <m/>
    <m/>
    <m/>
    <m/>
    <m/>
    <m/>
    <n v="67"/>
    <n v="0"/>
    <s v="Up to 20  (4 in situe )"/>
    <m/>
    <m/>
    <m/>
    <m/>
    <m/>
    <m/>
    <m/>
    <m/>
    <m/>
    <m/>
    <m/>
    <m/>
    <m/>
    <m/>
    <m/>
    <m/>
    <m/>
    <m/>
    <s v="Service Manager"/>
    <n v="16.12"/>
    <n v="17.88"/>
    <n v="0"/>
    <n v="0"/>
    <n v="0.74"/>
    <s v="Assistant Team Leader"/>
    <n v="10.73"/>
    <n v="11.92"/>
    <n v="0"/>
    <n v="0"/>
    <n v="1"/>
    <m/>
    <m/>
    <m/>
    <m/>
    <m/>
    <m/>
    <s v="Support Workers"/>
    <n v="9.3000000000000007"/>
    <n v="9.64"/>
    <n v="0"/>
    <n v="0"/>
    <n v="4.7"/>
    <m/>
    <m/>
    <m/>
    <m/>
    <m/>
    <m/>
    <m/>
    <m/>
    <m/>
    <m/>
    <m/>
    <m/>
    <m/>
    <m/>
    <m/>
    <m/>
    <m/>
    <m/>
    <s v="Admin Worker"/>
    <m/>
    <m/>
    <m/>
    <m/>
    <n v="0.6"/>
    <m/>
    <m/>
    <m/>
    <m/>
    <m/>
    <m/>
    <m/>
    <m/>
    <m/>
    <m/>
    <m/>
    <m/>
    <s v="Cleaner"/>
    <m/>
    <m/>
    <m/>
    <m/>
    <n v="0.5"/>
    <m/>
    <m/>
    <m/>
    <m/>
    <m/>
    <m/>
    <m/>
    <m/>
    <m/>
    <m/>
    <m/>
    <m/>
    <m/>
    <n v="0"/>
    <n v="0"/>
    <n v="0"/>
    <n v="0"/>
    <n v="0"/>
    <n v="0"/>
    <n v="0"/>
    <n v="0"/>
    <n v="0"/>
    <n v="0"/>
    <n v="0"/>
    <n v="0"/>
    <n v="0"/>
    <n v="0"/>
    <n v="0"/>
    <d v="2020-04-01T00:00:00"/>
    <d v="2021-03-31T00:00:00"/>
    <n v="0"/>
    <n v="58517.78"/>
    <n v="177596.79"/>
    <n v="15149.27"/>
    <n v="13482.16"/>
    <n v="13960"/>
    <n v="139"/>
    <n v="0"/>
    <n v="0"/>
    <n v="0"/>
    <n v="0"/>
    <n v="0"/>
    <n v="0"/>
    <n v="3571"/>
    <s v="Other - please specify"/>
    <n v="0"/>
    <s v="Other - please specify"/>
    <n v="0"/>
    <n v="4736"/>
    <n v="29403"/>
    <n v="19924"/>
    <n v="0"/>
    <n v="0"/>
    <n v="16"/>
    <n v="0"/>
    <n v="64742"/>
    <s v="Scheme Depreciation"/>
    <n v="26926"/>
    <s v="Scheme Servicing contracts eg launry, fire detection, legionella"/>
    <n v="17823"/>
    <n v="3326.1"/>
    <n v="29934.9"/>
    <s v="Other overheads - please specify"/>
    <n v="0"/>
    <s v="Other overheads - please specify"/>
    <n v="0"/>
    <m/>
    <n v="0"/>
    <n v="0"/>
    <m/>
    <d v="2021-10-11T15:03:39"/>
    <x v="0"/>
    <n v="0"/>
    <x v="12"/>
    <s v=""/>
    <s v=""/>
    <s v=""/>
    <s v=""/>
    <s v=""/>
    <s v=""/>
    <s v=""/>
    <s v=""/>
    <n v="16.12"/>
    <n v="17.88"/>
    <s v=""/>
    <s v=""/>
    <n v="10.73"/>
    <n v="11.92"/>
    <s v=""/>
    <s v=""/>
    <s v=""/>
    <s v=""/>
    <s v=""/>
    <s v=""/>
    <n v="9.3000000000000007"/>
    <n v="9.64"/>
    <s v=""/>
    <s v=""/>
    <s v=""/>
    <s v=""/>
    <s v=""/>
    <s v=""/>
    <s v=""/>
    <s v=""/>
    <s v=""/>
    <s v=""/>
    <s v=""/>
    <s v=""/>
    <s v=""/>
    <s v=""/>
    <s v=""/>
    <s v=""/>
    <s v=""/>
    <s v=""/>
    <s v=""/>
    <s v=""/>
    <s v=""/>
    <s v=""/>
    <s v=""/>
    <s v=""/>
    <s v=""/>
    <s v=""/>
    <s v=""/>
    <s v=""/>
    <s v=""/>
    <s v=""/>
    <s v=""/>
    <s v=""/>
    <s v=""/>
    <s v=""/>
    <s v=""/>
    <s v=""/>
    <s v=""/>
    <s v=""/>
    <s v=""/>
    <s v=""/>
    <s v=""/>
    <s v=""/>
    <s v=""/>
    <s v=""/>
    <s v=""/>
    <s v=""/>
    <n v="16.12"/>
    <n v="17.88"/>
    <n v="16.12"/>
    <n v="17.88"/>
    <n v="10.73"/>
    <n v="11.92"/>
    <n v="10.73"/>
    <n v="11.92"/>
    <s v=""/>
    <s v=""/>
    <s v=""/>
    <s v=""/>
    <n v="9.3000000000000007"/>
    <n v="9.64"/>
    <n v="9.3000000000000007"/>
    <n v="9.64"/>
    <s v=""/>
    <s v=""/>
    <s v=""/>
    <s v=""/>
    <s v=""/>
    <s v=""/>
    <s v=""/>
    <s v=""/>
    <s v=""/>
    <s v=""/>
    <s v=""/>
    <s v=""/>
    <s v=""/>
    <s v=""/>
    <s v=""/>
    <s v=""/>
    <s v=""/>
    <s v=""/>
    <s v=""/>
    <s v=""/>
    <s v=""/>
    <s v=""/>
    <s v=""/>
    <s v=""/>
    <s v=""/>
    <s v=""/>
    <s v=""/>
    <s v=""/>
    <s v=""/>
    <s v=""/>
    <s v=""/>
    <s v=""/>
    <s v=""/>
    <s v=""/>
    <s v=""/>
    <s v=""/>
    <n v="1.74"/>
    <n v="4.7"/>
    <n v="0.6"/>
    <n v="0.5"/>
    <n v="7.54"/>
    <x v="1"/>
    <n v="0"/>
    <n v="0"/>
    <e v="#VALUE!"/>
    <e v="#VALUE!"/>
    <e v="#VALUE!"/>
    <e v="#VALUE!"/>
    <x v="0"/>
    <n v="278845"/>
    <n v="3571"/>
    <n v="163570"/>
    <n v="33261"/>
    <n v="0"/>
    <n v="0"/>
    <n v="0"/>
    <n v="0"/>
    <n v="0"/>
    <n v="0"/>
    <n v="0"/>
    <n v="0"/>
    <n v="0"/>
    <n v="0"/>
    <n v="0"/>
    <n v="0"/>
    <n v="0"/>
    <n v="0"/>
    <n v="0"/>
    <n v="0"/>
    <n v="0"/>
    <n v="0"/>
    <n v="0"/>
    <n v="0"/>
    <n v="0"/>
    <n v="0"/>
    <n v="0"/>
    <n v="0"/>
    <n v="0"/>
    <n v="0"/>
    <n v="0"/>
    <n v="0"/>
    <n v="0"/>
    <n v="0"/>
    <s v=""/>
    <n v="0"/>
    <n v="68"/>
    <x v="0"/>
    <x v="0"/>
    <x v="0"/>
    <x v="0"/>
    <x v="0"/>
    <b v="0"/>
    <b v="1"/>
    <s v=""/>
    <s v=""/>
    <n v="0"/>
    <n v="0"/>
    <s v=""/>
    <n v="4.7"/>
    <s v=""/>
    <s v=""/>
    <s v=""/>
    <s v=""/>
    <s v=""/>
    <s v=""/>
    <s v=""/>
    <s v=""/>
    <n v="4.7"/>
    <s v=""/>
    <s v=""/>
    <n v="0"/>
    <n v="0"/>
    <s v=""/>
    <n v="0.14099999999999699"/>
    <s v=""/>
    <s v=""/>
    <s v=""/>
    <s v=""/>
    <s v=""/>
    <s v=""/>
    <s v=""/>
    <s v=""/>
    <b v="1"/>
    <b v="1"/>
    <x v="3"/>
    <n v="0"/>
    <n v="0"/>
    <n v="0"/>
    <n v="0"/>
    <s v=""/>
    <s v=""/>
    <n v="0"/>
    <n v="0"/>
    <s v=""/>
    <n v="4.7"/>
    <s v=""/>
    <s v=""/>
    <s v=""/>
    <s v=""/>
    <s v=""/>
    <s v=""/>
    <s v=""/>
    <s v=""/>
    <n v="4.7"/>
    <s v=""/>
    <s v=""/>
    <n v="0"/>
    <n v="0"/>
    <s v=""/>
    <n v="2.0209999999999986"/>
    <s v=""/>
    <s v=""/>
    <s v=""/>
    <s v=""/>
    <s v=""/>
    <s v=""/>
    <s v=""/>
    <s v=""/>
    <s v=""/>
    <s v=""/>
    <s v=""/>
    <s v=""/>
    <s v=""/>
    <s v=""/>
    <s v=""/>
    <s v=""/>
    <n v="11.928800000000001"/>
    <n v="13.231199999999999"/>
    <n v="11.928800000000001"/>
    <n v="13.231199999999999"/>
    <n v="10.73"/>
    <n v="11.92"/>
    <n v="10.73"/>
    <n v="11.92"/>
    <s v=""/>
    <s v=""/>
    <s v=""/>
    <s v=""/>
    <n v="43.710000000000008"/>
    <n v="45.308000000000007"/>
    <n v="43.710000000000008"/>
    <n v="45.308000000000007"/>
    <s v=""/>
    <s v=""/>
    <s v=""/>
    <s v=""/>
    <s v=""/>
    <s v=""/>
    <s v=""/>
    <s v=""/>
    <s v=""/>
    <s v=""/>
    <s v=""/>
    <s v=""/>
    <s v=""/>
    <s v=""/>
    <s v=""/>
    <s v=""/>
    <s v=""/>
    <s v=""/>
    <s v=""/>
    <s v=""/>
    <s v=""/>
    <s v=""/>
    <s v=""/>
    <s v=""/>
    <s v=""/>
    <s v=""/>
    <s v=""/>
    <s v=""/>
    <s v=""/>
    <s v=""/>
    <s v=""/>
    <s v=""/>
    <s v=""/>
    <s v=""/>
    <s v=""/>
    <s v=""/>
    <n v="0"/>
    <n v="0"/>
    <n v="0.74"/>
    <n v="1"/>
    <n v="0"/>
    <n v="4.7"/>
    <n v="0"/>
    <n v="0"/>
    <n v="0"/>
    <n v="0"/>
    <n v="0"/>
    <n v="0"/>
    <n v="0"/>
    <n v="0"/>
    <n v="0"/>
  </r>
  <r>
    <m/>
    <m/>
    <m/>
    <m/>
    <m/>
    <m/>
    <n v="68"/>
    <n v="0"/>
    <n v="4"/>
    <m/>
    <m/>
    <m/>
    <m/>
    <m/>
    <m/>
    <m/>
    <m/>
    <m/>
    <m/>
    <m/>
    <m/>
    <m/>
    <m/>
    <m/>
    <m/>
    <m/>
    <m/>
    <s v="Service Manager"/>
    <n v="16.12"/>
    <n v="17.88"/>
    <n v="0"/>
    <n v="0"/>
    <n v="0.34"/>
    <s v="Assistant Service Manager"/>
    <n v="10.73"/>
    <n v="11.92"/>
    <n v="0"/>
    <n v="0"/>
    <n v="1"/>
    <m/>
    <m/>
    <m/>
    <m/>
    <m/>
    <m/>
    <s v="Support Workers"/>
    <n v="9.3000000000000007"/>
    <n v="9.64"/>
    <n v="0"/>
    <n v="0"/>
    <n v="8.1"/>
    <s v="Vacant Hours"/>
    <m/>
    <m/>
    <m/>
    <m/>
    <n v="0.6"/>
    <m/>
    <m/>
    <m/>
    <m/>
    <m/>
    <m/>
    <m/>
    <m/>
    <m/>
    <m/>
    <m/>
    <m/>
    <m/>
    <m/>
    <m/>
    <m/>
    <m/>
    <m/>
    <m/>
    <m/>
    <m/>
    <m/>
    <m/>
    <m/>
    <m/>
    <m/>
    <m/>
    <m/>
    <m/>
    <m/>
    <m/>
    <m/>
    <m/>
    <m/>
    <m/>
    <m/>
    <m/>
    <m/>
    <m/>
    <m/>
    <m/>
    <m/>
    <m/>
    <m/>
    <m/>
    <m/>
    <m/>
    <m/>
    <m/>
    <n v="0"/>
    <n v="0"/>
    <n v="0"/>
    <n v="0"/>
    <n v="0"/>
    <n v="0"/>
    <n v="0"/>
    <n v="0"/>
    <n v="0"/>
    <n v="0"/>
    <n v="0"/>
    <n v="0"/>
    <n v="0"/>
    <n v="0"/>
    <n v="0"/>
    <d v="2020-04-01T00:00:00"/>
    <d v="2021-03-31T00:00:00"/>
    <n v="0"/>
    <n v="36377.769999999997"/>
    <n v="249606.23"/>
    <n v="0"/>
    <n v="0"/>
    <n v="0"/>
    <n v="1381"/>
    <n v="0"/>
    <n v="0"/>
    <n v="0"/>
    <n v="0"/>
    <n v="0"/>
    <n v="0"/>
    <n v="258"/>
    <s v="Other - please specify"/>
    <n v="0"/>
    <s v="Other - please specify"/>
    <n v="0"/>
    <n v="1861"/>
    <n v="8829"/>
    <n v="2402"/>
    <n v="0"/>
    <n v="0"/>
    <n v="0"/>
    <n v="0"/>
    <n v="8569"/>
    <s v="Scheme Depreciation"/>
    <n v="4558"/>
    <s v="Servicing costs e.g. grounds maintenance, window cleaning, laundry"/>
    <n v="14381"/>
    <n v="3760.297"/>
    <n v="33842.673000000003"/>
    <s v="Other overheads - please specify"/>
    <n v="0"/>
    <s v="Other overheads - please specify"/>
    <n v="0"/>
    <m/>
    <n v="0"/>
    <n v="0"/>
    <m/>
    <d v="2021-10-11T15:03:42"/>
    <x v="0"/>
    <n v="4"/>
    <x v="0"/>
    <s v=""/>
    <s v=""/>
    <s v=""/>
    <s v=""/>
    <s v=""/>
    <s v=""/>
    <s v=""/>
    <s v=""/>
    <n v="16.12"/>
    <n v="17.88"/>
    <s v=""/>
    <s v=""/>
    <n v="10.73"/>
    <n v="11.92"/>
    <s v=""/>
    <s v=""/>
    <s v=""/>
    <s v=""/>
    <s v=""/>
    <s v=""/>
    <n v="9.3000000000000007"/>
    <n v="9.64"/>
    <s v=""/>
    <s v=""/>
    <s v=""/>
    <s v=""/>
    <s v=""/>
    <s v=""/>
    <s v=""/>
    <s v=""/>
    <s v=""/>
    <s v=""/>
    <s v=""/>
    <s v=""/>
    <s v=""/>
    <s v=""/>
    <s v=""/>
    <s v=""/>
    <s v=""/>
    <s v=""/>
    <s v=""/>
    <s v=""/>
    <s v=""/>
    <s v=""/>
    <s v=""/>
    <s v=""/>
    <s v=""/>
    <s v=""/>
    <s v=""/>
    <s v=""/>
    <s v=""/>
    <s v=""/>
    <s v=""/>
    <s v=""/>
    <s v=""/>
    <s v=""/>
    <s v=""/>
    <s v=""/>
    <s v=""/>
    <s v=""/>
    <s v=""/>
    <s v=""/>
    <s v=""/>
    <s v=""/>
    <s v=""/>
    <s v=""/>
    <s v=""/>
    <s v=""/>
    <n v="16.12"/>
    <n v="17.88"/>
    <n v="16.12"/>
    <n v="17.88"/>
    <n v="10.73"/>
    <n v="11.92"/>
    <n v="10.73"/>
    <n v="11.92"/>
    <s v=""/>
    <s v=""/>
    <s v=""/>
    <s v=""/>
    <n v="9.3000000000000007"/>
    <n v="9.64"/>
    <n v="9.3000000000000007"/>
    <n v="9.64"/>
    <s v=""/>
    <s v=""/>
    <s v=""/>
    <s v=""/>
    <s v=""/>
    <s v=""/>
    <s v=""/>
    <s v=""/>
    <s v=""/>
    <s v=""/>
    <s v=""/>
    <s v=""/>
    <s v=""/>
    <s v=""/>
    <s v=""/>
    <s v=""/>
    <s v=""/>
    <s v=""/>
    <s v=""/>
    <s v=""/>
    <s v=""/>
    <s v=""/>
    <s v=""/>
    <s v=""/>
    <s v=""/>
    <s v=""/>
    <s v=""/>
    <s v=""/>
    <s v=""/>
    <s v=""/>
    <s v=""/>
    <s v=""/>
    <s v=""/>
    <s v=""/>
    <s v=""/>
    <s v=""/>
    <n v="1.34"/>
    <n v="8.6999999999999993"/>
    <n v="0"/>
    <n v="0"/>
    <n v="10.039999999999999"/>
    <x v="1"/>
    <n v="0"/>
    <n v="0"/>
    <e v="#VALUE!"/>
    <e v="#VALUE!"/>
    <e v="#VALUE!"/>
    <e v="#VALUE!"/>
    <x v="0"/>
    <n v="287365"/>
    <n v="258"/>
    <n v="40600"/>
    <n v="37602.97"/>
    <n v="0"/>
    <n v="0"/>
    <n v="0"/>
    <n v="0"/>
    <n v="0"/>
    <n v="0"/>
    <n v="0"/>
    <n v="0"/>
    <n v="0"/>
    <n v="0"/>
    <n v="0"/>
    <n v="0"/>
    <n v="0"/>
    <n v="0"/>
    <n v="0"/>
    <n v="0"/>
    <n v="0"/>
    <n v="0"/>
    <n v="0"/>
    <n v="0"/>
    <n v="0"/>
    <n v="0"/>
    <n v="0"/>
    <n v="0"/>
    <n v="0"/>
    <n v="0"/>
    <n v="0"/>
    <n v="0"/>
    <n v="0"/>
    <n v="0"/>
    <s v=""/>
    <n v="0"/>
    <n v="69"/>
    <x v="0"/>
    <x v="0"/>
    <x v="0"/>
    <x v="0"/>
    <x v="0"/>
    <b v="0"/>
    <b v="1"/>
    <s v=""/>
    <s v=""/>
    <n v="0"/>
    <n v="0"/>
    <s v=""/>
    <n v="8.1"/>
    <s v=""/>
    <s v=""/>
    <s v=""/>
    <s v=""/>
    <s v=""/>
    <s v=""/>
    <s v=""/>
    <s v=""/>
    <n v="8.1"/>
    <s v=""/>
    <s v=""/>
    <n v="0"/>
    <n v="0"/>
    <s v=""/>
    <n v="0.2429999999999948"/>
    <s v=""/>
    <s v=""/>
    <s v=""/>
    <s v=""/>
    <s v=""/>
    <s v=""/>
    <s v=""/>
    <s v=""/>
    <b v="1"/>
    <b v="1"/>
    <x v="3"/>
    <n v="0"/>
    <n v="0"/>
    <n v="0"/>
    <n v="0"/>
    <s v=""/>
    <s v=""/>
    <n v="0"/>
    <n v="0"/>
    <s v=""/>
    <n v="8.1"/>
    <s v=""/>
    <s v=""/>
    <s v=""/>
    <s v=""/>
    <s v=""/>
    <s v=""/>
    <s v=""/>
    <s v=""/>
    <n v="8.1"/>
    <s v=""/>
    <s v=""/>
    <n v="0"/>
    <n v="0"/>
    <s v=""/>
    <n v="3.4829999999999974"/>
    <s v=""/>
    <s v=""/>
    <s v=""/>
    <s v=""/>
    <s v=""/>
    <s v=""/>
    <s v=""/>
    <s v=""/>
    <s v=""/>
    <s v=""/>
    <s v=""/>
    <s v=""/>
    <s v=""/>
    <s v=""/>
    <s v=""/>
    <s v=""/>
    <n v="5.4808000000000003"/>
    <n v="6.0792000000000002"/>
    <n v="5.4808000000000003"/>
    <n v="6.0792000000000002"/>
    <n v="10.73"/>
    <n v="11.92"/>
    <n v="10.73"/>
    <n v="11.92"/>
    <s v=""/>
    <s v=""/>
    <s v=""/>
    <s v=""/>
    <n v="75.33"/>
    <n v="78.084000000000003"/>
    <n v="75.33"/>
    <n v="78.084000000000003"/>
    <s v=""/>
    <s v=""/>
    <s v=""/>
    <s v=""/>
    <s v=""/>
    <s v=""/>
    <s v=""/>
    <s v=""/>
    <s v=""/>
    <s v=""/>
    <s v=""/>
    <s v=""/>
    <s v=""/>
    <s v=""/>
    <s v=""/>
    <s v=""/>
    <s v=""/>
    <s v=""/>
    <s v=""/>
    <s v=""/>
    <s v=""/>
    <s v=""/>
    <s v=""/>
    <s v=""/>
    <s v=""/>
    <s v=""/>
    <s v=""/>
    <s v=""/>
    <s v=""/>
    <s v=""/>
    <s v=""/>
    <s v=""/>
    <s v=""/>
    <s v=""/>
    <s v=""/>
    <s v=""/>
    <n v="0"/>
    <n v="0"/>
    <n v="0.34"/>
    <n v="1"/>
    <n v="0"/>
    <n v="8.1"/>
    <n v="0"/>
    <n v="0"/>
    <n v="0"/>
    <n v="0"/>
    <n v="0"/>
    <n v="0"/>
    <n v="0"/>
    <n v="0"/>
    <n v="0"/>
  </r>
  <r>
    <m/>
    <m/>
    <m/>
    <m/>
    <m/>
    <m/>
    <n v="69"/>
    <n v="0"/>
    <s v="Up to 4 (3 in situe 1 void)"/>
    <m/>
    <m/>
    <m/>
    <m/>
    <m/>
    <m/>
    <m/>
    <m/>
    <m/>
    <m/>
    <m/>
    <m/>
    <m/>
    <m/>
    <m/>
    <m/>
    <m/>
    <m/>
    <s v="Service Manager"/>
    <n v="16.12"/>
    <n v="17.88"/>
    <n v="0"/>
    <n v="0"/>
    <n v="0.33"/>
    <s v="Assistant Team Leader"/>
    <n v="10.73"/>
    <n v="11.92"/>
    <n v="0"/>
    <n v="0"/>
    <n v="0.5"/>
    <m/>
    <m/>
    <m/>
    <m/>
    <m/>
    <m/>
    <s v="Support Workers"/>
    <n v="9.3000000000000007"/>
    <n v="9.64"/>
    <n v="0"/>
    <n v="0"/>
    <n v="6"/>
    <s v="Support Worker vacant "/>
    <m/>
    <m/>
    <m/>
    <m/>
    <n v="0.28000000000000003"/>
    <m/>
    <m/>
    <m/>
    <m/>
    <m/>
    <m/>
    <m/>
    <m/>
    <m/>
    <m/>
    <m/>
    <m/>
    <m/>
    <m/>
    <m/>
    <m/>
    <m/>
    <m/>
    <m/>
    <m/>
    <m/>
    <m/>
    <m/>
    <m/>
    <m/>
    <m/>
    <m/>
    <m/>
    <m/>
    <m/>
    <m/>
    <m/>
    <m/>
    <m/>
    <m/>
    <m/>
    <m/>
    <m/>
    <m/>
    <m/>
    <m/>
    <m/>
    <m/>
    <m/>
    <m/>
    <m/>
    <m/>
    <m/>
    <m/>
    <n v="0"/>
    <n v="0"/>
    <n v="0"/>
    <n v="0"/>
    <n v="0"/>
    <n v="0"/>
    <n v="0"/>
    <n v="0"/>
    <n v="0"/>
    <n v="0"/>
    <n v="0"/>
    <n v="0"/>
    <n v="0"/>
    <n v="0"/>
    <n v="0"/>
    <d v="2020-04-01T00:00:00"/>
    <d v="2021-03-31T00:00:00"/>
    <n v="0"/>
    <n v="3882.74"/>
    <n v="199111.26"/>
    <n v="0"/>
    <n v="0"/>
    <n v="0"/>
    <n v="42"/>
    <n v="0"/>
    <n v="0"/>
    <n v="0"/>
    <n v="0"/>
    <n v="0"/>
    <n v="0"/>
    <n v="1807"/>
    <s v="Other - please specify"/>
    <n v="0"/>
    <s v="Other - please specify"/>
    <n v="0"/>
    <n v="2630"/>
    <n v="7546"/>
    <n v="656"/>
    <n v="0"/>
    <n v="0"/>
    <n v="0"/>
    <n v="0"/>
    <n v="10799"/>
    <s v="Servicing contracts eg laundry, grnds maint, legionella testing"/>
    <n v="13603"/>
    <s v="Scheme Depreciation"/>
    <n v="5095"/>
    <n v="2818.0929999999998"/>
    <n v="25362.837"/>
    <s v="Other overheads - please specify"/>
    <n v="0"/>
    <s v="Other overheads - please specify"/>
    <n v="0"/>
    <m/>
    <n v="0"/>
    <n v="0"/>
    <m/>
    <d v="2021-10-11T15:03:45"/>
    <x v="0"/>
    <n v="0"/>
    <x v="12"/>
    <s v=""/>
    <s v=""/>
    <s v=""/>
    <s v=""/>
    <s v=""/>
    <s v=""/>
    <s v=""/>
    <s v=""/>
    <n v="16.12"/>
    <n v="17.88"/>
    <s v=""/>
    <s v=""/>
    <n v="10.73"/>
    <n v="11.92"/>
    <s v=""/>
    <s v=""/>
    <s v=""/>
    <s v=""/>
    <s v=""/>
    <s v=""/>
    <n v="9.3000000000000007"/>
    <n v="9.64"/>
    <s v=""/>
    <s v=""/>
    <s v=""/>
    <s v=""/>
    <s v=""/>
    <s v=""/>
    <s v=""/>
    <s v=""/>
    <s v=""/>
    <s v=""/>
    <s v=""/>
    <s v=""/>
    <s v=""/>
    <s v=""/>
    <s v=""/>
    <s v=""/>
    <s v=""/>
    <s v=""/>
    <s v=""/>
    <s v=""/>
    <s v=""/>
    <s v=""/>
    <s v=""/>
    <s v=""/>
    <s v=""/>
    <s v=""/>
    <s v=""/>
    <s v=""/>
    <s v=""/>
    <s v=""/>
    <s v=""/>
    <s v=""/>
    <s v=""/>
    <s v=""/>
    <s v=""/>
    <s v=""/>
    <s v=""/>
    <s v=""/>
    <s v=""/>
    <s v=""/>
    <s v=""/>
    <s v=""/>
    <s v=""/>
    <s v=""/>
    <s v=""/>
    <s v=""/>
    <n v="16.12"/>
    <n v="17.88"/>
    <n v="16.12"/>
    <n v="17.88"/>
    <n v="10.73"/>
    <n v="11.92"/>
    <n v="10.73"/>
    <n v="11.92"/>
    <s v=""/>
    <s v=""/>
    <s v=""/>
    <s v=""/>
    <n v="9.3000000000000007"/>
    <n v="9.64"/>
    <n v="9.3000000000000007"/>
    <n v="9.64"/>
    <s v=""/>
    <s v=""/>
    <s v=""/>
    <s v=""/>
    <s v=""/>
    <s v=""/>
    <s v=""/>
    <s v=""/>
    <s v=""/>
    <s v=""/>
    <s v=""/>
    <s v=""/>
    <s v=""/>
    <s v=""/>
    <s v=""/>
    <s v=""/>
    <s v=""/>
    <s v=""/>
    <s v=""/>
    <s v=""/>
    <s v=""/>
    <s v=""/>
    <s v=""/>
    <s v=""/>
    <s v=""/>
    <s v=""/>
    <s v=""/>
    <s v=""/>
    <s v=""/>
    <s v=""/>
    <s v=""/>
    <s v=""/>
    <s v=""/>
    <s v=""/>
    <s v=""/>
    <s v=""/>
    <n v="0.83000000000000007"/>
    <n v="6.28"/>
    <n v="0"/>
    <n v="0"/>
    <n v="7.11"/>
    <x v="1"/>
    <n v="0"/>
    <n v="0"/>
    <e v="#VALUE!"/>
    <e v="#VALUE!"/>
    <e v="#VALUE!"/>
    <e v="#VALUE!"/>
    <x v="0"/>
    <n v="203036"/>
    <n v="1807"/>
    <n v="40329"/>
    <n v="28180.93"/>
    <n v="0"/>
    <n v="0"/>
    <n v="0"/>
    <n v="0"/>
    <n v="0"/>
    <n v="0"/>
    <n v="0"/>
    <n v="0"/>
    <n v="0"/>
    <n v="0"/>
    <n v="0"/>
    <n v="0"/>
    <n v="0"/>
    <n v="0"/>
    <n v="0"/>
    <n v="0"/>
    <n v="0"/>
    <n v="0"/>
    <n v="0"/>
    <n v="0"/>
    <n v="0"/>
    <n v="0"/>
    <n v="0"/>
    <n v="0"/>
    <n v="0"/>
    <n v="0"/>
    <n v="0"/>
    <n v="0"/>
    <n v="0"/>
    <n v="0"/>
    <s v=""/>
    <n v="0"/>
    <n v="70"/>
    <x v="0"/>
    <x v="0"/>
    <x v="0"/>
    <x v="0"/>
    <x v="0"/>
    <b v="0"/>
    <b v="1"/>
    <s v=""/>
    <s v=""/>
    <n v="0"/>
    <n v="0"/>
    <s v=""/>
    <n v="6"/>
    <s v=""/>
    <s v=""/>
    <s v=""/>
    <s v=""/>
    <s v=""/>
    <s v=""/>
    <s v=""/>
    <s v=""/>
    <n v="6"/>
    <s v=""/>
    <s v=""/>
    <n v="0"/>
    <n v="0"/>
    <s v=""/>
    <n v="0.17999999999999616"/>
    <s v=""/>
    <s v=""/>
    <s v=""/>
    <s v=""/>
    <s v=""/>
    <s v=""/>
    <s v=""/>
    <s v=""/>
    <b v="1"/>
    <b v="1"/>
    <x v="3"/>
    <n v="0"/>
    <n v="0"/>
    <n v="0"/>
    <n v="0"/>
    <s v=""/>
    <s v=""/>
    <n v="0"/>
    <n v="0"/>
    <s v=""/>
    <n v="6"/>
    <s v=""/>
    <s v=""/>
    <s v=""/>
    <s v=""/>
    <s v=""/>
    <s v=""/>
    <s v=""/>
    <s v=""/>
    <n v="6"/>
    <s v=""/>
    <s v=""/>
    <n v="0"/>
    <n v="0"/>
    <s v=""/>
    <n v="2.5799999999999983"/>
    <s v=""/>
    <s v=""/>
    <s v=""/>
    <s v=""/>
    <s v=""/>
    <s v=""/>
    <s v=""/>
    <s v=""/>
    <s v=""/>
    <s v=""/>
    <s v=""/>
    <s v=""/>
    <s v=""/>
    <s v=""/>
    <s v=""/>
    <s v=""/>
    <n v="5.3196000000000003"/>
    <n v="5.9004000000000003"/>
    <n v="5.3196000000000003"/>
    <n v="5.9004000000000003"/>
    <n v="5.3650000000000002"/>
    <n v="5.96"/>
    <n v="5.3650000000000002"/>
    <n v="5.96"/>
    <s v=""/>
    <s v=""/>
    <s v=""/>
    <s v=""/>
    <n v="55.800000000000004"/>
    <n v="57.84"/>
    <n v="55.800000000000004"/>
    <n v="57.84"/>
    <s v=""/>
    <s v=""/>
    <s v=""/>
    <s v=""/>
    <s v=""/>
    <s v=""/>
    <s v=""/>
    <s v=""/>
    <s v=""/>
    <s v=""/>
    <s v=""/>
    <s v=""/>
    <s v=""/>
    <s v=""/>
    <s v=""/>
    <s v=""/>
    <s v=""/>
    <s v=""/>
    <s v=""/>
    <s v=""/>
    <s v=""/>
    <s v=""/>
    <s v=""/>
    <s v=""/>
    <s v=""/>
    <s v=""/>
    <s v=""/>
    <s v=""/>
    <s v=""/>
    <s v=""/>
    <s v=""/>
    <s v=""/>
    <s v=""/>
    <s v=""/>
    <s v=""/>
    <s v=""/>
    <n v="0"/>
    <n v="0"/>
    <n v="0.33"/>
    <n v="0.5"/>
    <n v="0"/>
    <n v="6"/>
    <n v="0"/>
    <n v="0"/>
    <n v="0"/>
    <n v="0"/>
    <n v="0"/>
    <n v="0"/>
    <n v="0"/>
    <n v="0"/>
    <n v="0"/>
  </r>
  <r>
    <m/>
    <m/>
    <m/>
    <m/>
    <m/>
    <m/>
    <n v="70"/>
    <n v="0"/>
    <s v="4 (3 in situe 1 void)"/>
    <m/>
    <m/>
    <m/>
    <m/>
    <m/>
    <m/>
    <m/>
    <m/>
    <m/>
    <m/>
    <m/>
    <m/>
    <m/>
    <m/>
    <m/>
    <m/>
    <m/>
    <m/>
    <s v="Service Manager"/>
    <n v="16.12"/>
    <n v="17.88"/>
    <n v="0"/>
    <n v="0"/>
    <n v="0.34"/>
    <s v="Assistant Team Leader"/>
    <n v="10.73"/>
    <n v="11.92"/>
    <n v="0"/>
    <n v="0"/>
    <n v="0.5"/>
    <m/>
    <m/>
    <m/>
    <m/>
    <m/>
    <m/>
    <s v="Support Workers"/>
    <n v="9.3000000000000007"/>
    <n v="9.64"/>
    <n v="0"/>
    <n v="0"/>
    <n v="5.73"/>
    <s v="Support Workers vacancy"/>
    <m/>
    <m/>
    <m/>
    <m/>
    <n v="0.48"/>
    <m/>
    <m/>
    <m/>
    <m/>
    <m/>
    <m/>
    <m/>
    <m/>
    <m/>
    <m/>
    <m/>
    <m/>
    <s v="Administrative Worker"/>
    <n v="0"/>
    <n v="0"/>
    <n v="0"/>
    <n v="0"/>
    <n v="0.8"/>
    <m/>
    <m/>
    <m/>
    <m/>
    <m/>
    <m/>
    <m/>
    <m/>
    <m/>
    <m/>
    <m/>
    <m/>
    <m/>
    <m/>
    <m/>
    <m/>
    <m/>
    <m/>
    <m/>
    <m/>
    <m/>
    <m/>
    <m/>
    <m/>
    <m/>
    <m/>
    <m/>
    <m/>
    <m/>
    <m/>
    <m/>
    <n v="0"/>
    <n v="0"/>
    <n v="0"/>
    <n v="0"/>
    <n v="0"/>
    <n v="0"/>
    <n v="0"/>
    <n v="0"/>
    <n v="0"/>
    <n v="0"/>
    <n v="0"/>
    <n v="0"/>
    <n v="0"/>
    <n v="0"/>
    <n v="0"/>
    <d v="2020-04-01T00:00:00"/>
    <d v="2021-03-31T00:00:00"/>
    <n v="0"/>
    <n v="9684.8799999999992"/>
    <n v="180892.12"/>
    <n v="0"/>
    <n v="0"/>
    <n v="0"/>
    <n v="45"/>
    <n v="0"/>
    <n v="0"/>
    <n v="0"/>
    <n v="0"/>
    <n v="0"/>
    <n v="0"/>
    <n v="258"/>
    <s v="Other - please specify"/>
    <n v="0"/>
    <s v="Other - please specify"/>
    <n v="0"/>
    <n v="1029"/>
    <n v="5168"/>
    <n v="181"/>
    <n v="0"/>
    <n v="0"/>
    <n v="0"/>
    <n v="0"/>
    <n v="12988"/>
    <s v="Servicing contracts eg fire detection, laundry, legionella testing"/>
    <n v="5247"/>
    <s v="Scheme Depreciation"/>
    <n v="2672"/>
    <n v="3193.1350000000002"/>
    <n v="28738.215"/>
    <s v="Other overheads - please specify"/>
    <n v="0"/>
    <s v="Other overheads - please specify"/>
    <n v="0"/>
    <m/>
    <n v="0"/>
    <n v="0"/>
    <m/>
    <d v="2021-10-11T15:03:48"/>
    <x v="0"/>
    <n v="0"/>
    <x v="12"/>
    <s v=""/>
    <s v=""/>
    <s v=""/>
    <s v=""/>
    <s v=""/>
    <s v=""/>
    <s v=""/>
    <s v=""/>
    <n v="16.12"/>
    <n v="17.88"/>
    <s v=""/>
    <s v=""/>
    <n v="10.73"/>
    <n v="11.92"/>
    <s v=""/>
    <s v=""/>
    <s v=""/>
    <s v=""/>
    <s v=""/>
    <s v=""/>
    <n v="9.3000000000000007"/>
    <n v="9.64"/>
    <s v=""/>
    <s v=""/>
    <s v=""/>
    <s v=""/>
    <s v=""/>
    <s v=""/>
    <s v=""/>
    <s v=""/>
    <s v=""/>
    <s v=""/>
    <s v=""/>
    <s v=""/>
    <s v=""/>
    <s v=""/>
    <s v=""/>
    <s v=""/>
    <s v=""/>
    <s v=""/>
    <s v=""/>
    <s v=""/>
    <s v=""/>
    <s v=""/>
    <s v=""/>
    <s v=""/>
    <s v=""/>
    <s v=""/>
    <s v=""/>
    <s v=""/>
    <s v=""/>
    <s v=""/>
    <s v=""/>
    <s v=""/>
    <s v=""/>
    <s v=""/>
    <s v=""/>
    <s v=""/>
    <s v=""/>
    <s v=""/>
    <s v=""/>
    <s v=""/>
    <s v=""/>
    <s v=""/>
    <s v=""/>
    <s v=""/>
    <s v=""/>
    <s v=""/>
    <n v="16.12"/>
    <n v="17.88"/>
    <n v="16.12"/>
    <n v="17.88"/>
    <n v="10.73"/>
    <n v="11.92"/>
    <n v="10.73"/>
    <n v="11.92"/>
    <s v=""/>
    <s v=""/>
    <s v=""/>
    <s v=""/>
    <n v="9.3000000000000007"/>
    <n v="9.64"/>
    <n v="9.3000000000000007"/>
    <n v="9.64"/>
    <s v=""/>
    <s v=""/>
    <s v=""/>
    <s v=""/>
    <s v=""/>
    <s v=""/>
    <s v=""/>
    <s v=""/>
    <s v=""/>
    <s v=""/>
    <s v=""/>
    <s v=""/>
    <s v=""/>
    <s v=""/>
    <s v=""/>
    <s v=""/>
    <s v=""/>
    <s v=""/>
    <s v=""/>
    <s v=""/>
    <s v=""/>
    <s v=""/>
    <s v=""/>
    <s v=""/>
    <s v=""/>
    <s v=""/>
    <s v=""/>
    <s v=""/>
    <s v=""/>
    <s v=""/>
    <s v=""/>
    <s v=""/>
    <s v=""/>
    <s v=""/>
    <s v=""/>
    <s v=""/>
    <n v="0.84000000000000008"/>
    <n v="6.2100000000000009"/>
    <n v="0.8"/>
    <n v="0"/>
    <n v="7.8500000000000005"/>
    <x v="1"/>
    <n v="0"/>
    <n v="0"/>
    <e v="#VALUE!"/>
    <e v="#VALUE!"/>
    <e v="#VALUE!"/>
    <e v="#VALUE!"/>
    <x v="0"/>
    <n v="190622"/>
    <n v="258"/>
    <n v="27285"/>
    <n v="31931.35"/>
    <n v="0"/>
    <n v="0"/>
    <n v="0"/>
    <n v="0"/>
    <n v="0"/>
    <n v="0"/>
    <n v="0"/>
    <n v="0"/>
    <n v="0"/>
    <n v="0"/>
    <n v="0"/>
    <n v="0"/>
    <n v="0"/>
    <n v="0"/>
    <n v="0"/>
    <n v="0"/>
    <n v="0"/>
    <n v="0"/>
    <n v="0"/>
    <n v="0"/>
    <n v="0"/>
    <n v="0"/>
    <n v="0"/>
    <n v="0"/>
    <n v="0"/>
    <n v="0"/>
    <n v="0"/>
    <n v="0"/>
    <n v="0"/>
    <n v="0"/>
    <s v=""/>
    <n v="0"/>
    <n v="71"/>
    <x v="0"/>
    <x v="0"/>
    <x v="0"/>
    <x v="0"/>
    <x v="0"/>
    <b v="0"/>
    <b v="1"/>
    <s v=""/>
    <s v=""/>
    <n v="0"/>
    <n v="0"/>
    <s v=""/>
    <n v="5.73"/>
    <s v=""/>
    <s v=""/>
    <s v=""/>
    <s v=""/>
    <s v=""/>
    <s v=""/>
    <s v=""/>
    <s v=""/>
    <n v="5.73"/>
    <s v=""/>
    <s v=""/>
    <n v="0"/>
    <n v="0"/>
    <s v=""/>
    <n v="0.17189999999999636"/>
    <s v=""/>
    <s v=""/>
    <s v=""/>
    <s v=""/>
    <s v=""/>
    <s v=""/>
    <s v=""/>
    <s v=""/>
    <b v="1"/>
    <b v="1"/>
    <x v="3"/>
    <n v="0"/>
    <n v="0"/>
    <n v="0"/>
    <n v="0"/>
    <s v=""/>
    <s v=""/>
    <n v="0"/>
    <n v="0"/>
    <s v=""/>
    <n v="5.73"/>
    <s v=""/>
    <s v=""/>
    <s v=""/>
    <s v=""/>
    <s v=""/>
    <s v=""/>
    <s v=""/>
    <s v=""/>
    <n v="5.73"/>
    <s v=""/>
    <s v=""/>
    <n v="0"/>
    <n v="0"/>
    <s v=""/>
    <n v="2.4638999999999984"/>
    <s v=""/>
    <s v=""/>
    <s v=""/>
    <s v=""/>
    <s v=""/>
    <s v=""/>
    <s v=""/>
    <s v=""/>
    <s v=""/>
    <s v=""/>
    <s v=""/>
    <s v=""/>
    <s v=""/>
    <s v=""/>
    <s v=""/>
    <s v=""/>
    <n v="5.4808000000000003"/>
    <n v="6.0792000000000002"/>
    <n v="5.4808000000000003"/>
    <n v="6.0792000000000002"/>
    <n v="5.3650000000000002"/>
    <n v="5.96"/>
    <n v="5.3650000000000002"/>
    <n v="5.96"/>
    <s v=""/>
    <s v=""/>
    <s v=""/>
    <s v=""/>
    <n v="53.289000000000009"/>
    <n v="55.237200000000009"/>
    <n v="53.289000000000009"/>
    <n v="55.237200000000009"/>
    <s v=""/>
    <s v=""/>
    <s v=""/>
    <s v=""/>
    <s v=""/>
    <s v=""/>
    <s v=""/>
    <s v=""/>
    <s v=""/>
    <s v=""/>
    <s v=""/>
    <s v=""/>
    <s v=""/>
    <s v=""/>
    <s v=""/>
    <s v=""/>
    <s v=""/>
    <s v=""/>
    <s v=""/>
    <s v=""/>
    <s v=""/>
    <s v=""/>
    <s v=""/>
    <s v=""/>
    <s v=""/>
    <s v=""/>
    <s v=""/>
    <s v=""/>
    <s v=""/>
    <s v=""/>
    <s v=""/>
    <s v=""/>
    <s v=""/>
    <s v=""/>
    <s v=""/>
    <s v=""/>
    <n v="0"/>
    <n v="0"/>
    <n v="0.34"/>
    <n v="0.5"/>
    <n v="0"/>
    <n v="5.73"/>
    <n v="0"/>
    <n v="0"/>
    <n v="0"/>
    <n v="0"/>
    <n v="0"/>
    <n v="0"/>
    <n v="0"/>
    <n v="0"/>
    <n v="0"/>
  </r>
  <r>
    <m/>
    <m/>
    <m/>
    <m/>
    <m/>
    <m/>
    <n v="71"/>
    <n v="4"/>
    <n v="97"/>
    <n v="0.04"/>
    <n v="0.96"/>
    <s v="Owned outright"/>
    <s v="Owned outright"/>
    <m/>
    <m/>
    <m/>
    <m/>
    <n v="18.260000000000002"/>
    <n v="18.260000000000002"/>
    <n v="17.899999999999999"/>
    <n v="17.899999999999999"/>
    <n v="1"/>
    <n v="14.05"/>
    <n v="14.05"/>
    <n v="13.77"/>
    <n v="13.77"/>
    <n v="1"/>
    <s v="Care Co-ordinator"/>
    <n v="12.76"/>
    <n v="12.76"/>
    <n v="12.51"/>
    <n v="12.51"/>
    <n v="4"/>
    <m/>
    <n v="0"/>
    <n v="0"/>
    <n v="0"/>
    <n v="0"/>
    <n v="0"/>
    <m/>
    <n v="0"/>
    <n v="0"/>
    <n v="0"/>
    <n v="0"/>
    <n v="0"/>
    <s v="Senior Personal Assistant"/>
    <n v="10.01"/>
    <n v="10.01"/>
    <n v="9.82"/>
    <n v="9.82"/>
    <n v="6"/>
    <s v="Personal Assistant (Days)"/>
    <n v="9.1199999999999992"/>
    <n v="9.1199999999999992"/>
    <n v="8.93"/>
    <n v="8.93"/>
    <n v="92"/>
    <s v="Personal Assistant (Waking Night)"/>
    <n v="9.7200000000000006"/>
    <n v="9.7200000000000006"/>
    <n v="9.5299999999999994"/>
    <n v="9.5299999999999994"/>
    <n v="18"/>
    <s v="Sleep-In Rate"/>
    <n v="8.91"/>
    <n v="8.91"/>
    <n v="8.7200000000000006"/>
    <n v="8.7200000000000006"/>
    <n v="16"/>
    <s v="Admin Officer"/>
    <n v="9.1199999999999992"/>
    <n v="9.1199999999999992"/>
    <n v="8.93"/>
    <n v="8.93"/>
    <n v="2.5"/>
    <m/>
    <n v="0"/>
    <n v="0"/>
    <n v="0"/>
    <n v="0"/>
    <n v="0"/>
    <m/>
    <n v="0"/>
    <n v="0"/>
    <n v="0"/>
    <n v="0"/>
    <n v="0"/>
    <m/>
    <n v="0"/>
    <n v="0"/>
    <n v="0"/>
    <n v="0"/>
    <n v="0"/>
    <m/>
    <n v="0"/>
    <n v="0"/>
    <n v="0"/>
    <n v="0"/>
    <n v="0"/>
    <m/>
    <n v="0"/>
    <n v="0"/>
    <n v="0"/>
    <n v="0"/>
    <n v="0"/>
    <n v="0.03"/>
    <n v="437.5"/>
    <n v="0"/>
    <n v="0"/>
    <n v="0"/>
    <n v="0"/>
    <n v="0"/>
    <n v="3861.25"/>
    <n v="0"/>
    <n v="0"/>
    <n v="0"/>
    <n v="235"/>
    <n v="62"/>
    <n v="15.58"/>
    <n v="15.58"/>
    <n v="15.58"/>
    <d v="2020-04-01T00:00:00"/>
    <d v="2021-03-31T00:00:00"/>
    <n v="251103.25"/>
    <n v="131013.1155"/>
    <n v="2938823.0249999999"/>
    <n v="52094.069499999998"/>
    <n v="7488.8"/>
    <n v="11638.94"/>
    <n v="1211.08"/>
    <n v="0"/>
    <n v="3372"/>
    <n v="10454"/>
    <n v="0"/>
    <n v="16405.64"/>
    <n v="57012.18"/>
    <n v="149095.10999999999"/>
    <s v="Other - please specify"/>
    <n v="735.97"/>
    <s v="Other - please specify"/>
    <n v="0"/>
    <n v="16412.669999999998"/>
    <n v="1165.31"/>
    <n v="24008.400000000001"/>
    <n v="0"/>
    <m/>
    <n v="0"/>
    <n v="0"/>
    <n v="11671.62"/>
    <s v="Rates &amp; Hospitality"/>
    <n v="6252.97"/>
    <s v="Other - please specify"/>
    <n v="0"/>
    <n v="343630.18170000002"/>
    <n v="31370.27"/>
    <s v="Central support Services other than finance, HR, Payroll &amp; Legal"/>
    <n v="95735.818299999999"/>
    <s v="Other overheads - please specify"/>
    <n v="0"/>
    <n v="280361.96999999997"/>
    <n v="0"/>
    <n v="0"/>
    <m/>
    <d v="2021-10-11T15:03:51"/>
    <x v="0"/>
    <n v="101"/>
    <x v="14"/>
    <n v="18.260000000000002"/>
    <n v="18.260000000000002"/>
    <n v="17.899999999999999"/>
    <n v="17.899999999999999"/>
    <n v="14.05"/>
    <n v="14.05"/>
    <n v="13.77"/>
    <n v="13.77"/>
    <n v="12.76"/>
    <n v="12.76"/>
    <n v="12.51"/>
    <n v="12.51"/>
    <s v=""/>
    <s v=""/>
    <s v=""/>
    <s v=""/>
    <s v=""/>
    <s v=""/>
    <s v=""/>
    <s v=""/>
    <n v="10.01"/>
    <n v="10.01"/>
    <n v="9.82"/>
    <n v="9.82"/>
    <n v="9.1199999999999992"/>
    <n v="9.1199999999999992"/>
    <n v="8.93"/>
    <n v="8.93"/>
    <n v="9.7200000000000006"/>
    <n v="9.7200000000000006"/>
    <n v="9.5299999999999994"/>
    <n v="9.5299999999999994"/>
    <n v="8.91"/>
    <n v="8.91"/>
    <n v="8.7200000000000006"/>
    <n v="8.7200000000000006"/>
    <n v="9.1199999999999992"/>
    <n v="9.1199999999999992"/>
    <n v="8.93"/>
    <n v="8.93"/>
    <s v=""/>
    <s v=""/>
    <s v=""/>
    <s v=""/>
    <s v=""/>
    <s v=""/>
    <s v=""/>
    <s v=""/>
    <s v=""/>
    <s v=""/>
    <s v=""/>
    <s v=""/>
    <s v=""/>
    <s v=""/>
    <s v=""/>
    <s v=""/>
    <s v=""/>
    <s v=""/>
    <s v=""/>
    <s v=""/>
    <n v="18.260000000000002"/>
    <n v="18.260000000000002"/>
    <n v="17.899999999999999"/>
    <n v="17.899999999999999"/>
    <n v="14.05"/>
    <n v="14.05"/>
    <n v="13.77"/>
    <n v="13.77"/>
    <n v="12.76"/>
    <n v="12.76"/>
    <n v="12.51"/>
    <n v="12.51"/>
    <s v=""/>
    <s v=""/>
    <s v=""/>
    <s v=""/>
    <s v=""/>
    <s v=""/>
    <s v=""/>
    <s v=""/>
    <n v="10.01"/>
    <n v="10.01"/>
    <n v="9.82"/>
    <n v="9.82"/>
    <n v="9.1199999999999992"/>
    <n v="9.1199999999999992"/>
    <n v="8.93"/>
    <n v="8.93"/>
    <n v="9.7200000000000006"/>
    <n v="9.7200000000000006"/>
    <n v="9.5299999999999994"/>
    <n v="9.5299999999999994"/>
    <n v="8.91"/>
    <n v="8.91"/>
    <n v="8.7200000000000006"/>
    <n v="8.7200000000000006"/>
    <n v="9.1199999999999992"/>
    <n v="9.1199999999999992"/>
    <n v="8.93"/>
    <n v="8.93"/>
    <s v=""/>
    <s v=""/>
    <s v=""/>
    <s v=""/>
    <s v=""/>
    <s v=""/>
    <s v=""/>
    <s v=""/>
    <s v=""/>
    <s v=""/>
    <s v=""/>
    <s v=""/>
    <s v=""/>
    <s v=""/>
    <s v=""/>
    <s v=""/>
    <s v=""/>
    <s v=""/>
    <s v=""/>
    <s v=""/>
    <n v="6"/>
    <n v="132"/>
    <n v="2.5"/>
    <n v="0"/>
    <n v="140.5"/>
    <x v="0"/>
    <n v="437.5"/>
    <n v="4158.25"/>
    <e v="#VALUE!"/>
    <e v="#VALUE!"/>
    <e v="#VALUE!"/>
    <e v="#VALUE!"/>
    <x v="0"/>
    <n v="3145641.03"/>
    <n v="233702.9"/>
    <n v="59510.970000000008"/>
    <n v="470736.27"/>
    <n v="0.5217499793411674"/>
    <n v="11.70364391938376"/>
    <n v="0.20746075369394859"/>
    <n v="2.9823588503932148E-2"/>
    <n v="4.6351212100998296E-2"/>
    <n v="4.8230359423862496E-3"/>
    <n v="0"/>
    <n v="1.3428738974903751E-2"/>
    <n v="4.1632276762646442E-2"/>
    <n v="0"/>
    <n v="6.5334239998884922E-2"/>
    <n v="0.22704676263648518"/>
    <n v="0.59376017634180356"/>
    <n v="2.9309457364649801E-3"/>
    <n v="0"/>
    <n v="6.5362236450543745E-2"/>
    <n v="4.6407603246871555E-3"/>
    <n v="9.5611665719181255E-2"/>
    <n v="0"/>
    <n v="0"/>
    <n v="0"/>
    <n v="0"/>
    <n v="4.6481357768169071E-2"/>
    <n v="2.4901987529034372E-2"/>
    <n v="0"/>
    <n v="1.3684816174223153"/>
    <n v="0.12492976494728762"/>
    <n v="0.38126076942452952"/>
    <n v="0"/>
    <n v="15.569655789003127"/>
    <n v="1.1165206742644709"/>
    <n v="0"/>
    <n v="72"/>
    <x v="0"/>
    <x v="1"/>
    <x v="0"/>
    <x v="1"/>
    <x v="1"/>
    <b v="0"/>
    <b v="0"/>
    <n v="0"/>
    <n v="0"/>
    <n v="0"/>
    <s v=""/>
    <s v=""/>
    <n v="0"/>
    <n v="92"/>
    <n v="0"/>
    <n v="16"/>
    <n v="2.5"/>
    <s v=""/>
    <s v=""/>
    <s v=""/>
    <s v=""/>
    <n v="110.5"/>
    <n v="0"/>
    <n v="0"/>
    <n v="0"/>
    <s v=""/>
    <s v=""/>
    <n v="0"/>
    <n v="34.960000000000072"/>
    <n v="0"/>
    <n v="9.4399999999999977"/>
    <n v="0.95000000000000195"/>
    <s v=""/>
    <s v=""/>
    <s v=""/>
    <s v=""/>
    <b v="0"/>
    <b v="1"/>
    <x v="1"/>
    <n v="12.527281227941097"/>
    <n v="0.93070440147628508"/>
    <n v="0.23699800779161562"/>
    <n v="1.8746721517941325"/>
    <n v="0"/>
    <n v="0"/>
    <n v="0"/>
    <s v=""/>
    <s v=""/>
    <n v="0"/>
    <n v="92"/>
    <n v="18"/>
    <n v="16"/>
    <n v="2.5"/>
    <s v=""/>
    <s v=""/>
    <s v=""/>
    <s v=""/>
    <n v="128.5"/>
    <n v="0"/>
    <n v="0"/>
    <n v="0"/>
    <s v=""/>
    <s v=""/>
    <n v="0"/>
    <n v="71.760000000000105"/>
    <n v="3.2399999999999949"/>
    <n v="15.840000000000003"/>
    <n v="1.9500000000000028"/>
    <s v=""/>
    <s v=""/>
    <s v=""/>
    <s v=""/>
    <n v="18.260000000000002"/>
    <n v="18.260000000000002"/>
    <n v="17.899999999999999"/>
    <n v="17.899999999999999"/>
    <n v="14.05"/>
    <n v="14.05"/>
    <n v="13.77"/>
    <n v="13.77"/>
    <n v="51.04"/>
    <n v="51.04"/>
    <n v="50.04"/>
    <n v="50.04"/>
    <s v=""/>
    <s v=""/>
    <s v=""/>
    <s v=""/>
    <s v=""/>
    <s v=""/>
    <s v=""/>
    <s v=""/>
    <n v="60.06"/>
    <n v="60.06"/>
    <n v="58.92"/>
    <n v="58.92"/>
    <n v="839.04"/>
    <n v="839.04"/>
    <n v="821.56"/>
    <n v="821.56"/>
    <n v="174.96"/>
    <n v="174.96"/>
    <n v="171.54"/>
    <n v="171.54"/>
    <n v="142.56"/>
    <n v="142.56"/>
    <n v="139.52000000000001"/>
    <n v="139.52000000000001"/>
    <n v="22.799999999999997"/>
    <n v="22.799999999999997"/>
    <n v="22.324999999999999"/>
    <n v="22.324999999999999"/>
    <s v=""/>
    <s v=""/>
    <s v=""/>
    <s v=""/>
    <s v=""/>
    <s v=""/>
    <s v=""/>
    <s v=""/>
    <s v=""/>
    <s v=""/>
    <s v=""/>
    <s v=""/>
    <s v=""/>
    <s v=""/>
    <s v=""/>
    <s v=""/>
    <s v=""/>
    <s v=""/>
    <s v=""/>
    <s v=""/>
    <n v="1"/>
    <n v="1"/>
    <n v="4"/>
    <n v="0"/>
    <n v="0"/>
    <n v="6"/>
    <n v="92"/>
    <n v="18"/>
    <n v="16"/>
    <n v="2.5"/>
    <n v="0"/>
    <n v="0"/>
    <n v="0"/>
    <n v="0"/>
    <n v="0"/>
  </r>
  <r>
    <m/>
    <m/>
    <m/>
    <m/>
    <m/>
    <m/>
    <n v="72"/>
    <n v="140"/>
    <n v="0"/>
    <n v="1"/>
    <n v="0"/>
    <s v="Leased or Rented"/>
    <s v="Leased or Rented"/>
    <m/>
    <m/>
    <m/>
    <m/>
    <n v="19.5"/>
    <n v="19.5"/>
    <n v="19.5"/>
    <n v="19.5"/>
    <n v="1"/>
    <n v="0"/>
    <n v="0"/>
    <n v="0"/>
    <n v="0"/>
    <n v="0"/>
    <s v="Senior Care Co-ordinator"/>
    <n v="12.5"/>
    <n v="12.5"/>
    <n v="12.5"/>
    <n v="12.5"/>
    <n v="1"/>
    <s v="Team Leader"/>
    <n v="10.5"/>
    <n v="10.5"/>
    <n v="9.6"/>
    <n v="9.6"/>
    <n v="1"/>
    <s v="Other manager (specify)"/>
    <n v="0"/>
    <n v="0"/>
    <n v="0"/>
    <n v="0"/>
    <n v="0"/>
    <s v="Care Assistant 0 Hours"/>
    <n v="9.1"/>
    <n v="10.1"/>
    <n v="8.91"/>
    <n v="9.91"/>
    <n v="52"/>
    <s v="Care Assistant Contracted"/>
    <n v="9.4"/>
    <n v="10.4"/>
    <n v="9.1"/>
    <n v="10.1"/>
    <n v="32"/>
    <s v="Care Assistant (specify)"/>
    <n v="0"/>
    <n v="0"/>
    <n v="0"/>
    <n v="0"/>
    <n v="0"/>
    <s v="Care Assistant (specify)"/>
    <n v="0"/>
    <n v="0"/>
    <n v="0"/>
    <n v="0"/>
    <n v="0"/>
    <s v="Administrative Officer (specify)"/>
    <n v="10.25"/>
    <n v="10.25"/>
    <n v="9.75"/>
    <n v="9.75"/>
    <n v="1"/>
    <s v="Administrative Officer (specify)"/>
    <n v="0"/>
    <n v="0"/>
    <n v="0"/>
    <n v="0"/>
    <n v="0"/>
    <s v="Administrative Officer (specify)"/>
    <n v="0"/>
    <n v="0"/>
    <n v="0"/>
    <n v="0"/>
    <n v="0"/>
    <s v="Other staff (specify)"/>
    <n v="0"/>
    <n v="0"/>
    <n v="0"/>
    <n v="0"/>
    <n v="0"/>
    <s v="Other staff (specify)"/>
    <n v="0"/>
    <n v="0"/>
    <n v="0"/>
    <n v="0"/>
    <n v="0"/>
    <s v="Other staff (specify)"/>
    <n v="0"/>
    <n v="0"/>
    <n v="0"/>
    <n v="0"/>
    <n v="0"/>
    <n v="0.05"/>
    <n v="1413"/>
    <n v="0"/>
    <n v="236.55"/>
    <n v="0"/>
    <n v="263"/>
    <n v="39"/>
    <n v="0"/>
    <n v="0"/>
    <n v="0"/>
    <n v="0"/>
    <n v="0"/>
    <n v="0"/>
    <n v="15.58"/>
    <n v="15.58"/>
    <n v="15.58"/>
    <d v="2019-09-01T00:00:00"/>
    <d v="2020-08-31T00:00:00"/>
    <n v="108183"/>
    <n v="38000"/>
    <n v="923156.2"/>
    <n v="118497.07"/>
    <n v="75550.350000000006"/>
    <n v="10900"/>
    <n v="7550.5"/>
    <n v="0"/>
    <n v="0"/>
    <n v="9883.2999999999993"/>
    <n v="18750"/>
    <n v="15750"/>
    <n v="0"/>
    <n v="5750.25"/>
    <s v="Other - please specify Tops Medics (Gloves etc)"/>
    <n v="19992.8"/>
    <s v="Stationery "/>
    <n v="3433.66"/>
    <n v="4390.21"/>
    <n v="6500"/>
    <n v="850"/>
    <n v="34623.39"/>
    <n v="11773"/>
    <n v="10051.91"/>
    <n v="0"/>
    <n v="0"/>
    <s v="Petty Cash"/>
    <n v="1250"/>
    <s v="Other - please specify"/>
    <n v="0"/>
    <n v="0"/>
    <n v="0"/>
    <s v="Other overheads - please specify"/>
    <n v="0"/>
    <s v="Other overheads - please specify"/>
    <n v="0"/>
    <m/>
    <n v="0"/>
    <n v="0"/>
    <m/>
    <d v="2021-10-11T15:03:54"/>
    <x v="0"/>
    <n v="140"/>
    <x v="9"/>
    <n v="19.5"/>
    <n v="19.5"/>
    <n v="19.5"/>
    <n v="19.5"/>
    <s v=""/>
    <s v=""/>
    <s v=""/>
    <s v=""/>
    <n v="12.5"/>
    <n v="12.5"/>
    <n v="12.5"/>
    <n v="12.5"/>
    <n v="10.5"/>
    <n v="10.5"/>
    <n v="9.6"/>
    <n v="9.6"/>
    <s v=""/>
    <s v=""/>
    <s v=""/>
    <s v=""/>
    <n v="9.1"/>
    <n v="10.1"/>
    <n v="8.91"/>
    <n v="9.91"/>
    <n v="9.4"/>
    <n v="10.4"/>
    <n v="9.1"/>
    <n v="10.1"/>
    <s v=""/>
    <s v=""/>
    <s v=""/>
    <s v=""/>
    <s v=""/>
    <s v=""/>
    <s v=""/>
    <s v=""/>
    <n v="10.25"/>
    <n v="10.25"/>
    <n v="9.75"/>
    <n v="9.75"/>
    <s v=""/>
    <s v=""/>
    <s v=""/>
    <s v=""/>
    <s v=""/>
    <s v=""/>
    <s v=""/>
    <s v=""/>
    <s v=""/>
    <s v=""/>
    <s v=""/>
    <s v=""/>
    <s v=""/>
    <s v=""/>
    <s v=""/>
    <s v=""/>
    <s v=""/>
    <s v=""/>
    <s v=""/>
    <s v=""/>
    <n v="19.5"/>
    <n v="19.5"/>
    <n v="19.5"/>
    <n v="19.5"/>
    <s v=""/>
    <s v=""/>
    <s v=""/>
    <s v=""/>
    <n v="12.5"/>
    <n v="12.5"/>
    <n v="12.5"/>
    <n v="12.5"/>
    <n v="10.5"/>
    <n v="10.5"/>
    <n v="9.6"/>
    <n v="9.6"/>
    <s v=""/>
    <s v=""/>
    <s v=""/>
    <s v=""/>
    <n v="9.1"/>
    <n v="10.1"/>
    <n v="8.91"/>
    <n v="9.91"/>
    <n v="9.4"/>
    <n v="10.4"/>
    <n v="9.1"/>
    <n v="10.1"/>
    <s v=""/>
    <s v=""/>
    <s v=""/>
    <s v=""/>
    <s v=""/>
    <s v=""/>
    <s v=""/>
    <s v=""/>
    <n v="10.25"/>
    <n v="10.25"/>
    <n v="9.75"/>
    <n v="9.75"/>
    <s v=""/>
    <s v=""/>
    <s v=""/>
    <s v=""/>
    <s v=""/>
    <s v=""/>
    <s v=""/>
    <s v=""/>
    <s v=""/>
    <s v=""/>
    <s v=""/>
    <s v=""/>
    <s v=""/>
    <s v=""/>
    <s v=""/>
    <s v=""/>
    <s v=""/>
    <s v=""/>
    <s v=""/>
    <s v=""/>
    <n v="3"/>
    <n v="84"/>
    <n v="1"/>
    <n v="0"/>
    <n v="88"/>
    <x v="2"/>
    <n v="1951.55"/>
    <n v="0"/>
    <e v="#VALUE!"/>
    <e v="#VALUE!"/>
    <e v="#VALUE!"/>
    <e v="#VALUE!"/>
    <x v="0"/>
    <n v="1173654.1200000001"/>
    <n v="73560.010000000009"/>
    <n v="69438.509999999995"/>
    <n v="0"/>
    <n v="0.35125666694397456"/>
    <n v="8.5332834179122408"/>
    <n v="1.0953391013375484"/>
    <n v="0.69835695072238713"/>
    <n v="0.10075520183392954"/>
    <n v="6.9793775362117894E-2"/>
    <n v="0"/>
    <n v="0"/>
    <n v="9.1357237273878511E-2"/>
    <n v="0.17331743434735586"/>
    <n v="0.14558664485177894"/>
    <n v="0"/>
    <n v="5.3152990765647098E-2"/>
    <n v="0.18480537607572353"/>
    <n v="3.1739367553127569E-2"/>
    <n v="4.058132978379228E-2"/>
    <n v="6.0083377240416701E-2"/>
    <n v="7.8570570237467986E-3"/>
    <n v="0.32004464657108789"/>
    <n v="0.10882486157714244"/>
    <n v="9.2915800079494931E-2"/>
    <n v="0"/>
    <n v="0"/>
    <n v="1.1554495623157059E-2"/>
    <n v="0"/>
    <n v="0"/>
    <n v="0"/>
    <n v="0"/>
    <n v="0"/>
    <n v="12.170605732878551"/>
    <s v=""/>
    <n v="0"/>
    <n v="73"/>
    <x v="0"/>
    <x v="1"/>
    <x v="1"/>
    <x v="1"/>
    <x v="0"/>
    <b v="1"/>
    <b v="0"/>
    <n v="0"/>
    <s v=""/>
    <n v="0"/>
    <n v="0"/>
    <s v=""/>
    <n v="0"/>
    <n v="0"/>
    <s v=""/>
    <s v=""/>
    <n v="0"/>
    <s v=""/>
    <s v=""/>
    <s v=""/>
    <s v=""/>
    <n v="0"/>
    <n v="0"/>
    <s v=""/>
    <n v="0"/>
    <n v="0"/>
    <s v=""/>
    <n v="0"/>
    <n v="0"/>
    <s v=""/>
    <s v=""/>
    <n v="0"/>
    <s v=""/>
    <s v=""/>
    <s v=""/>
    <s v=""/>
    <b v="1"/>
    <b v="1"/>
    <x v="3"/>
    <n v="10.8487851141122"/>
    <n v="0.67995905086751152"/>
    <n v="0.64186156789883808"/>
    <n v="0"/>
    <n v="0"/>
    <s v=""/>
    <n v="0"/>
    <n v="0"/>
    <s v=""/>
    <n v="52"/>
    <n v="0"/>
    <s v=""/>
    <s v=""/>
    <n v="0"/>
    <s v=""/>
    <s v=""/>
    <s v=""/>
    <s v=""/>
    <n v="52"/>
    <n v="0"/>
    <s v=""/>
    <n v="0"/>
    <n v="0"/>
    <s v=""/>
    <n v="15.600000000000037"/>
    <n v="0"/>
    <s v=""/>
    <s v=""/>
    <n v="0"/>
    <s v=""/>
    <s v=""/>
    <s v=""/>
    <s v=""/>
    <n v="19.5"/>
    <n v="19.5"/>
    <n v="19.5"/>
    <n v="19.5"/>
    <s v=""/>
    <s v=""/>
    <s v=""/>
    <s v=""/>
    <n v="12.5"/>
    <n v="12.5"/>
    <n v="12.5"/>
    <n v="12.5"/>
    <n v="10.5"/>
    <n v="10.5"/>
    <n v="9.6"/>
    <n v="9.6"/>
    <s v=""/>
    <s v=""/>
    <s v=""/>
    <s v=""/>
    <n v="473.2"/>
    <n v="525.19999999999993"/>
    <n v="463.32"/>
    <n v="515.32000000000005"/>
    <n v="300.8"/>
    <n v="332.8"/>
    <n v="291.2"/>
    <n v="323.2"/>
    <s v=""/>
    <s v=""/>
    <s v=""/>
    <s v=""/>
    <s v=""/>
    <s v=""/>
    <s v=""/>
    <s v=""/>
    <n v="10.25"/>
    <n v="10.25"/>
    <n v="9.75"/>
    <n v="9.75"/>
    <s v=""/>
    <s v=""/>
    <s v=""/>
    <s v=""/>
    <s v=""/>
    <s v=""/>
    <s v=""/>
    <s v=""/>
    <s v=""/>
    <s v=""/>
    <s v=""/>
    <s v=""/>
    <s v=""/>
    <s v=""/>
    <s v=""/>
    <s v=""/>
    <s v=""/>
    <s v=""/>
    <s v=""/>
    <s v=""/>
    <n v="1"/>
    <n v="0"/>
    <n v="1"/>
    <n v="1"/>
    <n v="0"/>
    <n v="52"/>
    <n v="32"/>
    <n v="0"/>
    <n v="0"/>
    <n v="1"/>
    <n v="0"/>
    <n v="0"/>
    <n v="0"/>
    <n v="0"/>
    <n v="0"/>
  </r>
  <r>
    <m/>
    <m/>
    <m/>
    <m/>
    <m/>
    <m/>
    <n v="73"/>
    <n v="57"/>
    <n v="0"/>
    <n v="0.7"/>
    <n v="0.3"/>
    <s v="Leased or Rented"/>
    <s v="N/A"/>
    <m/>
    <m/>
    <m/>
    <m/>
    <n v="20"/>
    <n v="0"/>
    <n v="0"/>
    <n v="0"/>
    <n v="0"/>
    <n v="15"/>
    <n v="0"/>
    <n v="0"/>
    <n v="0"/>
    <n v="0"/>
    <s v="Other manager (Team Leader)"/>
    <n v="12.5"/>
    <n v="0"/>
    <n v="0"/>
    <n v="0"/>
    <n v="0"/>
    <s v="Other manager (Team Leader)"/>
    <n v="12.5"/>
    <n v="0"/>
    <n v="0"/>
    <n v="0"/>
    <n v="0"/>
    <s v="Other manager (Team Leader)"/>
    <n v="12.5"/>
    <n v="0"/>
    <n v="0"/>
    <n v="0"/>
    <n v="0"/>
    <s v="Care Assistant (specify)"/>
    <n v="8.91"/>
    <n v="0"/>
    <n v="0"/>
    <n v="0"/>
    <n v="0"/>
    <s v="Care Assistant (specify)"/>
    <n v="8.91"/>
    <n v="0"/>
    <n v="0"/>
    <n v="0"/>
    <n v="0"/>
    <s v="Care Assistant (specify)"/>
    <n v="8.91"/>
    <n v="0"/>
    <n v="0"/>
    <n v="0"/>
    <n v="0"/>
    <s v="Care Assistant (specify)"/>
    <n v="8.91"/>
    <n v="0"/>
    <n v="0"/>
    <n v="0"/>
    <n v="0"/>
    <s v="Administrative Officer (specify)"/>
    <n v="10"/>
    <n v="0"/>
    <n v="0"/>
    <n v="0"/>
    <n v="0"/>
    <s v="Administrative Officer (specify)"/>
    <n v="8.91"/>
    <n v="0"/>
    <n v="0"/>
    <n v="0"/>
    <n v="0"/>
    <s v="Administrative Officer (specify)"/>
    <n v="8.91"/>
    <n v="0"/>
    <n v="0"/>
    <n v="0"/>
    <n v="0"/>
    <s v="Other staff (specify)APPRENTICE"/>
    <n v="4.55"/>
    <n v="0"/>
    <n v="0"/>
    <n v="0"/>
    <n v="0"/>
    <s v="Other staff (specify)"/>
    <n v="0"/>
    <n v="0"/>
    <n v="0"/>
    <n v="0"/>
    <n v="0"/>
    <s v="Other staff (specify)"/>
    <n v="0"/>
    <n v="0"/>
    <n v="0"/>
    <n v="0"/>
    <n v="0"/>
    <n v="0.03"/>
    <n v="628"/>
    <n v="0"/>
    <n v="0"/>
    <n v="0"/>
    <n v="92"/>
    <n v="0"/>
    <n v="0"/>
    <n v="0"/>
    <n v="0"/>
    <n v="0"/>
    <n v="0"/>
    <n v="0"/>
    <n v="15.58"/>
    <n v="18"/>
    <n v="0"/>
    <d v="2020-04-01T00:00:00"/>
    <d v="2021-03-31T00:00:00"/>
    <n v="39978"/>
    <n v="30000"/>
    <n v="396000"/>
    <n v="18000"/>
    <n v="12000"/>
    <n v="0"/>
    <n v="9000"/>
    <n v="0"/>
    <n v="6000"/>
    <n v="7500"/>
    <n v="6000"/>
    <n v="9000"/>
    <n v="15500"/>
    <n v="5500"/>
    <s v="Other - please specify"/>
    <n v="0"/>
    <s v="Other - please specify"/>
    <n v="0"/>
    <n v="2850"/>
    <n v="4200"/>
    <n v="3500"/>
    <n v="15000"/>
    <n v="6000"/>
    <n v="0"/>
    <n v="0"/>
    <n v="3500"/>
    <s v="Other - please specify"/>
    <n v="0"/>
    <s v="Other - please specify"/>
    <n v="0"/>
    <n v="0"/>
    <n v="16000"/>
    <s v="Other overheads - please specify"/>
    <n v="0"/>
    <s v="Other overheads - please specify"/>
    <n v="0"/>
    <n v="3600"/>
    <n v="0"/>
    <n v="0"/>
    <m/>
    <d v="2021-10-11T15:03:58"/>
    <x v="0"/>
    <n v="57"/>
    <x v="11"/>
    <n v="20"/>
    <n v="20"/>
    <s v=""/>
    <s v=""/>
    <n v="15"/>
    <s v=""/>
    <s v=""/>
    <s v=""/>
    <n v="12.5"/>
    <n v="12.5"/>
    <s v=""/>
    <s v=""/>
    <n v="12.5"/>
    <n v="12.5"/>
    <s v=""/>
    <s v=""/>
    <n v="12.5"/>
    <n v="12.5"/>
    <s v=""/>
    <s v=""/>
    <n v="8.91"/>
    <n v="8.91"/>
    <s v=""/>
    <s v=""/>
    <n v="8.91"/>
    <n v="8.91"/>
    <s v=""/>
    <s v=""/>
    <n v="8.91"/>
    <n v="8.91"/>
    <s v=""/>
    <s v=""/>
    <n v="8.91"/>
    <n v="8.91"/>
    <s v=""/>
    <s v=""/>
    <n v="10"/>
    <n v="10"/>
    <s v=""/>
    <s v=""/>
    <n v="8.91"/>
    <n v="8.91"/>
    <s v=""/>
    <s v=""/>
    <n v="8.91"/>
    <n v="8.91"/>
    <s v=""/>
    <s v=""/>
    <n v="4.55"/>
    <n v="4.55"/>
    <s v=""/>
    <s v=""/>
    <s v=""/>
    <s v=""/>
    <s v=""/>
    <s v=""/>
    <s v=""/>
    <s v=""/>
    <s v=""/>
    <s v=""/>
    <n v="20"/>
    <n v="20"/>
    <n v="20"/>
    <n v="20"/>
    <n v="15"/>
    <s v=""/>
    <n v="15"/>
    <s v=""/>
    <n v="12.5"/>
    <n v="12.5"/>
    <n v="12.5"/>
    <n v="12.5"/>
    <n v="12.5"/>
    <n v="12.5"/>
    <n v="12.5"/>
    <n v="12.5"/>
    <n v="12.5"/>
    <n v="12.5"/>
    <n v="12.5"/>
    <n v="12.5"/>
    <n v="8.91"/>
    <n v="8.91"/>
    <n v="8.91"/>
    <n v="8.91"/>
    <n v="8.91"/>
    <n v="8.91"/>
    <n v="8.91"/>
    <n v="8.91"/>
    <n v="8.91"/>
    <n v="8.91"/>
    <n v="8.91"/>
    <n v="8.91"/>
    <n v="8.91"/>
    <n v="8.91"/>
    <n v="8.91"/>
    <n v="8.91"/>
    <n v="10"/>
    <n v="10"/>
    <n v="10"/>
    <n v="10"/>
    <n v="8.91"/>
    <n v="8.91"/>
    <n v="8.91"/>
    <n v="8.91"/>
    <n v="8.91"/>
    <n v="8.91"/>
    <n v="8.91"/>
    <n v="8.91"/>
    <n v="4.55"/>
    <n v="4.55"/>
    <n v="4.55"/>
    <n v="4.55"/>
    <s v=""/>
    <s v=""/>
    <s v=""/>
    <s v=""/>
    <s v=""/>
    <s v=""/>
    <s v=""/>
    <s v=""/>
    <n v="0"/>
    <n v="0"/>
    <n v="0"/>
    <n v="0"/>
    <n v="0"/>
    <x v="2"/>
    <n v="720"/>
    <n v="0"/>
    <e v="#VALUE!"/>
    <e v="#VALUE!"/>
    <n v="0"/>
    <e v="#VALUE!"/>
    <x v="0"/>
    <n v="471000"/>
    <n v="43500"/>
    <n v="35050"/>
    <n v="16000"/>
    <n v="0.75041272699984995"/>
    <n v="9.9054479963980189"/>
    <n v="0.45024763619990993"/>
    <n v="0.30016509079993997"/>
    <n v="0"/>
    <n v="0.22512381809995496"/>
    <n v="0"/>
    <n v="0.15008254539996999"/>
    <n v="0.18760318174996249"/>
    <n v="0.15008254539996999"/>
    <n v="0.22512381809995496"/>
    <n v="0.38771324228325577"/>
    <n v="0.13757566661663914"/>
    <n v="0"/>
    <n v="0"/>
    <n v="7.1289209064985745E-2"/>
    <n v="0.10505778177997899"/>
    <n v="8.7548151483315823E-2"/>
    <n v="0.37520636349992498"/>
    <n v="0.15008254539996999"/>
    <n v="0"/>
    <n v="0"/>
    <n v="8.7548151483315823E-2"/>
    <n v="0"/>
    <n v="0"/>
    <n v="0"/>
    <n v="0.40022012106658661"/>
    <n v="0"/>
    <n v="0"/>
    <n v="14.146530591825508"/>
    <n v="9.0049527239981997E-2"/>
    <n v="0"/>
    <n v="74"/>
    <x v="0"/>
    <x v="1"/>
    <x v="1"/>
    <x v="1"/>
    <x v="0"/>
    <b v="1"/>
    <b v="1"/>
    <n v="0"/>
    <n v="0"/>
    <n v="0"/>
    <n v="0"/>
    <n v="0"/>
    <n v="0"/>
    <n v="0"/>
    <n v="0"/>
    <n v="0"/>
    <n v="0"/>
    <n v="0"/>
    <n v="0"/>
    <s v=""/>
    <s v=""/>
    <n v="0"/>
    <n v="0"/>
    <n v="0"/>
    <n v="0"/>
    <n v="0"/>
    <n v="0"/>
    <n v="0"/>
    <n v="0"/>
    <n v="0"/>
    <n v="0"/>
    <n v="0"/>
    <n v="0"/>
    <n v="0"/>
    <s v=""/>
    <s v=""/>
    <b v="0"/>
    <b v="1"/>
    <x v="1"/>
    <n v="11.781479813897644"/>
    <n v="1.0880984541497825"/>
    <n v="0.87673220271149144"/>
    <n v="0.40022012106658661"/>
    <n v="0"/>
    <n v="0"/>
    <n v="0"/>
    <n v="0"/>
    <n v="0"/>
    <n v="0"/>
    <n v="0"/>
    <n v="0"/>
    <n v="0"/>
    <n v="0"/>
    <n v="0"/>
    <n v="0"/>
    <s v=""/>
    <s v=""/>
    <n v="0"/>
    <n v="0"/>
    <n v="0"/>
    <n v="0"/>
    <n v="0"/>
    <n v="0"/>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n v="0"/>
    <n v="0"/>
    <n v="0"/>
    <n v="0"/>
    <n v="0"/>
    <n v="0"/>
    <n v="0"/>
    <n v="0"/>
    <n v="0"/>
    <n v="0"/>
    <n v="0"/>
    <n v="0"/>
    <n v="0"/>
    <n v="0"/>
    <n v="0"/>
  </r>
  <r>
    <m/>
    <m/>
    <m/>
    <m/>
    <m/>
    <m/>
    <n v="74"/>
    <n v="2"/>
    <n v="0"/>
    <n v="1"/>
    <n v="0"/>
    <s v="Leased or Rented"/>
    <s v="Leased or Rented"/>
    <m/>
    <m/>
    <m/>
    <m/>
    <n v="14.42"/>
    <n v="14.42"/>
    <n v="14.42"/>
    <n v="14.42"/>
    <n v="1"/>
    <n v="9.25"/>
    <n v="9.25"/>
    <n v="9.25"/>
    <n v="9.25"/>
    <n v="2"/>
    <s v="Other manager (specify)"/>
    <n v="0"/>
    <n v="0"/>
    <n v="0"/>
    <n v="0"/>
    <n v="0"/>
    <s v="Other manager (specify)"/>
    <n v="0"/>
    <n v="0"/>
    <n v="0"/>
    <n v="0"/>
    <n v="0"/>
    <s v="Other manager (specify)"/>
    <n v="0"/>
    <n v="0"/>
    <n v="0"/>
    <n v="0"/>
    <n v="0"/>
    <s v="Care Assistant (specify)"/>
    <n v="9.25"/>
    <n v="9.5"/>
    <n v="9"/>
    <n v="9.25"/>
    <n v="36"/>
    <s v="Care Assistant (Lead)"/>
    <n v="9.25"/>
    <n v="9.5"/>
    <n v="9"/>
    <n v="9.25"/>
    <n v="2"/>
    <s v="Care Assistant (specify)"/>
    <n v="0"/>
    <n v="0"/>
    <n v="0"/>
    <n v="0"/>
    <n v="0"/>
    <s v="Care Assistant (specify)"/>
    <n v="0"/>
    <n v="0"/>
    <n v="0"/>
    <n v="0"/>
    <n v="0"/>
    <s v="Administrative Officer (specify)"/>
    <n v="10.09"/>
    <n v="10.09"/>
    <n v="10.09"/>
    <n v="10.09"/>
    <n v="2"/>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173.5"/>
    <n v="427"/>
    <n v="0"/>
    <n v="0"/>
    <n v="0"/>
    <n v="0"/>
    <n v="0"/>
    <n v="0"/>
    <n v="15.58"/>
    <n v="18.95"/>
    <n v="14.05"/>
    <d v="2020-04-01T00:00:00"/>
    <d v="2021-03-31T00:00:00"/>
    <n v="0"/>
    <n v="475759"/>
    <n v="19846"/>
    <n v="4794"/>
    <n v="4815"/>
    <n v="0"/>
    <n v="643"/>
    <n v="0"/>
    <n v="0"/>
    <n v="11792"/>
    <n v="103"/>
    <n v="0"/>
    <n v="0"/>
    <n v="11264"/>
    <s v="Other - please specify"/>
    <n v="1379"/>
    <s v="Other - please specify"/>
    <n v="0"/>
    <n v="3463"/>
    <n v="3526"/>
    <n v="21767"/>
    <n v="0"/>
    <n v="0"/>
    <n v="0"/>
    <n v="565"/>
    <n v="0"/>
    <s v="Other - please specify"/>
    <m/>
    <s v="Other - please specify"/>
    <m/>
    <n v="0"/>
    <n v="9172"/>
    <s v="Other overheads - please specify"/>
    <n v="1411"/>
    <s v="Other overheads - please specify"/>
    <n v="0"/>
    <n v="131433"/>
    <n v="70.709999999999994"/>
    <n v="185726"/>
    <m/>
    <d v="2021-10-11T15:04:00"/>
    <x v="0"/>
    <n v="2"/>
    <x v="0"/>
    <n v="14.42"/>
    <n v="14.42"/>
    <n v="14.42"/>
    <n v="14.42"/>
    <n v="9.25"/>
    <n v="9.25"/>
    <n v="9.25"/>
    <n v="9.25"/>
    <s v=""/>
    <s v=""/>
    <s v=""/>
    <s v=""/>
    <s v=""/>
    <s v=""/>
    <s v=""/>
    <s v=""/>
    <s v=""/>
    <s v=""/>
    <s v=""/>
    <s v=""/>
    <n v="9.25"/>
    <n v="9.5"/>
    <n v="9"/>
    <n v="9.25"/>
    <n v="9.25"/>
    <n v="9.5"/>
    <n v="9"/>
    <n v="9.25"/>
    <s v=""/>
    <s v=""/>
    <s v=""/>
    <s v=""/>
    <s v=""/>
    <s v=""/>
    <s v=""/>
    <s v=""/>
    <n v="10.09"/>
    <n v="10.09"/>
    <n v="10.09"/>
    <n v="10.09"/>
    <s v=""/>
    <s v=""/>
    <s v=""/>
    <s v=""/>
    <s v=""/>
    <s v=""/>
    <s v=""/>
    <s v=""/>
    <s v=""/>
    <s v=""/>
    <s v=""/>
    <s v=""/>
    <s v=""/>
    <s v=""/>
    <s v=""/>
    <s v=""/>
    <s v=""/>
    <s v=""/>
    <s v=""/>
    <s v=""/>
    <n v="14.42"/>
    <n v="14.42"/>
    <n v="14.42"/>
    <n v="14.42"/>
    <n v="9.25"/>
    <n v="9.25"/>
    <n v="9.25"/>
    <n v="9.25"/>
    <s v=""/>
    <s v=""/>
    <s v=""/>
    <s v=""/>
    <s v=""/>
    <s v=""/>
    <s v=""/>
    <s v=""/>
    <s v=""/>
    <s v=""/>
    <s v=""/>
    <s v=""/>
    <n v="9.25"/>
    <n v="9.5"/>
    <n v="9"/>
    <n v="9.25"/>
    <n v="9.25"/>
    <n v="9.5"/>
    <n v="9"/>
    <n v="9.25"/>
    <s v=""/>
    <s v=""/>
    <s v=""/>
    <s v=""/>
    <s v=""/>
    <s v=""/>
    <s v=""/>
    <s v=""/>
    <n v="10.09"/>
    <n v="10.09"/>
    <n v="10.09"/>
    <n v="10.09"/>
    <s v=""/>
    <s v=""/>
    <s v=""/>
    <s v=""/>
    <s v=""/>
    <s v=""/>
    <s v=""/>
    <s v=""/>
    <s v=""/>
    <s v=""/>
    <s v=""/>
    <s v=""/>
    <s v=""/>
    <s v=""/>
    <s v=""/>
    <s v=""/>
    <s v=""/>
    <s v=""/>
    <s v=""/>
    <s v=""/>
    <n v="3"/>
    <n v="38"/>
    <n v="2"/>
    <n v="0"/>
    <n v="43"/>
    <x v="2"/>
    <n v="600.5"/>
    <n v="0"/>
    <e v="#VALUE!"/>
    <e v="#VALUE!"/>
    <e v="#VALUE!"/>
    <e v="#VALUE!"/>
    <x v="0"/>
    <n v="505857"/>
    <n v="24538"/>
    <n v="29321"/>
    <n v="10583"/>
    <n v="0"/>
    <n v="0"/>
    <n v="0"/>
    <n v="0"/>
    <n v="0"/>
    <n v="0"/>
    <n v="0"/>
    <n v="0"/>
    <n v="0"/>
    <n v="0"/>
    <n v="0"/>
    <n v="0"/>
    <n v="0"/>
    <n v="0"/>
    <n v="0"/>
    <n v="0"/>
    <n v="0"/>
    <n v="0"/>
    <n v="0"/>
    <n v="0"/>
    <n v="0"/>
    <n v="0"/>
    <n v="0"/>
    <n v="0"/>
    <n v="0"/>
    <n v="0"/>
    <n v="0"/>
    <n v="0"/>
    <n v="0"/>
    <n v="0"/>
    <s v=""/>
    <n v="0"/>
    <n v="75"/>
    <x v="0"/>
    <x v="1"/>
    <x v="1"/>
    <x v="1"/>
    <x v="0"/>
    <b v="1"/>
    <b v="1"/>
    <n v="0"/>
    <n v="2"/>
    <s v=""/>
    <s v=""/>
    <s v=""/>
    <n v="36"/>
    <n v="2"/>
    <s v=""/>
    <s v=""/>
    <n v="0"/>
    <s v=""/>
    <s v=""/>
    <s v=""/>
    <s v=""/>
    <n v="40"/>
    <n v="0"/>
    <n v="0.5"/>
    <s v=""/>
    <s v=""/>
    <s v=""/>
    <n v="4.5"/>
    <n v="0.25"/>
    <s v=""/>
    <s v=""/>
    <n v="0"/>
    <s v=""/>
    <s v=""/>
    <s v=""/>
    <s v=""/>
    <b v="1"/>
    <b v="1"/>
    <x v="3"/>
    <n v="0"/>
    <n v="0"/>
    <n v="0"/>
    <n v="0"/>
    <n v="0"/>
    <n v="2"/>
    <s v=""/>
    <s v=""/>
    <s v=""/>
    <n v="36"/>
    <n v="2"/>
    <s v=""/>
    <s v=""/>
    <n v="0"/>
    <s v=""/>
    <s v=""/>
    <s v=""/>
    <s v=""/>
    <n v="40"/>
    <n v="0"/>
    <n v="1.3000000000000007"/>
    <s v=""/>
    <s v=""/>
    <s v=""/>
    <n v="18.900000000000013"/>
    <n v="1.0500000000000007"/>
    <s v=""/>
    <s v=""/>
    <n v="0"/>
    <s v=""/>
    <s v=""/>
    <s v=""/>
    <s v=""/>
    <n v="14.42"/>
    <n v="14.42"/>
    <n v="14.42"/>
    <n v="14.42"/>
    <n v="18.5"/>
    <n v="18.5"/>
    <n v="18.5"/>
    <n v="18.5"/>
    <s v=""/>
    <s v=""/>
    <s v=""/>
    <s v=""/>
    <s v=""/>
    <s v=""/>
    <s v=""/>
    <s v=""/>
    <s v=""/>
    <s v=""/>
    <s v=""/>
    <s v=""/>
    <n v="333"/>
    <n v="342"/>
    <n v="324"/>
    <n v="333"/>
    <n v="18.5"/>
    <n v="19"/>
    <n v="18"/>
    <n v="18.5"/>
    <s v=""/>
    <s v=""/>
    <s v=""/>
    <s v=""/>
    <s v=""/>
    <s v=""/>
    <s v=""/>
    <s v=""/>
    <n v="20.18"/>
    <n v="20.18"/>
    <n v="20.18"/>
    <n v="20.18"/>
    <s v=""/>
    <s v=""/>
    <s v=""/>
    <s v=""/>
    <s v=""/>
    <s v=""/>
    <s v=""/>
    <s v=""/>
    <s v=""/>
    <s v=""/>
    <s v=""/>
    <s v=""/>
    <s v=""/>
    <s v=""/>
    <s v=""/>
    <s v=""/>
    <s v=""/>
    <s v=""/>
    <s v=""/>
    <s v=""/>
    <n v="1"/>
    <n v="2"/>
    <n v="0"/>
    <n v="0"/>
    <n v="0"/>
    <n v="36"/>
    <n v="2"/>
    <n v="0"/>
    <n v="0"/>
    <n v="2"/>
    <n v="0"/>
    <n v="0"/>
    <n v="0"/>
    <n v="0"/>
    <n v="0"/>
  </r>
  <r>
    <m/>
    <m/>
    <m/>
    <m/>
    <m/>
    <m/>
    <n v="75"/>
    <n v="0"/>
    <n v="30"/>
    <n v="0"/>
    <n v="1"/>
    <s v="Leased or Rented"/>
    <s v="Leased or Rented"/>
    <m/>
    <m/>
    <m/>
    <m/>
    <n v="14.24"/>
    <n v="15.55"/>
    <n v="13.92"/>
    <n v="15.2"/>
    <n v="1"/>
    <n v="10.74"/>
    <n v="12.5"/>
    <n v="9.5"/>
    <n v="12.22"/>
    <n v="2.5"/>
    <s v="Other manager (specify)"/>
    <n v="0"/>
    <n v="0"/>
    <n v="0"/>
    <n v="0"/>
    <n v="0"/>
    <s v="Other manager (specify)"/>
    <n v="0"/>
    <n v="0"/>
    <n v="0"/>
    <n v="0"/>
    <n v="0"/>
    <s v="Other manager (specify)"/>
    <n v="0"/>
    <n v="0"/>
    <n v="0"/>
    <n v="0"/>
    <n v="0"/>
    <s v="Care Assistant (specify)"/>
    <n v="9"/>
    <n v="9"/>
    <n v="8.8000000000000007"/>
    <n v="8.8000000000000007"/>
    <n v="26"/>
    <s v="Care Assistant (specify)"/>
    <n v="0"/>
    <n v="0"/>
    <n v="0"/>
    <n v="0"/>
    <n v="0"/>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487"/>
    <n v="227"/>
    <n v="0"/>
    <n v="0"/>
    <n v="677.5"/>
    <n v="64.5"/>
    <n v="15"/>
    <n v="15"/>
    <n v="0"/>
    <d v="2020-04-01T00:00:00"/>
    <d v="2021-03-31T00:00:00"/>
    <n v="75712"/>
    <n v="101088.76"/>
    <n v="683772.8"/>
    <n v="0"/>
    <n v="0"/>
    <n v="0"/>
    <n v="0"/>
    <n v="0"/>
    <n v="6450"/>
    <n v="550"/>
    <n v="0"/>
    <n v="0"/>
    <n v="0"/>
    <n v="0"/>
    <s v="Other - please specify"/>
    <n v="0"/>
    <s v="Other - please specify"/>
    <n v="0"/>
    <n v="12894.81"/>
    <n v="36329"/>
    <n v="83593.41"/>
    <n v="98300"/>
    <n v="536"/>
    <n v="0"/>
    <n v="0"/>
    <n v="0"/>
    <s v="Other - please specify"/>
    <n v="0"/>
    <s v="Other - please specify"/>
    <n v="0"/>
    <n v="84639.78"/>
    <n v="7153.85"/>
    <s v="Other overheads - please specify"/>
    <n v="0"/>
    <s v="Other overheads - please specify"/>
    <n v="0"/>
    <m/>
    <n v="33000"/>
    <n v="746000"/>
    <m/>
    <d v="2021-10-11T15:04:04"/>
    <x v="0"/>
    <n v="30"/>
    <x v="2"/>
    <n v="14.24"/>
    <n v="15.55"/>
    <n v="13.92"/>
    <n v="15.2"/>
    <n v="10.74"/>
    <n v="12.5"/>
    <n v="9.5"/>
    <n v="12.22"/>
    <s v=""/>
    <s v=""/>
    <s v=""/>
    <s v=""/>
    <s v=""/>
    <s v=""/>
    <s v=""/>
    <s v=""/>
    <s v=""/>
    <s v=""/>
    <s v=""/>
    <s v=""/>
    <n v="9"/>
    <n v="9"/>
    <n v="8.8000000000000007"/>
    <n v="8.8000000000000007"/>
    <s v=""/>
    <s v=""/>
    <s v=""/>
    <s v=""/>
    <s v=""/>
    <s v=""/>
    <s v=""/>
    <s v=""/>
    <s v=""/>
    <s v=""/>
    <s v=""/>
    <s v=""/>
    <s v=""/>
    <s v=""/>
    <s v=""/>
    <s v=""/>
    <s v=""/>
    <s v=""/>
    <s v=""/>
    <s v=""/>
    <s v=""/>
    <s v=""/>
    <s v=""/>
    <s v=""/>
    <s v=""/>
    <s v=""/>
    <s v=""/>
    <s v=""/>
    <s v=""/>
    <s v=""/>
    <s v=""/>
    <s v=""/>
    <s v=""/>
    <s v=""/>
    <s v=""/>
    <s v=""/>
    <n v="14.24"/>
    <n v="15.55"/>
    <n v="13.92"/>
    <n v="15.2"/>
    <n v="10.74"/>
    <n v="12.5"/>
    <n v="9.5"/>
    <n v="12.22"/>
    <s v=""/>
    <s v=""/>
    <s v=""/>
    <s v=""/>
    <s v=""/>
    <s v=""/>
    <s v=""/>
    <s v=""/>
    <s v=""/>
    <s v=""/>
    <s v=""/>
    <s v=""/>
    <n v="9"/>
    <n v="9"/>
    <n v="8.8000000000000007"/>
    <n v="8.8000000000000007"/>
    <s v=""/>
    <s v=""/>
    <s v=""/>
    <s v=""/>
    <s v=""/>
    <s v=""/>
    <s v=""/>
    <s v=""/>
    <s v=""/>
    <s v=""/>
    <s v=""/>
    <s v=""/>
    <s v=""/>
    <s v=""/>
    <s v=""/>
    <s v=""/>
    <s v=""/>
    <s v=""/>
    <s v=""/>
    <s v=""/>
    <s v=""/>
    <s v=""/>
    <s v=""/>
    <s v=""/>
    <s v=""/>
    <s v=""/>
    <s v=""/>
    <s v=""/>
    <s v=""/>
    <s v=""/>
    <s v=""/>
    <s v=""/>
    <s v=""/>
    <s v=""/>
    <s v=""/>
    <s v=""/>
    <n v="3.5"/>
    <n v="26"/>
    <n v="0"/>
    <n v="0"/>
    <n v="29.5"/>
    <x v="0"/>
    <n v="0"/>
    <n v="1456"/>
    <e v="#VALUE!"/>
    <e v="#VALUE!"/>
    <e v="#VALUE!"/>
    <e v="#VALUE!"/>
    <x v="0"/>
    <n v="791311.56"/>
    <n v="550"/>
    <n v="231653.22"/>
    <n v="91793.63"/>
    <n v="1.3351748732037192"/>
    <n v="9.0312341504649201"/>
    <n v="0"/>
    <n v="0"/>
    <n v="0"/>
    <n v="0"/>
    <n v="0"/>
    <n v="8.5191251056635678E-2"/>
    <n v="7.2643702451394756E-3"/>
    <n v="0"/>
    <n v="0"/>
    <n v="0"/>
    <n v="0"/>
    <n v="0"/>
    <n v="0"/>
    <n v="0.17031395287404902"/>
    <n v="0.47983146661031278"/>
    <n v="1.1040972368977178"/>
    <n v="1.2983410819949281"/>
    <n v="7.0794590025359252E-3"/>
    <n v="0"/>
    <n v="0"/>
    <n v="0"/>
    <n v="0"/>
    <n v="0"/>
    <n v="1.117917635249366"/>
    <n v="9.4487663778529171E-2"/>
    <n v="0"/>
    <n v="0"/>
    <n v="14.730933141377852"/>
    <s v=""/>
    <n v="0.43586221470836856"/>
    <n v="76"/>
    <x v="0"/>
    <x v="0"/>
    <x v="0"/>
    <x v="0"/>
    <x v="1"/>
    <b v="0"/>
    <b v="1"/>
    <n v="0"/>
    <n v="0"/>
    <s v=""/>
    <s v=""/>
    <s v=""/>
    <n v="26"/>
    <s v=""/>
    <s v=""/>
    <s v=""/>
    <s v=""/>
    <s v=""/>
    <s v=""/>
    <s v=""/>
    <s v=""/>
    <n v="26"/>
    <n v="0"/>
    <n v="0"/>
    <s v=""/>
    <s v=""/>
    <s v=""/>
    <n v="13"/>
    <s v=""/>
    <s v=""/>
    <s v=""/>
    <s v=""/>
    <s v=""/>
    <s v=""/>
    <s v=""/>
    <s v=""/>
    <b v="0"/>
    <b v="1"/>
    <x v="1"/>
    <n v="10.451600274725275"/>
    <n v="7.2643702451394756E-3"/>
    <n v="3.0596631973795438"/>
    <n v="1.2124052990278953"/>
    <n v="0"/>
    <n v="0"/>
    <s v=""/>
    <s v=""/>
    <s v=""/>
    <n v="26"/>
    <s v=""/>
    <s v=""/>
    <s v=""/>
    <s v=""/>
    <s v=""/>
    <s v=""/>
    <s v=""/>
    <s v=""/>
    <n v="26"/>
    <n v="0"/>
    <n v="0"/>
    <s v=""/>
    <s v=""/>
    <s v=""/>
    <n v="23.400000000000009"/>
    <s v=""/>
    <s v=""/>
    <s v=""/>
    <s v=""/>
    <s v=""/>
    <s v=""/>
    <s v=""/>
    <s v=""/>
    <n v="14.24"/>
    <n v="15.55"/>
    <n v="13.92"/>
    <n v="15.2"/>
    <n v="26.85"/>
    <n v="31.25"/>
    <n v="23.75"/>
    <n v="30.55"/>
    <s v=""/>
    <s v=""/>
    <s v=""/>
    <s v=""/>
    <s v=""/>
    <s v=""/>
    <s v=""/>
    <s v=""/>
    <s v=""/>
    <s v=""/>
    <s v=""/>
    <s v=""/>
    <n v="234"/>
    <n v="234"/>
    <n v="228.8"/>
    <n v="228.8"/>
    <s v=""/>
    <s v=""/>
    <s v=""/>
    <s v=""/>
    <s v=""/>
    <s v=""/>
    <s v=""/>
    <s v=""/>
    <s v=""/>
    <s v=""/>
    <s v=""/>
    <s v=""/>
    <s v=""/>
    <s v=""/>
    <s v=""/>
    <s v=""/>
    <s v=""/>
    <s v=""/>
    <s v=""/>
    <s v=""/>
    <s v=""/>
    <s v=""/>
    <s v=""/>
    <s v=""/>
    <s v=""/>
    <s v=""/>
    <s v=""/>
    <s v=""/>
    <s v=""/>
    <s v=""/>
    <s v=""/>
    <s v=""/>
    <s v=""/>
    <s v=""/>
    <s v=""/>
    <s v=""/>
    <n v="1"/>
    <n v="2.5"/>
    <n v="0"/>
    <n v="0"/>
    <n v="0"/>
    <n v="26"/>
    <n v="0"/>
    <n v="0"/>
    <n v="0"/>
    <n v="0"/>
    <n v="0"/>
    <n v="0"/>
    <n v="0"/>
    <n v="0"/>
    <n v="0"/>
  </r>
  <r>
    <m/>
    <m/>
    <m/>
    <m/>
    <m/>
    <m/>
    <n v="76"/>
    <n v="7"/>
    <n v="3"/>
    <n v="0.45"/>
    <n v="0.55000000000000004"/>
    <s v="Leased or Rented"/>
    <s v="Owned outright"/>
    <m/>
    <m/>
    <m/>
    <m/>
    <n v="14.32"/>
    <n v="14.32"/>
    <n v="13.9"/>
    <n v="13.9"/>
    <n v="1"/>
    <n v="12.78"/>
    <n v="12.78"/>
    <n v="12.4"/>
    <n v="12.04"/>
    <n v="2"/>
    <s v="Quality Manager"/>
    <n v="17.899999999999999"/>
    <n v="17.899999999999999"/>
    <n v="17.36"/>
    <n v="17.36"/>
    <n v="0.5"/>
    <s v="Opersations Manager"/>
    <n v="20.45"/>
    <n v="20.45"/>
    <n v="19.84"/>
    <n v="19.84"/>
    <n v="0.25"/>
    <s v="PBS Manager"/>
    <n v="17.899999999999999"/>
    <n v="17.899999999999999"/>
    <n v="17.36"/>
    <n v="17.36"/>
    <n v="0.5"/>
    <s v="Care Assistant (support)"/>
    <n v="8.91"/>
    <n v="8.91"/>
    <n v="8.7200000000000006"/>
    <n v="8.7200000000000006"/>
    <n v="31"/>
    <s v="Care Assistant - Team leader"/>
    <n v="9.41"/>
    <n v="9.41"/>
    <n v="9.2200000000000006"/>
    <n v="9.2200000000000006"/>
    <n v="3"/>
    <s v="Care Assistant (Senior)"/>
    <n v="9"/>
    <n v="9"/>
    <n v="8.82"/>
    <n v="8.82"/>
    <n v="5"/>
    <s v="Care Assistant (specify)"/>
    <n v="0"/>
    <n v="0"/>
    <n v="0"/>
    <n v="0"/>
    <n v="0"/>
    <s v="Administrative Officer (specify)"/>
    <n v="0"/>
    <n v="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5"/>
    <n v="339.2"/>
    <n v="324.60000000000002"/>
    <n v="0"/>
    <n v="0"/>
    <n v="0"/>
    <n v="0"/>
    <n v="355"/>
    <n v="10568"/>
    <n v="0"/>
    <n v="0"/>
    <n v="0"/>
    <n v="0"/>
    <n v="15.95"/>
    <n v="0"/>
    <n v="0"/>
    <d v="2020-04-01T00:00:00"/>
    <d v="2021-03-31T00:00:00"/>
    <n v="53120"/>
    <n v="98057"/>
    <n v="760273"/>
    <n v="0"/>
    <n v="0"/>
    <n v="5058"/>
    <n v="1301"/>
    <n v="0"/>
    <n v="12679"/>
    <n v="26911"/>
    <n v="3958"/>
    <n v="0"/>
    <n v="0"/>
    <n v="2490"/>
    <s v="Other - please specify"/>
    <n v="0"/>
    <s v="Other - please specify"/>
    <n v="0"/>
    <n v="5152"/>
    <n v="0"/>
    <n v="1632"/>
    <n v="3672"/>
    <n v="1706"/>
    <n v="0"/>
    <n v="0"/>
    <n v="6010"/>
    <s v="Other - please specify"/>
    <n v="0"/>
    <s v="Other - please specify"/>
    <n v="0"/>
    <n v="0"/>
    <n v="71117"/>
    <s v="Other overheads - please specify"/>
    <n v="0"/>
    <s v="Other overheads - please specify"/>
    <n v="0"/>
    <m/>
    <n v="0"/>
    <n v="0"/>
    <m/>
    <d v="2021-10-11T15:04:08"/>
    <x v="5"/>
    <n v="10"/>
    <x v="0"/>
    <n v="14.32"/>
    <n v="14.32"/>
    <n v="13.9"/>
    <n v="13.9"/>
    <n v="12.78"/>
    <n v="12.78"/>
    <n v="12.4"/>
    <n v="12.04"/>
    <n v="17.899999999999999"/>
    <n v="17.899999999999999"/>
    <n v="17.36"/>
    <n v="17.36"/>
    <n v="20.45"/>
    <n v="20.45"/>
    <n v="19.84"/>
    <n v="19.84"/>
    <n v="17.899999999999999"/>
    <n v="17.899999999999999"/>
    <n v="17.36"/>
    <n v="17.36"/>
    <n v="8.91"/>
    <n v="8.91"/>
    <n v="8.7200000000000006"/>
    <n v="8.7200000000000006"/>
    <n v="9.41"/>
    <n v="9.41"/>
    <n v="9.2200000000000006"/>
    <n v="9.2200000000000006"/>
    <n v="9"/>
    <n v="9"/>
    <n v="8.82"/>
    <n v="8.82"/>
    <s v=""/>
    <s v=""/>
    <s v=""/>
    <s v=""/>
    <s v=""/>
    <s v=""/>
    <s v=""/>
    <s v=""/>
    <s v=""/>
    <s v=""/>
    <s v=""/>
    <s v=""/>
    <s v=""/>
    <s v=""/>
    <s v=""/>
    <s v=""/>
    <s v=""/>
    <s v=""/>
    <s v=""/>
    <s v=""/>
    <s v=""/>
    <s v=""/>
    <s v=""/>
    <s v=""/>
    <s v=""/>
    <s v=""/>
    <s v=""/>
    <s v=""/>
    <n v="14.32"/>
    <n v="14.32"/>
    <n v="13.9"/>
    <n v="13.9"/>
    <n v="12.78"/>
    <n v="12.78"/>
    <n v="12.4"/>
    <n v="12.04"/>
    <n v="17.899999999999999"/>
    <n v="17.899999999999999"/>
    <n v="17.36"/>
    <n v="17.36"/>
    <n v="20.45"/>
    <n v="20.45"/>
    <n v="19.84"/>
    <n v="19.84"/>
    <n v="17.899999999999999"/>
    <n v="17.899999999999999"/>
    <n v="17.36"/>
    <n v="17.36"/>
    <n v="8.91"/>
    <n v="8.91"/>
    <n v="8.7200000000000006"/>
    <n v="8.7200000000000006"/>
    <n v="9.41"/>
    <n v="9.41"/>
    <n v="9.2200000000000006"/>
    <n v="9.2200000000000006"/>
    <n v="9"/>
    <n v="9"/>
    <n v="8.82"/>
    <n v="8.82"/>
    <s v=""/>
    <s v=""/>
    <s v=""/>
    <s v=""/>
    <s v=""/>
    <s v=""/>
    <s v=""/>
    <s v=""/>
    <s v=""/>
    <s v=""/>
    <s v=""/>
    <s v=""/>
    <s v=""/>
    <s v=""/>
    <s v=""/>
    <s v=""/>
    <s v=""/>
    <s v=""/>
    <s v=""/>
    <s v=""/>
    <s v=""/>
    <s v=""/>
    <s v=""/>
    <s v=""/>
    <s v=""/>
    <s v=""/>
    <s v=""/>
    <s v=""/>
    <n v="4.25"/>
    <n v="39"/>
    <n v="0"/>
    <n v="0"/>
    <n v="43.25"/>
    <x v="0"/>
    <n v="663.8"/>
    <n v="10923"/>
    <n v="61.02"/>
    <n v="60.3"/>
    <n v="62.892499999999998"/>
    <n v="62.892499999999998"/>
    <x v="0"/>
    <n v="877368"/>
    <n v="33359"/>
    <n v="18172"/>
    <n v="71117"/>
    <n v="1.8459525602409639"/>
    <n v="14.312368222891566"/>
    <n v="0"/>
    <n v="0"/>
    <n v="9.5218373493975897E-2"/>
    <n v="2.4491716867469881E-2"/>
    <n v="0"/>
    <n v="0.23868599397590362"/>
    <n v="0.50660768072289153"/>
    <n v="7.4510542168674698E-2"/>
    <n v="0"/>
    <n v="0"/>
    <n v="4.6875E-2"/>
    <n v="0"/>
    <n v="0"/>
    <n v="9.6987951807228912E-2"/>
    <n v="0"/>
    <n v="3.0722891566265061E-2"/>
    <n v="6.9126506024096382E-2"/>
    <n v="3.2115963855421689E-2"/>
    <n v="0"/>
    <n v="0"/>
    <n v="0.11314006024096386"/>
    <n v="0"/>
    <n v="0"/>
    <n v="0"/>
    <n v="1.3387989457831326"/>
    <n v="0"/>
    <n v="0"/>
    <n v="18.825602409638552"/>
    <s v=""/>
    <n v="0"/>
    <n v="77"/>
    <x v="1"/>
    <x v="1"/>
    <x v="0"/>
    <x v="1"/>
    <x v="1"/>
    <b v="0"/>
    <b v="0"/>
    <n v="0"/>
    <n v="0"/>
    <n v="0"/>
    <n v="0"/>
    <n v="0"/>
    <n v="31"/>
    <n v="3"/>
    <n v="5"/>
    <s v=""/>
    <s v=""/>
    <s v=""/>
    <s v=""/>
    <s v=""/>
    <s v=""/>
    <n v="39"/>
    <n v="0"/>
    <n v="0"/>
    <n v="0"/>
    <n v="0"/>
    <n v="0"/>
    <n v="18.289999999999996"/>
    <n v="0.26999999999999957"/>
    <n v="2.5"/>
    <s v=""/>
    <s v=""/>
    <s v=""/>
    <s v=""/>
    <s v=""/>
    <s v=""/>
    <b v="0"/>
    <b v="1"/>
    <x v="1"/>
    <n v="16.516716867469878"/>
    <n v="0.62799322289156623"/>
    <n v="0.34209337349397589"/>
    <n v="1.3387989457831326"/>
    <n v="0"/>
    <n v="0"/>
    <n v="0"/>
    <n v="0"/>
    <n v="0"/>
    <n v="31"/>
    <n v="3"/>
    <n v="5"/>
    <s v=""/>
    <s v=""/>
    <s v=""/>
    <s v=""/>
    <s v=""/>
    <s v=""/>
    <n v="39"/>
    <n v="0"/>
    <n v="0"/>
    <n v="0"/>
    <n v="0"/>
    <n v="0"/>
    <n v="30.690000000000005"/>
    <n v="1.4700000000000006"/>
    <n v="4.5000000000000018"/>
    <s v=""/>
    <s v=""/>
    <s v=""/>
    <s v=""/>
    <s v=""/>
    <s v=""/>
    <n v="14.32"/>
    <n v="14.32"/>
    <n v="13.9"/>
    <n v="13.9"/>
    <n v="25.56"/>
    <n v="25.56"/>
    <n v="24.8"/>
    <n v="24.08"/>
    <n v="8.9499999999999993"/>
    <n v="8.9499999999999993"/>
    <n v="8.68"/>
    <n v="8.68"/>
    <n v="5.1124999999999998"/>
    <n v="5.1124999999999998"/>
    <n v="4.96"/>
    <n v="4.96"/>
    <n v="8.9499999999999993"/>
    <n v="8.9499999999999993"/>
    <n v="8.68"/>
    <n v="8.68"/>
    <n v="276.20999999999998"/>
    <n v="276.20999999999998"/>
    <n v="270.32"/>
    <n v="270.32"/>
    <n v="28.23"/>
    <n v="28.23"/>
    <n v="27.660000000000004"/>
    <n v="27.660000000000004"/>
    <n v="45"/>
    <n v="45"/>
    <n v="44.1"/>
    <n v="44.1"/>
    <s v=""/>
    <s v=""/>
    <s v=""/>
    <s v=""/>
    <s v=""/>
    <s v=""/>
    <s v=""/>
    <s v=""/>
    <s v=""/>
    <s v=""/>
    <s v=""/>
    <s v=""/>
    <s v=""/>
    <s v=""/>
    <s v=""/>
    <s v=""/>
    <s v=""/>
    <s v=""/>
    <s v=""/>
    <s v=""/>
    <s v=""/>
    <s v=""/>
    <s v=""/>
    <s v=""/>
    <s v=""/>
    <s v=""/>
    <s v=""/>
    <s v=""/>
    <n v="1"/>
    <n v="2"/>
    <n v="0.5"/>
    <n v="0.25"/>
    <n v="0.5"/>
    <n v="31"/>
    <n v="3"/>
    <n v="5"/>
    <n v="0"/>
    <n v="0"/>
    <n v="0"/>
    <n v="0"/>
    <n v="0"/>
    <n v="0"/>
    <n v="0"/>
  </r>
  <r>
    <m/>
    <m/>
    <m/>
    <m/>
    <m/>
    <m/>
    <n v="77"/>
    <n v="19"/>
    <n v="0"/>
    <n v="1"/>
    <n v="0"/>
    <s v="Leased or Rented"/>
    <s v="N/A"/>
    <m/>
    <m/>
    <m/>
    <m/>
    <n v="12"/>
    <n v="14"/>
    <n v="11"/>
    <n v="13"/>
    <n v="1"/>
    <n v="11.5"/>
    <n v="12.5"/>
    <n v="10.5"/>
    <n v="11.5"/>
    <n v="2"/>
    <s v="Other manager (Quality Assurance Manager)"/>
    <n v="11"/>
    <n v="12"/>
    <n v="10"/>
    <n v="11"/>
    <n v="1"/>
    <s v="Other manager (Financial Manager)"/>
    <n v="12"/>
    <n v="12.5"/>
    <n v="11"/>
    <n v="11.5"/>
    <n v="1"/>
    <s v="Other manager (specify)"/>
    <n v="0"/>
    <n v="0"/>
    <n v="0"/>
    <n v="0"/>
    <n v="0"/>
    <s v="Care Assistant (Grade 2)"/>
    <n v="8.91"/>
    <n v="9.5"/>
    <n v="8.7200000000000006"/>
    <n v="9"/>
    <n v="4"/>
    <s v="Care Assistant (Grade 3)"/>
    <n v="9.75"/>
    <n v="10.25"/>
    <n v="9.15"/>
    <n v="9.75"/>
    <n v="11"/>
    <s v="Care Assistant (Seniour Grade 3)"/>
    <n v="10.5"/>
    <n v="11"/>
    <n v="10"/>
    <n v="10.5"/>
    <n v="12"/>
    <s v="Care Assistant (Seniour Carer)"/>
    <n v="11"/>
    <n v="11.5"/>
    <n v="10.5"/>
    <n v="11"/>
    <n v="4"/>
    <s v="Administrative Officer (Band 1 or 2)"/>
    <n v="8.91"/>
    <n v="9"/>
    <n v="8.7200000000000006"/>
    <n v="9"/>
    <n v="2"/>
    <s v="Administrative Officer (Band 3)"/>
    <n v="10"/>
    <n v="10.5"/>
    <n v="9.5"/>
    <n v="10"/>
    <n v="1"/>
    <s v="Administrative Officer (Band 4)"/>
    <n v="11"/>
    <n v="11.5"/>
    <n v="10.5"/>
    <n v="11"/>
    <n v="1"/>
    <s v="Other staff (specify)"/>
    <n v="0"/>
    <n v="0"/>
    <n v="0"/>
    <n v="0"/>
    <n v="0"/>
    <s v="Other staff (specify)"/>
    <n v="0"/>
    <n v="0"/>
    <n v="0"/>
    <n v="0"/>
    <n v="0"/>
    <s v="Other staff (specify)"/>
    <n v="0"/>
    <n v="0"/>
    <n v="0"/>
    <n v="0"/>
    <n v="0"/>
    <n v="0.03"/>
    <n v="0"/>
    <n v="0"/>
    <n v="1570.5"/>
    <n v="0"/>
    <n v="105"/>
    <n v="15"/>
    <n v="0"/>
    <n v="0"/>
    <n v="0"/>
    <n v="0"/>
    <n v="0"/>
    <n v="0"/>
    <n v="15.58"/>
    <n v="15.5"/>
    <n v="15"/>
    <d v="2019-08-01T00:00:00"/>
    <d v="2020-07-31T00:00:00"/>
    <n v="34875"/>
    <n v="19832"/>
    <n v="348744"/>
    <n v="24220"/>
    <n v="152614"/>
    <n v="0"/>
    <n v="8709"/>
    <n v="0"/>
    <n v="14880"/>
    <n v="2856"/>
    <n v="0"/>
    <n v="9755"/>
    <n v="0"/>
    <n v="3508"/>
    <s v="Vehicle running costs"/>
    <n v="28269"/>
    <s v="Other - please specify"/>
    <n v="0"/>
    <n v="5270"/>
    <n v="0"/>
    <n v="567"/>
    <n v="3866"/>
    <n v="0"/>
    <n v="1441"/>
    <n v="661"/>
    <n v="21329"/>
    <s v="Restructuring costs"/>
    <n v="32700"/>
    <s v="Stationery"/>
    <n v="3804"/>
    <n v="0"/>
    <n v="192070"/>
    <s v="Other overheads - please specify"/>
    <n v="0"/>
    <s v="Other overheads - please specify"/>
    <n v="0"/>
    <n v="159043"/>
    <n v="1.17"/>
    <n v="135353"/>
    <m/>
    <d v="2021-10-11T15:04:11"/>
    <x v="0"/>
    <n v="19"/>
    <x v="1"/>
    <n v="12"/>
    <n v="14"/>
    <n v="11"/>
    <n v="13"/>
    <n v="11.5"/>
    <n v="12.5"/>
    <n v="10.5"/>
    <n v="11.5"/>
    <n v="11"/>
    <n v="12"/>
    <n v="10"/>
    <n v="11"/>
    <n v="12"/>
    <n v="12.5"/>
    <n v="11"/>
    <n v="11.5"/>
    <s v=""/>
    <s v=""/>
    <s v=""/>
    <s v=""/>
    <n v="8.91"/>
    <n v="9.5"/>
    <n v="8.7200000000000006"/>
    <n v="9"/>
    <n v="9.75"/>
    <n v="10.25"/>
    <n v="9.15"/>
    <n v="9.75"/>
    <n v="10.5"/>
    <n v="11"/>
    <n v="10"/>
    <n v="10.5"/>
    <n v="11"/>
    <n v="11.5"/>
    <n v="10.5"/>
    <n v="11"/>
    <n v="8.91"/>
    <n v="9"/>
    <n v="8.7200000000000006"/>
    <n v="9"/>
    <n v="10"/>
    <n v="10.5"/>
    <n v="9.5"/>
    <n v="10"/>
    <n v="11"/>
    <n v="11.5"/>
    <n v="10.5"/>
    <n v="11"/>
    <s v=""/>
    <s v=""/>
    <s v=""/>
    <s v=""/>
    <s v=""/>
    <s v=""/>
    <s v=""/>
    <s v=""/>
    <s v=""/>
    <s v=""/>
    <s v=""/>
    <s v=""/>
    <n v="12"/>
    <n v="14"/>
    <n v="11"/>
    <n v="13"/>
    <n v="11.5"/>
    <n v="12.5"/>
    <n v="10.5"/>
    <n v="11.5"/>
    <n v="11"/>
    <n v="12"/>
    <n v="10"/>
    <n v="11"/>
    <n v="12"/>
    <n v="12.5"/>
    <n v="11"/>
    <n v="11.5"/>
    <s v=""/>
    <s v=""/>
    <s v=""/>
    <s v=""/>
    <n v="8.91"/>
    <n v="9.5"/>
    <n v="8.7200000000000006"/>
    <n v="9"/>
    <n v="9.75"/>
    <n v="10.25"/>
    <n v="9.15"/>
    <n v="9.75"/>
    <n v="10.5"/>
    <n v="11"/>
    <n v="10"/>
    <n v="10.5"/>
    <n v="11"/>
    <n v="11.5"/>
    <n v="10.5"/>
    <n v="11"/>
    <n v="8.91"/>
    <n v="9"/>
    <n v="8.7200000000000006"/>
    <n v="9"/>
    <n v="10"/>
    <n v="10.5"/>
    <n v="9.5"/>
    <n v="10"/>
    <n v="11"/>
    <n v="11.5"/>
    <n v="10.5"/>
    <n v="11"/>
    <s v=""/>
    <s v=""/>
    <s v=""/>
    <s v=""/>
    <s v=""/>
    <s v=""/>
    <s v=""/>
    <s v=""/>
    <s v=""/>
    <s v=""/>
    <s v=""/>
    <s v=""/>
    <n v="5"/>
    <n v="31"/>
    <n v="3"/>
    <n v="0"/>
    <n v="39"/>
    <x v="2"/>
    <n v="1690.5"/>
    <n v="0"/>
    <e v="#VALUE!"/>
    <e v="#VALUE!"/>
    <e v="#VALUE!"/>
    <e v="#VALUE!"/>
    <x v="0"/>
    <n v="568999"/>
    <n v="44388"/>
    <n v="69638"/>
    <n v="192070"/>
    <n v="0.56865949820788531"/>
    <n v="9.9998279569892468"/>
    <n v="0.69448028673835127"/>
    <n v="4.3760286738351253"/>
    <n v="0"/>
    <n v="0.24972043010752687"/>
    <n v="0"/>
    <n v="0.42666666666666669"/>
    <n v="8.1892473118279574E-2"/>
    <n v="0"/>
    <n v="0.27971326164874549"/>
    <n v="0"/>
    <n v="0.10058781362007169"/>
    <n v="0.81058064516129036"/>
    <n v="0"/>
    <n v="0.15111111111111111"/>
    <n v="0"/>
    <n v="1.6258064516129031E-2"/>
    <n v="0.11085304659498207"/>
    <n v="0"/>
    <n v="4.1318996415770609E-2"/>
    <n v="1.8953405017921147E-2"/>
    <n v="0.61158422939068102"/>
    <n v="0.93763440860215053"/>
    <n v="0.10907526881720431"/>
    <n v="0"/>
    <n v="5.507383512544803"/>
    <n v="0"/>
    <n v="0"/>
    <n v="25.092329749103939"/>
    <n v="4.560372759856631"/>
    <n v="3.3548387096774188E-5"/>
    <n v="78"/>
    <x v="0"/>
    <x v="1"/>
    <x v="1"/>
    <x v="1"/>
    <x v="0"/>
    <b v="1"/>
    <b v="1"/>
    <n v="0"/>
    <n v="0"/>
    <n v="0"/>
    <n v="0"/>
    <s v=""/>
    <n v="4"/>
    <n v="0"/>
    <n v="0"/>
    <n v="0"/>
    <n v="2"/>
    <n v="0"/>
    <s v=""/>
    <s v=""/>
    <s v=""/>
    <n v="6"/>
    <n v="0"/>
    <n v="0"/>
    <n v="0"/>
    <n v="0"/>
    <s v=""/>
    <n v="1.1799999999999997"/>
    <n v="0"/>
    <n v="0"/>
    <n v="0"/>
    <n v="1.0899999999999999"/>
    <n v="0"/>
    <s v=""/>
    <s v=""/>
    <s v=""/>
    <b v="1"/>
    <b v="0"/>
    <x v="2"/>
    <n v="16.315383512544802"/>
    <n v="1.2727741935483872"/>
    <n v="1.9967885304659498"/>
    <n v="5.507383512544803"/>
    <n v="0"/>
    <n v="0"/>
    <n v="0"/>
    <n v="0"/>
    <s v=""/>
    <n v="4"/>
    <n v="0"/>
    <n v="0"/>
    <n v="0"/>
    <n v="2"/>
    <n v="0"/>
    <s v=""/>
    <s v=""/>
    <s v=""/>
    <n v="6"/>
    <n v="0"/>
    <n v="0"/>
    <n v="0"/>
    <n v="0"/>
    <s v=""/>
    <n v="2.7800000000000011"/>
    <n v="0"/>
    <n v="0"/>
    <n v="0"/>
    <n v="1.8900000000000006"/>
    <n v="0"/>
    <s v=""/>
    <s v=""/>
    <s v=""/>
    <n v="12"/>
    <n v="14"/>
    <n v="11"/>
    <n v="13"/>
    <n v="23"/>
    <n v="25"/>
    <n v="21"/>
    <n v="23"/>
    <n v="11"/>
    <n v="12"/>
    <n v="10"/>
    <n v="11"/>
    <n v="12"/>
    <n v="12.5"/>
    <n v="11"/>
    <n v="11.5"/>
    <s v=""/>
    <s v=""/>
    <s v=""/>
    <s v=""/>
    <n v="35.64"/>
    <n v="38"/>
    <n v="34.880000000000003"/>
    <n v="36"/>
    <n v="107.25"/>
    <n v="112.75"/>
    <n v="100.65"/>
    <n v="107.25"/>
    <n v="126"/>
    <n v="132"/>
    <n v="120"/>
    <n v="126"/>
    <n v="44"/>
    <n v="46"/>
    <n v="42"/>
    <n v="44"/>
    <n v="17.82"/>
    <n v="18"/>
    <n v="17.440000000000001"/>
    <n v="18"/>
    <n v="10"/>
    <n v="10.5"/>
    <n v="9.5"/>
    <n v="10"/>
    <n v="11"/>
    <n v="11.5"/>
    <n v="10.5"/>
    <n v="11"/>
    <s v=""/>
    <s v=""/>
    <s v=""/>
    <s v=""/>
    <s v=""/>
    <s v=""/>
    <s v=""/>
    <s v=""/>
    <s v=""/>
    <s v=""/>
    <s v=""/>
    <s v=""/>
    <n v="1"/>
    <n v="2"/>
    <n v="1"/>
    <n v="1"/>
    <n v="0"/>
    <n v="4"/>
    <n v="11"/>
    <n v="12"/>
    <n v="4"/>
    <n v="2"/>
    <n v="1"/>
    <n v="1"/>
    <n v="0"/>
    <n v="0"/>
    <n v="0"/>
  </r>
  <r>
    <m/>
    <m/>
    <m/>
    <m/>
    <m/>
    <m/>
    <n v="78"/>
    <n v="10"/>
    <n v="50"/>
    <n v="1"/>
    <m/>
    <s v="Leased or Rented"/>
    <s v="Leased or Rented"/>
    <m/>
    <m/>
    <m/>
    <m/>
    <n v="14.36"/>
    <n v="14.36"/>
    <n v="13.85"/>
    <n v="14.36"/>
    <n v="1"/>
    <n v="11.28"/>
    <n v="11.28"/>
    <n v="0"/>
    <n v="10.77"/>
    <n v="2"/>
    <s v="Operations Manager"/>
    <n v="21.25"/>
    <n v="21.25"/>
    <n v="19.579999999999998"/>
    <n v="21.25"/>
    <n v="1"/>
    <s v="Head Of Finance"/>
    <n v="0"/>
    <n v="0"/>
    <n v="0"/>
    <n v="0"/>
    <n v="0.33333333333333331"/>
    <s v="Other manager (specify)"/>
    <n v="0"/>
    <n v="0"/>
    <n v="0"/>
    <n v="0"/>
    <n v="0"/>
    <s v="Care Assistant days"/>
    <n v="9.3000000000000007"/>
    <n v="9.3000000000000007"/>
    <n v="8.92"/>
    <n v="8.92"/>
    <n v="29"/>
    <s v="Care Assistant nights"/>
    <n v="9.9"/>
    <n v="9.9"/>
    <n v="9.5"/>
    <n v="9.5"/>
    <n v="7"/>
    <s v="Senior Care"/>
    <n v="0"/>
    <n v="0"/>
    <n v="9.5"/>
    <n v="0"/>
    <n v="0"/>
    <s v="Care Assistant (specify)"/>
    <n v="0"/>
    <n v="0"/>
    <n v="0"/>
    <n v="0"/>
    <n v="0"/>
    <s v="Administrative Officer (specify)"/>
    <n v="9.74"/>
    <n v="9.74"/>
    <n v="9.6300000000000008"/>
    <n v="9"/>
    <n v="1"/>
    <s v="Administrative Officer (specify)"/>
    <n v="0"/>
    <n v="0"/>
    <n v="0"/>
    <n v="0"/>
    <n v="0"/>
    <s v="Administrative Officer (specify)"/>
    <n v="0"/>
    <n v="0"/>
    <n v="0"/>
    <n v="0"/>
    <n v="0"/>
    <s v="Other staff (specify)"/>
    <n v="0"/>
    <n v="0"/>
    <n v="0"/>
    <n v="0"/>
    <n v="0"/>
    <s v="Other staff (specify)"/>
    <n v="0"/>
    <n v="0"/>
    <n v="0"/>
    <n v="0"/>
    <n v="0"/>
    <s v="Other staff (specify)"/>
    <n v="0"/>
    <n v="0"/>
    <n v="0"/>
    <n v="0"/>
    <n v="0"/>
    <n v="0.03"/>
    <n v="1488.5"/>
    <n v="0"/>
    <n v="8.5"/>
    <n v="0"/>
    <n v="0"/>
    <n v="105"/>
    <n v="0"/>
    <n v="0"/>
    <n v="0"/>
    <n v="0"/>
    <n v="0"/>
    <n v="0"/>
    <n v="15.27"/>
    <n v="16.329999999999998"/>
    <n v="14.64"/>
    <d v="2020-04-01T00:00:00"/>
    <d v="2021-03-31T00:00:00"/>
    <n v="79137"/>
    <n v="107937"/>
    <n v="705248"/>
    <n v="27197"/>
    <n v="11496"/>
    <n v="52524"/>
    <n v="1297"/>
    <n v="1678.96"/>
    <n v="6955.85"/>
    <n v="1700"/>
    <n v="3135.53"/>
    <n v="14408"/>
    <n v="0"/>
    <n v="4865"/>
    <s v="Other - Care scheme charges"/>
    <n v="700"/>
    <s v="Other - please specify"/>
    <n v="0"/>
    <n v="7325"/>
    <n v="0"/>
    <n v="15"/>
    <n v="12000"/>
    <n v="3342"/>
    <n v="0"/>
    <n v="0"/>
    <n v="0"/>
    <s v="Other - please specify"/>
    <n v="0"/>
    <s v="Other - please specify"/>
    <n v="0"/>
    <n v="1672"/>
    <n v="21738"/>
    <s v="Other overheads - please specify"/>
    <n v="0"/>
    <s v="Other overheads - please specify"/>
    <n v="0"/>
    <m/>
    <n v="0"/>
    <n v="0"/>
    <m/>
    <d v="2021-10-11T15:04:14"/>
    <x v="0"/>
    <n v="60"/>
    <x v="11"/>
    <n v="14.36"/>
    <n v="14.36"/>
    <n v="13.85"/>
    <n v="14.36"/>
    <n v="11.28"/>
    <n v="11.28"/>
    <n v="10.77"/>
    <n v="10.77"/>
    <n v="21.25"/>
    <n v="21.25"/>
    <n v="19.579999999999998"/>
    <n v="21.25"/>
    <s v=""/>
    <s v=""/>
    <s v=""/>
    <s v=""/>
    <s v=""/>
    <s v=""/>
    <s v=""/>
    <s v=""/>
    <n v="9.3000000000000007"/>
    <n v="9.3000000000000007"/>
    <n v="8.92"/>
    <n v="8.92"/>
    <n v="9.9"/>
    <n v="9.9"/>
    <n v="9.5"/>
    <n v="9.5"/>
    <s v=""/>
    <s v=""/>
    <n v="9.5"/>
    <n v="9.5"/>
    <s v=""/>
    <s v=""/>
    <s v=""/>
    <s v=""/>
    <n v="9.74"/>
    <n v="9.74"/>
    <n v="9.6300000000000008"/>
    <n v="9"/>
    <s v=""/>
    <s v=""/>
    <s v=""/>
    <s v=""/>
    <s v=""/>
    <s v=""/>
    <s v=""/>
    <s v=""/>
    <s v=""/>
    <s v=""/>
    <s v=""/>
    <s v=""/>
    <s v=""/>
    <s v=""/>
    <s v=""/>
    <s v=""/>
    <s v=""/>
    <s v=""/>
    <s v=""/>
    <s v=""/>
    <n v="14.36"/>
    <n v="14.36"/>
    <n v="13.85"/>
    <n v="14.36"/>
    <n v="11.28"/>
    <n v="11.28"/>
    <n v="10.77"/>
    <n v="10.77"/>
    <n v="21.25"/>
    <n v="21.25"/>
    <n v="19.579999999999998"/>
    <n v="21.25"/>
    <s v=""/>
    <s v=""/>
    <s v=""/>
    <s v=""/>
    <s v=""/>
    <s v=""/>
    <s v=""/>
    <s v=""/>
    <n v="9.3000000000000007"/>
    <n v="9.3000000000000007"/>
    <n v="8.92"/>
    <n v="8.92"/>
    <n v="9.9"/>
    <n v="9.9"/>
    <n v="9.5"/>
    <n v="9.5"/>
    <n v="9.5"/>
    <n v="9.5"/>
    <n v="9.5"/>
    <n v="9.5"/>
    <s v=""/>
    <s v=""/>
    <s v=""/>
    <s v=""/>
    <n v="9.74"/>
    <n v="9.74"/>
    <n v="9.6300000000000008"/>
    <n v="9"/>
    <s v=""/>
    <s v=""/>
    <s v=""/>
    <s v=""/>
    <s v=""/>
    <s v=""/>
    <s v=""/>
    <s v=""/>
    <s v=""/>
    <s v=""/>
    <s v=""/>
    <s v=""/>
    <s v=""/>
    <s v=""/>
    <s v=""/>
    <s v=""/>
    <s v=""/>
    <s v=""/>
    <s v=""/>
    <s v=""/>
    <n v="4.333333333333333"/>
    <n v="36"/>
    <n v="1"/>
    <n v="0"/>
    <n v="41.333333333333336"/>
    <x v="2"/>
    <n v="1602"/>
    <n v="0"/>
    <e v="#VALUE!"/>
    <e v="#VALUE!"/>
    <e v="#VALUE!"/>
    <e v="#VALUE!"/>
    <x v="0"/>
    <n v="914333.80999999994"/>
    <n v="24808.53"/>
    <n v="22682"/>
    <n v="23410"/>
    <n v="1.3639258501080405"/>
    <n v="8.9117353450345611"/>
    <n v="0.34366983838154086"/>
    <n v="0.14526706850145948"/>
    <n v="0.66370976913453883"/>
    <n v="1.6389299569101685E-2"/>
    <n v="2.1215866156159571E-2"/>
    <n v="8.7896306405347693E-2"/>
    <n v="2.1481734207766279E-2"/>
    <n v="3.9621542388516118E-2"/>
    <n v="0.18206401556793914"/>
    <n v="0"/>
    <n v="6.1475668776931142E-2"/>
    <n v="8.8454199679037625E-3"/>
    <n v="0"/>
    <n v="9.2561001806992935E-2"/>
    <n v="0"/>
    <n v="1.8954471359793775E-4"/>
    <n v="0.1516357708783502"/>
    <n v="4.2230562189620534E-2"/>
    <n v="0"/>
    <n v="0"/>
    <n v="0"/>
    <n v="0"/>
    <n v="0"/>
    <n v="2.1127917409050127E-2"/>
    <n v="0.27468819894613139"/>
    <n v="0"/>
    <n v="0"/>
    <n v="12.449730720143549"/>
    <s v=""/>
    <n v="0"/>
    <n v="79"/>
    <x v="0"/>
    <x v="1"/>
    <x v="0"/>
    <x v="1"/>
    <x v="0"/>
    <b v="1"/>
    <b v="0"/>
    <n v="0"/>
    <n v="0"/>
    <n v="0"/>
    <s v=""/>
    <s v=""/>
    <n v="29"/>
    <n v="0"/>
    <s v=""/>
    <s v=""/>
    <n v="0"/>
    <s v=""/>
    <s v=""/>
    <s v=""/>
    <s v=""/>
    <n v="29"/>
    <n v="0"/>
    <n v="0"/>
    <n v="0"/>
    <s v=""/>
    <s v=""/>
    <n v="5.7999999999999794"/>
    <n v="0"/>
    <s v=""/>
    <s v=""/>
    <n v="0"/>
    <s v=""/>
    <s v=""/>
    <s v=""/>
    <s v=""/>
    <b v="0"/>
    <b v="1"/>
    <x v="1"/>
    <n v="11.55380934329075"/>
    <n v="0.31348838090905645"/>
    <n v="0.28661687958856158"/>
    <n v="0.29581611635518151"/>
    <n v="0"/>
    <n v="0"/>
    <n v="0"/>
    <s v=""/>
    <s v=""/>
    <n v="29"/>
    <n v="0"/>
    <s v=""/>
    <s v=""/>
    <n v="1"/>
    <s v=""/>
    <s v=""/>
    <s v=""/>
    <s v=""/>
    <n v="30"/>
    <n v="0"/>
    <n v="0"/>
    <n v="0"/>
    <s v=""/>
    <s v=""/>
    <n v="17.399999999999991"/>
    <n v="0"/>
    <s v=""/>
    <s v=""/>
    <n v="0.16000000000000014"/>
    <s v=""/>
    <s v=""/>
    <s v=""/>
    <s v=""/>
    <n v="14.36"/>
    <n v="14.36"/>
    <n v="13.85"/>
    <n v="14.36"/>
    <n v="22.56"/>
    <n v="22.56"/>
    <n v="21.54"/>
    <n v="21.54"/>
    <n v="21.25"/>
    <n v="21.25"/>
    <n v="19.579999999999998"/>
    <n v="21.25"/>
    <s v=""/>
    <s v=""/>
    <s v=""/>
    <s v=""/>
    <s v=""/>
    <s v=""/>
    <s v=""/>
    <s v=""/>
    <n v="269.70000000000005"/>
    <n v="269.70000000000005"/>
    <n v="258.68"/>
    <n v="258.68"/>
    <n v="69.3"/>
    <n v="69.3"/>
    <n v="66.5"/>
    <n v="66.5"/>
    <s v=""/>
    <s v=""/>
    <s v=""/>
    <s v=""/>
    <s v=""/>
    <s v=""/>
    <s v=""/>
    <s v=""/>
    <n v="9.74"/>
    <n v="9.74"/>
    <n v="9.6300000000000008"/>
    <n v="9"/>
    <s v=""/>
    <s v=""/>
    <s v=""/>
    <s v=""/>
    <s v=""/>
    <s v=""/>
    <s v=""/>
    <s v=""/>
    <s v=""/>
    <s v=""/>
    <s v=""/>
    <s v=""/>
    <s v=""/>
    <s v=""/>
    <s v=""/>
    <s v=""/>
    <s v=""/>
    <s v=""/>
    <s v=""/>
    <s v=""/>
    <n v="1"/>
    <n v="2"/>
    <n v="1"/>
    <n v="0"/>
    <n v="0"/>
    <n v="29"/>
    <n v="7"/>
    <n v="0"/>
    <n v="0"/>
    <n v="1"/>
    <n v="0"/>
    <n v="0"/>
    <n v="0"/>
    <n v="0"/>
    <n v="0"/>
  </r>
  <r>
    <m/>
    <m/>
    <m/>
    <m/>
    <m/>
    <m/>
    <n v="79"/>
    <n v="0"/>
    <n v="0"/>
    <m/>
    <m/>
    <m/>
    <s v="Leased or Rented"/>
    <m/>
    <m/>
    <m/>
    <m/>
    <n v="17"/>
    <n v="22"/>
    <n v="0"/>
    <n v="0"/>
    <n v="0"/>
    <n v="0"/>
    <n v="0"/>
    <n v="0"/>
    <n v="0"/>
    <n v="0"/>
    <s v="Other manager (specify)"/>
    <n v="0"/>
    <n v="0"/>
    <n v="0"/>
    <n v="0"/>
    <n v="0"/>
    <s v="Other manager (specify)"/>
    <n v="0"/>
    <n v="0"/>
    <n v="0"/>
    <n v="0"/>
    <n v="0"/>
    <s v="Other manager (specify)"/>
    <n v="0"/>
    <n v="0"/>
    <n v="0"/>
    <n v="0"/>
    <n v="0"/>
    <s v="Care Assistant (specify)"/>
    <n v="8.5"/>
    <n v="11"/>
    <n v="0"/>
    <n v="0"/>
    <n v="0"/>
    <s v="Care Assistant (specify)"/>
    <n v="0"/>
    <n v="0"/>
    <n v="0"/>
    <n v="0"/>
    <n v="0"/>
    <s v="Care Assistant (specify)"/>
    <n v="0"/>
    <n v="0"/>
    <n v="0"/>
    <n v="0"/>
    <n v="0"/>
    <s v="Care Assistant (specify)"/>
    <n v="0"/>
    <n v="0"/>
    <n v="0"/>
    <n v="0"/>
    <n v="0"/>
    <s v="Administrative Officer (specify)"/>
    <n v="13"/>
    <n v="130"/>
    <n v="0"/>
    <n v="0"/>
    <n v="0"/>
    <s v="Administrative Officer (specify)"/>
    <n v="0"/>
    <n v="0"/>
    <n v="0"/>
    <n v="0"/>
    <n v="0"/>
    <s v="Administrative Officer (specify)"/>
    <n v="0"/>
    <n v="0"/>
    <n v="0"/>
    <n v="0"/>
    <n v="0"/>
    <s v="Other staff (specify)"/>
    <n v="0"/>
    <n v="0"/>
    <n v="0"/>
    <n v="0"/>
    <n v="0"/>
    <s v="Other staff (specify)"/>
    <n v="0"/>
    <n v="0"/>
    <n v="0"/>
    <n v="0"/>
    <n v="0"/>
    <s v="Other staff (specify)"/>
    <n v="0"/>
    <n v="0"/>
    <n v="0"/>
    <n v="0"/>
    <n v="0"/>
    <n v="0.03"/>
    <n v="0"/>
    <n v="0"/>
    <n v="0"/>
    <n v="0"/>
    <n v="0"/>
    <n v="0"/>
    <n v="0"/>
    <n v="0"/>
    <n v="0"/>
    <n v="0"/>
    <n v="0"/>
    <n v="0"/>
    <n v="0"/>
    <n v="0"/>
    <n v="0"/>
    <s v="dd/mm/yyyy"/>
    <s v="dd/mm/yyyy"/>
    <n v="0"/>
    <n v="0"/>
    <n v="0"/>
    <n v="0"/>
    <n v="0"/>
    <n v="0"/>
    <n v="0"/>
    <n v="0"/>
    <n v="0"/>
    <n v="0"/>
    <n v="0"/>
    <n v="0"/>
    <n v="0"/>
    <n v="0"/>
    <s v="Other - please specify"/>
    <n v="0"/>
    <s v="Other - please specify"/>
    <n v="0"/>
    <n v="0"/>
    <n v="0"/>
    <n v="0"/>
    <n v="0"/>
    <n v="0"/>
    <n v="0"/>
    <n v="0"/>
    <n v="0"/>
    <s v="Other - please specify"/>
    <n v="0"/>
    <s v="Other - please specify"/>
    <n v="0"/>
    <n v="0"/>
    <n v="0"/>
    <s v="Other overheads - please specify"/>
    <n v="0"/>
    <s v="Other overheads - please specify"/>
    <n v="0"/>
    <m/>
    <n v="0"/>
    <n v="0"/>
    <m/>
    <d v="2021-10-11T15:04:17"/>
    <x v="0"/>
    <n v="0"/>
    <x v="12"/>
    <n v="17"/>
    <n v="22"/>
    <s v=""/>
    <s v=""/>
    <s v=""/>
    <s v=""/>
    <s v=""/>
    <s v=""/>
    <s v=""/>
    <s v=""/>
    <s v=""/>
    <s v=""/>
    <s v=""/>
    <s v=""/>
    <s v=""/>
    <s v=""/>
    <s v=""/>
    <s v=""/>
    <s v=""/>
    <s v=""/>
    <n v="8.5"/>
    <n v="11"/>
    <s v=""/>
    <s v=""/>
    <s v=""/>
    <s v=""/>
    <s v=""/>
    <s v=""/>
    <s v=""/>
    <s v=""/>
    <s v=""/>
    <s v=""/>
    <s v=""/>
    <s v=""/>
    <s v=""/>
    <s v=""/>
    <n v="13"/>
    <n v="130"/>
    <s v=""/>
    <s v=""/>
    <s v=""/>
    <s v=""/>
    <s v=""/>
    <s v=""/>
    <s v=""/>
    <s v=""/>
    <s v=""/>
    <s v=""/>
    <s v=""/>
    <s v=""/>
    <s v=""/>
    <s v=""/>
    <s v=""/>
    <s v=""/>
    <s v=""/>
    <s v=""/>
    <s v=""/>
    <s v=""/>
    <s v=""/>
    <s v=""/>
    <n v="17"/>
    <n v="22"/>
    <n v="17"/>
    <n v="22"/>
    <s v=""/>
    <s v=""/>
    <s v=""/>
    <s v=""/>
    <s v=""/>
    <s v=""/>
    <s v=""/>
    <s v=""/>
    <s v=""/>
    <s v=""/>
    <s v=""/>
    <s v=""/>
    <s v=""/>
    <s v=""/>
    <s v=""/>
    <s v=""/>
    <n v="8.5"/>
    <n v="11"/>
    <n v="8.5"/>
    <n v="11"/>
    <s v=""/>
    <s v=""/>
    <s v=""/>
    <s v=""/>
    <s v=""/>
    <s v=""/>
    <s v=""/>
    <s v=""/>
    <s v=""/>
    <s v=""/>
    <s v=""/>
    <s v=""/>
    <n v="13"/>
    <n v="130"/>
    <n v="13"/>
    <n v="130"/>
    <s v=""/>
    <s v=""/>
    <s v=""/>
    <s v=""/>
    <s v=""/>
    <s v=""/>
    <s v=""/>
    <s v=""/>
    <s v=""/>
    <s v=""/>
    <s v=""/>
    <s v=""/>
    <s v=""/>
    <s v=""/>
    <s v=""/>
    <s v=""/>
    <s v=""/>
    <s v=""/>
    <s v=""/>
    <s v=""/>
    <n v="0"/>
    <n v="0"/>
    <n v="0"/>
    <n v="0"/>
    <n v="0"/>
    <x v="1"/>
    <n v="0"/>
    <n v="0"/>
    <e v="#VALUE!"/>
    <e v="#VALUE!"/>
    <e v="#VALUE!"/>
    <e v="#VALUE!"/>
    <x v="1"/>
    <n v="0"/>
    <n v="0"/>
    <n v="0"/>
    <n v="0"/>
    <n v="0"/>
    <n v="0"/>
    <n v="0"/>
    <n v="0"/>
    <n v="0"/>
    <n v="0"/>
    <n v="0"/>
    <n v="0"/>
    <n v="0"/>
    <n v="0"/>
    <n v="0"/>
    <n v="0"/>
    <n v="0"/>
    <n v="0"/>
    <n v="0"/>
    <n v="0"/>
    <n v="0"/>
    <n v="0"/>
    <n v="0"/>
    <n v="0"/>
    <n v="0"/>
    <n v="0"/>
    <n v="0"/>
    <n v="0"/>
    <n v="0"/>
    <n v="0"/>
    <n v="0"/>
    <n v="0"/>
    <n v="0"/>
    <n v="0"/>
    <s v=""/>
    <n v="0"/>
    <n v="80"/>
    <x v="0"/>
    <x v="0"/>
    <x v="1"/>
    <x v="0"/>
    <x v="0"/>
    <b v="0"/>
    <b v="1"/>
    <n v="0"/>
    <s v=""/>
    <s v=""/>
    <s v=""/>
    <s v=""/>
    <n v="0"/>
    <s v=""/>
    <s v=""/>
    <s v=""/>
    <n v="0"/>
    <s v=""/>
    <s v=""/>
    <s v=""/>
    <s v=""/>
    <n v="0"/>
    <n v="0"/>
    <s v=""/>
    <s v=""/>
    <s v=""/>
    <s v=""/>
    <n v="0"/>
    <s v=""/>
    <s v=""/>
    <s v=""/>
    <n v="0"/>
    <s v=""/>
    <s v=""/>
    <s v=""/>
    <s v=""/>
    <b v="0"/>
    <b v="1"/>
    <x v="1"/>
    <n v="0"/>
    <n v="0"/>
    <n v="0"/>
    <n v="0"/>
    <n v="0"/>
    <s v=""/>
    <s v=""/>
    <s v=""/>
    <s v=""/>
    <n v="0"/>
    <s v=""/>
    <s v=""/>
    <s v=""/>
    <n v="0"/>
    <s v=""/>
    <s v=""/>
    <s v=""/>
    <s v=""/>
    <n v="0"/>
    <n v="0"/>
    <s v=""/>
    <s v=""/>
    <s v=""/>
    <s v=""/>
    <n v="0"/>
    <s v=""/>
    <s v=""/>
    <s v=""/>
    <n v="0"/>
    <s v=""/>
    <s v=""/>
    <s v=""/>
    <s v=""/>
    <s v=""/>
    <s v=""/>
    <s v=""/>
    <s v=""/>
    <s v=""/>
    <s v=""/>
    <s v=""/>
    <s v=""/>
    <s v=""/>
    <s v=""/>
    <s v=""/>
    <s v=""/>
    <s v=""/>
    <s v=""/>
    <s v=""/>
    <s v=""/>
    <s v=""/>
    <s v=""/>
    <s v=""/>
    <s v=""/>
    <s v=""/>
    <s v=""/>
    <s v=""/>
    <s v=""/>
    <s v=""/>
    <s v=""/>
    <s v=""/>
    <s v=""/>
    <s v=""/>
    <s v=""/>
    <s v=""/>
    <s v=""/>
    <s v=""/>
    <s v=""/>
    <s v=""/>
    <s v=""/>
    <s v=""/>
    <s v=""/>
    <s v=""/>
    <s v=""/>
    <s v=""/>
    <s v=""/>
    <s v=""/>
    <s v=""/>
    <s v=""/>
    <s v=""/>
    <s v=""/>
    <s v=""/>
    <s v=""/>
    <s v=""/>
    <s v=""/>
    <s v=""/>
    <s v=""/>
    <s v=""/>
    <s v=""/>
    <s v=""/>
    <s v=""/>
    <s v=""/>
    <s v=""/>
    <s v=""/>
    <n v="0"/>
    <n v="0"/>
    <n v="0"/>
    <n v="0"/>
    <n v="0"/>
    <n v="0"/>
    <n v="0"/>
    <n v="0"/>
    <n v="0"/>
    <n v="0"/>
    <n v="0"/>
    <n v="0"/>
    <n v="0"/>
    <n v="0"/>
    <n v="0"/>
  </r>
  <r>
    <m/>
    <m/>
    <m/>
    <m/>
    <m/>
    <m/>
    <n v="80"/>
    <s v="N/A"/>
    <n v="22"/>
    <m/>
    <n v="1"/>
    <s v="Mortgaged"/>
    <s v="Mortgaged"/>
    <m/>
    <m/>
    <m/>
    <m/>
    <n v="19.62"/>
    <n v="19.62"/>
    <n v="19.329999999999998"/>
    <n v="19.329999999999998"/>
    <n v="1"/>
    <n v="0"/>
    <n v="0"/>
    <n v="0"/>
    <n v="0"/>
    <n v="0"/>
    <s v="Senior Care Assistant"/>
    <n v="9.7100000000000009"/>
    <n v="9.7100000000000009"/>
    <n v="9.57"/>
    <n v="9.57"/>
    <n v="1"/>
    <s v="Other manager (specify)"/>
    <n v="0"/>
    <n v="0"/>
    <n v="0"/>
    <n v="0"/>
    <n v="0"/>
    <s v="Other manager (specify)"/>
    <n v="0"/>
    <n v="0"/>
    <n v="0"/>
    <n v="0"/>
    <n v="0"/>
    <s v="Care Assistant "/>
    <n v="9.11"/>
    <n v="9.3000000000000007"/>
    <n v="8.92"/>
    <n v="9.51"/>
    <n v="8"/>
    <s v="Care Assistant (specify)"/>
    <n v="0"/>
    <n v="0"/>
    <n v="0"/>
    <n v="0"/>
    <n v="0"/>
    <s v="Care Assistant (specify)"/>
    <n v="0"/>
    <n v="0"/>
    <n v="0"/>
    <n v="0"/>
    <n v="0"/>
    <s v="Care Assistant (specify)"/>
    <n v="0"/>
    <n v="0"/>
    <n v="0"/>
    <n v="0"/>
    <n v="0"/>
    <s v="Administrative Officer"/>
    <n v="11.19"/>
    <n v="11.19"/>
    <n v="10.96"/>
    <n v="10.96"/>
    <n v="0.6"/>
    <s v="Administrative Officer (specify)"/>
    <n v="0"/>
    <n v="0"/>
    <n v="0"/>
    <n v="0"/>
    <n v="0"/>
    <s v="Administrative Officer (specify)"/>
    <n v="0"/>
    <n v="0"/>
    <n v="0"/>
    <n v="0"/>
    <n v="0"/>
    <s v="Handyman"/>
    <n v="8.82"/>
    <n v="8.82"/>
    <n v="8.69"/>
    <n v="8.69"/>
    <n v="0.43"/>
    <s v="Domestic assistant"/>
    <n v="8.82"/>
    <n v="9.02"/>
    <n v="8.69"/>
    <n v="8.89"/>
    <n v="0"/>
    <s v="Other staff (specify)"/>
    <n v="0"/>
    <n v="0"/>
    <n v="0"/>
    <n v="0"/>
    <n v="0"/>
    <n v="0.13"/>
    <n v="0"/>
    <n v="0"/>
    <n v="0"/>
    <n v="0"/>
    <n v="0"/>
    <n v="0"/>
    <n v="230"/>
    <n v="0"/>
    <n v="0"/>
    <n v="0"/>
    <n v="0"/>
    <n v="81.5"/>
    <n v="0"/>
    <n v="15.58"/>
    <n v="0"/>
    <d v="2020-04-01T00:00:00"/>
    <d v="2021-03-31T00:00:00"/>
    <n v="16179.75"/>
    <n v="65152.58"/>
    <n v="256306.63"/>
    <n v="12700.15"/>
    <n v="25589.31"/>
    <n v="3173.83"/>
    <n v="903.69"/>
    <n v="0"/>
    <n v="6303.75"/>
    <n v="4202.5"/>
    <n v="200"/>
    <n v="12166.18"/>
    <n v="0"/>
    <n v="3474.5"/>
    <s v="Other - please specify"/>
    <n v="0"/>
    <s v="Other - please specify"/>
    <n v="0"/>
    <n v="3310.63"/>
    <n v="80959.679999999993"/>
    <n v="112129.93"/>
    <n v="0"/>
    <n v="1454.94"/>
    <n v="0"/>
    <n v="48243.078500000003"/>
    <n v="2736.24"/>
    <s v="Office costs &amp; Supplies"/>
    <n v="7837.31"/>
    <s v="Other property costs"/>
    <n v="51729.64"/>
    <n v="34297.464"/>
    <n v="22864.975999999999"/>
    <s v="Other overheads - please specify"/>
    <n v="0"/>
    <s v="Other overheads - please specify"/>
    <n v="0"/>
    <m/>
    <n v="0"/>
    <n v="0"/>
    <m/>
    <d v="2021-10-11T15:04:19"/>
    <x v="0"/>
    <n v="22"/>
    <x v="2"/>
    <n v="19.62"/>
    <n v="19.62"/>
    <n v="19.329999999999998"/>
    <n v="19.329999999999998"/>
    <s v=""/>
    <s v=""/>
    <s v=""/>
    <s v=""/>
    <n v="9.7100000000000009"/>
    <n v="9.7100000000000009"/>
    <n v="9.57"/>
    <n v="9.57"/>
    <s v=""/>
    <s v=""/>
    <s v=""/>
    <s v=""/>
    <s v=""/>
    <s v=""/>
    <s v=""/>
    <s v=""/>
    <n v="9.11"/>
    <n v="9.3000000000000007"/>
    <n v="8.92"/>
    <n v="9.51"/>
    <s v=""/>
    <s v=""/>
    <s v=""/>
    <s v=""/>
    <s v=""/>
    <s v=""/>
    <s v=""/>
    <s v=""/>
    <s v=""/>
    <s v=""/>
    <s v=""/>
    <s v=""/>
    <n v="11.19"/>
    <n v="11.19"/>
    <n v="10.96"/>
    <n v="10.96"/>
    <s v=""/>
    <s v=""/>
    <s v=""/>
    <s v=""/>
    <s v=""/>
    <s v=""/>
    <s v=""/>
    <s v=""/>
    <n v="8.82"/>
    <n v="8.82"/>
    <n v="8.69"/>
    <n v="8.69"/>
    <n v="8.82"/>
    <n v="9.02"/>
    <n v="8.69"/>
    <n v="8.89"/>
    <s v=""/>
    <s v=""/>
    <s v=""/>
    <s v=""/>
    <n v="19.62"/>
    <n v="19.62"/>
    <n v="19.329999999999998"/>
    <n v="19.329999999999998"/>
    <s v=""/>
    <s v=""/>
    <s v=""/>
    <s v=""/>
    <n v="9.7100000000000009"/>
    <n v="9.7100000000000009"/>
    <n v="9.57"/>
    <n v="9.57"/>
    <s v=""/>
    <s v=""/>
    <s v=""/>
    <s v=""/>
    <s v=""/>
    <s v=""/>
    <s v=""/>
    <s v=""/>
    <n v="9.11"/>
    <n v="9.3000000000000007"/>
    <n v="8.92"/>
    <n v="9.51"/>
    <s v=""/>
    <s v=""/>
    <s v=""/>
    <s v=""/>
    <s v=""/>
    <s v=""/>
    <s v=""/>
    <s v=""/>
    <s v=""/>
    <s v=""/>
    <s v=""/>
    <s v=""/>
    <n v="11.19"/>
    <n v="11.19"/>
    <n v="10.96"/>
    <n v="10.96"/>
    <s v=""/>
    <s v=""/>
    <s v=""/>
    <s v=""/>
    <s v=""/>
    <s v=""/>
    <s v=""/>
    <s v=""/>
    <n v="8.82"/>
    <n v="8.82"/>
    <n v="8.69"/>
    <n v="8.69"/>
    <n v="8.82"/>
    <n v="9.02"/>
    <n v="8.69"/>
    <n v="8.89"/>
    <s v=""/>
    <s v=""/>
    <s v=""/>
    <s v=""/>
    <n v="2"/>
    <n v="8"/>
    <n v="0.6"/>
    <n v="0.43"/>
    <n v="11.03"/>
    <x v="0"/>
    <n v="0"/>
    <n v="311.5"/>
    <e v="#VALUE!"/>
    <e v="#VALUE!"/>
    <e v="#VALUE!"/>
    <e v="#VALUE!"/>
    <x v="0"/>
    <n v="370129.94000000006"/>
    <n v="20043.18"/>
    <n v="308401.4485"/>
    <n v="57162.44"/>
    <n v="4.0267976946491757"/>
    <n v="15.841198411594741"/>
    <n v="0.78494105285928395"/>
    <n v="1.581563992027071"/>
    <n v="0.19616063288987778"/>
    <n v="5.585314977054652E-2"/>
    <n v="0"/>
    <n v="0.38960737959486397"/>
    <n v="0.25973825306324261"/>
    <n v="1.2361130425377401E-2"/>
    <n v="0.75193868879309012"/>
    <n v="0"/>
    <n v="0.2147437383148689"/>
    <n v="0"/>
    <n v="0"/>
    <n v="0.20461564610083594"/>
    <n v="5.0037658183840907"/>
    <n v="6.9302634465921908"/>
    <n v="0"/>
    <n v="8.9923515505492976E-2"/>
    <n v="0"/>
    <n v="2.9816949273011017"/>
    <n v="0.16911509757567328"/>
    <n v="0.48439005547057279"/>
    <n v="3.197184134489099"/>
    <n v="2.1197771288184306"/>
    <n v="1.4131847525456203"/>
    <n v="0"/>
    <n v="0"/>
    <n v="46.708818646765238"/>
    <s v=""/>
    <n v="0"/>
    <n v="81"/>
    <x v="0"/>
    <x v="1"/>
    <x v="0"/>
    <x v="0"/>
    <x v="1"/>
    <b v="0"/>
    <b v="0"/>
    <n v="0"/>
    <s v=""/>
    <n v="0"/>
    <s v=""/>
    <s v=""/>
    <n v="8"/>
    <s v=""/>
    <s v=""/>
    <s v=""/>
    <n v="0"/>
    <s v=""/>
    <n v="0.43"/>
    <n v="0"/>
    <s v=""/>
    <n v="8.43"/>
    <n v="0"/>
    <s v=""/>
    <n v="0"/>
    <s v=""/>
    <s v=""/>
    <n v="2.3599999999999994"/>
    <s v=""/>
    <s v=""/>
    <s v=""/>
    <n v="0"/>
    <s v=""/>
    <n v="0.29239999999999988"/>
    <n v="0"/>
    <s v=""/>
    <b v="0"/>
    <b v="1"/>
    <x v="1"/>
    <n v="22.876122313385558"/>
    <n v="1.2387818105965791"/>
    <n v="19.060952641419057"/>
    <n v="3.5329618813640509"/>
    <n v="0"/>
    <s v=""/>
    <n v="1"/>
    <s v=""/>
    <s v=""/>
    <n v="8"/>
    <s v=""/>
    <s v=""/>
    <s v=""/>
    <n v="0"/>
    <s v=""/>
    <n v="0.43"/>
    <n v="0"/>
    <s v=""/>
    <n v="9.43"/>
    <n v="0"/>
    <s v=""/>
    <n v="0.1899999999999995"/>
    <s v=""/>
    <s v=""/>
    <n v="5.5600000000000023"/>
    <s v=""/>
    <s v=""/>
    <s v=""/>
    <n v="0"/>
    <s v=""/>
    <n v="0.46440000000000003"/>
    <n v="0"/>
    <s v=""/>
    <n v="19.62"/>
    <n v="19.62"/>
    <n v="19.329999999999998"/>
    <n v="19.329999999999998"/>
    <s v=""/>
    <s v=""/>
    <s v=""/>
    <s v=""/>
    <n v="9.7100000000000009"/>
    <n v="9.7100000000000009"/>
    <n v="9.57"/>
    <n v="9.57"/>
    <s v=""/>
    <s v=""/>
    <s v=""/>
    <s v=""/>
    <s v=""/>
    <s v=""/>
    <s v=""/>
    <s v=""/>
    <n v="72.88"/>
    <n v="74.400000000000006"/>
    <n v="71.36"/>
    <n v="76.08"/>
    <s v=""/>
    <s v=""/>
    <s v=""/>
    <s v=""/>
    <s v=""/>
    <s v=""/>
    <s v=""/>
    <s v=""/>
    <s v=""/>
    <s v=""/>
    <s v=""/>
    <s v=""/>
    <n v="6.7139999999999995"/>
    <n v="6.7139999999999995"/>
    <n v="6.5760000000000005"/>
    <n v="6.5760000000000005"/>
    <s v=""/>
    <s v=""/>
    <s v=""/>
    <s v=""/>
    <s v=""/>
    <s v=""/>
    <s v=""/>
    <s v=""/>
    <n v="3.7926000000000002"/>
    <n v="3.7926000000000002"/>
    <n v="3.7366999999999999"/>
    <n v="3.7366999999999999"/>
    <s v=""/>
    <s v=""/>
    <s v=""/>
    <s v=""/>
    <s v=""/>
    <s v=""/>
    <s v=""/>
    <s v=""/>
    <n v="1"/>
    <n v="0"/>
    <n v="1"/>
    <n v="0"/>
    <n v="0"/>
    <n v="8"/>
    <n v="0"/>
    <n v="0"/>
    <n v="0"/>
    <n v="0.6"/>
    <n v="0"/>
    <n v="0"/>
    <n v="0.43"/>
    <n v="0"/>
    <n v="0"/>
  </r>
  <r>
    <m/>
    <m/>
    <m/>
    <m/>
    <m/>
    <m/>
    <n v="81"/>
    <n v="0"/>
    <n v="2"/>
    <n v="0"/>
    <n v="1"/>
    <s v="Leased or Rented"/>
    <s v="Owned outright"/>
    <m/>
    <m/>
    <m/>
    <m/>
    <n v="21.98"/>
    <n v="21.98"/>
    <n v="21.71"/>
    <n v="21.71"/>
    <n v="1"/>
    <n v="15.85"/>
    <n v="15.85"/>
    <n v="0"/>
    <n v="0"/>
    <n v="1"/>
    <s v="Other manager (specify)"/>
    <n v="0"/>
    <n v="0"/>
    <n v="0"/>
    <n v="0"/>
    <n v="0"/>
    <s v="Other manager (specify)"/>
    <n v="0"/>
    <n v="0"/>
    <n v="0"/>
    <n v="0"/>
    <n v="0"/>
    <s v="Other manager (specify)"/>
    <n v="0"/>
    <n v="0"/>
    <n v="0"/>
    <n v="0"/>
    <n v="0"/>
    <s v="PBS support worker"/>
    <n v="9.99"/>
    <n v="10.87"/>
    <n v="9.7200000000000006"/>
    <n v="10.74"/>
    <n v="12"/>
    <s v="PBS team leader"/>
    <n v="12.79"/>
    <n v="12.79"/>
    <n v="0"/>
    <n v="0"/>
    <n v="2"/>
    <s v="Care Assistant (specify)"/>
    <n v="0"/>
    <n v="0"/>
    <n v="0"/>
    <n v="0"/>
    <n v="0"/>
    <s v="Care Assistant (specify)"/>
    <n v="0"/>
    <n v="0"/>
    <n v="0"/>
    <n v="0"/>
    <n v="0"/>
    <s v="Administrative Officer (specify)"/>
    <n v="0"/>
    <n v="0"/>
    <n v="0"/>
    <n v="0"/>
    <n v="0"/>
    <s v="Administrative Officer (specify)"/>
    <n v="0"/>
    <n v="0"/>
    <n v="0"/>
    <n v="0"/>
    <n v="0"/>
    <s v="Administrative Officer (specify)"/>
    <n v="0"/>
    <n v="0"/>
    <n v="0"/>
    <n v="0"/>
    <n v="0"/>
    <s v="Clinical governance lead"/>
    <n v="23.53"/>
    <n v="23.53"/>
    <n v="23.53"/>
    <n v="23.53"/>
    <n v="1"/>
    <s v="PBS regional "/>
    <n v="28.13"/>
    <n v="28.13"/>
    <n v="0"/>
    <n v="0"/>
    <n v="1"/>
    <s v="OT"/>
    <n v="26.59"/>
    <n v="26.59"/>
    <n v="26.59"/>
    <n v="26.59"/>
    <n v="1"/>
    <m/>
    <n v="0"/>
    <n v="0"/>
    <n v="0"/>
    <n v="0"/>
    <n v="0"/>
    <n v="0"/>
    <m/>
    <n v="0"/>
    <n v="203"/>
    <n v="336"/>
    <n v="0"/>
    <n v="0"/>
    <n v="22.28"/>
    <n v="0"/>
    <n v="22.62"/>
    <d v="2020-04-01T00:00:00"/>
    <d v="2021-03-01T00:00:00"/>
    <d v="1899-12-30T00:00:00"/>
    <n v="111431"/>
    <n v="119743"/>
    <n v="30"/>
    <n v="0"/>
    <n v="17332"/>
    <n v="1807"/>
    <n v="1807"/>
    <n v="18654"/>
    <n v="0"/>
    <n v="0"/>
    <n v="1381"/>
    <n v="0"/>
    <n v="196"/>
    <s v="Other - please specify subscriptions"/>
    <m/>
    <s v="Other - please specify"/>
    <n v="0"/>
    <n v="196"/>
    <n v="0"/>
    <n v="0"/>
    <n v="0"/>
    <n v="57.5"/>
    <n v="188"/>
    <n v="0"/>
    <n v="0"/>
    <s v="Other - please specify"/>
    <n v="0"/>
    <s v="Other - please specify"/>
    <n v="0"/>
    <n v="0"/>
    <n v="0"/>
    <s v="Other overheads - please specify"/>
    <n v="0"/>
    <s v="Other overheads - please specify"/>
    <n v="0"/>
    <m/>
    <n v="0"/>
    <n v="0"/>
    <m/>
    <d v="2021-10-27T11:50:05"/>
    <x v="0"/>
    <n v="2"/>
    <x v="0"/>
    <n v="21.98"/>
    <n v="21.98"/>
    <n v="21.71"/>
    <n v="21.71"/>
    <n v="15.85"/>
    <n v="15.85"/>
    <s v=""/>
    <s v=""/>
    <s v=""/>
    <s v=""/>
    <s v=""/>
    <s v=""/>
    <s v=""/>
    <s v=""/>
    <s v=""/>
    <s v=""/>
    <s v=""/>
    <s v=""/>
    <s v=""/>
    <s v=""/>
    <n v="9.99"/>
    <n v="10.87"/>
    <n v="9.7200000000000006"/>
    <n v="10.74"/>
    <n v="12.79"/>
    <n v="12.79"/>
    <s v=""/>
    <s v=""/>
    <s v=""/>
    <s v=""/>
    <s v=""/>
    <s v=""/>
    <s v=""/>
    <s v=""/>
    <s v=""/>
    <s v=""/>
    <s v=""/>
    <s v=""/>
    <s v=""/>
    <s v=""/>
    <s v=""/>
    <s v=""/>
    <s v=""/>
    <s v=""/>
    <s v=""/>
    <s v=""/>
    <s v=""/>
    <s v=""/>
    <n v="23.53"/>
    <n v="23.53"/>
    <n v="23.53"/>
    <n v="23.53"/>
    <n v="28.13"/>
    <n v="28.13"/>
    <s v=""/>
    <s v=""/>
    <n v="26.59"/>
    <n v="26.59"/>
    <n v="26.59"/>
    <n v="26.59"/>
    <n v="21.98"/>
    <n v="21.98"/>
    <n v="21.71"/>
    <n v="21.71"/>
    <n v="15.85"/>
    <n v="15.85"/>
    <n v="15.85"/>
    <n v="15.85"/>
    <s v=""/>
    <s v=""/>
    <s v=""/>
    <s v=""/>
    <s v=""/>
    <s v=""/>
    <s v=""/>
    <s v=""/>
    <s v=""/>
    <s v=""/>
    <s v=""/>
    <s v=""/>
    <n v="9.99"/>
    <n v="10.87"/>
    <n v="9.7200000000000006"/>
    <n v="10.74"/>
    <n v="12.79"/>
    <n v="12.79"/>
    <n v="12.79"/>
    <n v="12.79"/>
    <s v=""/>
    <s v=""/>
    <s v=""/>
    <s v=""/>
    <s v=""/>
    <s v=""/>
    <s v=""/>
    <s v=""/>
    <s v=""/>
    <s v=""/>
    <s v=""/>
    <s v=""/>
    <s v=""/>
    <s v=""/>
    <s v=""/>
    <s v=""/>
    <s v=""/>
    <s v=""/>
    <s v=""/>
    <s v=""/>
    <n v="23.53"/>
    <n v="23.53"/>
    <n v="23.53"/>
    <n v="23.53"/>
    <n v="28.13"/>
    <n v="28.13"/>
    <n v="28.13"/>
    <n v="28.13"/>
    <n v="26.59"/>
    <n v="26.59"/>
    <n v="26.59"/>
    <n v="26.59"/>
    <n v="2"/>
    <n v="14"/>
    <n v="0"/>
    <n v="3"/>
    <n v="19"/>
    <x v="0"/>
    <n v="0"/>
    <n v="539"/>
    <n v="21.71"/>
    <n v="21.71"/>
    <n v="21.71"/>
    <n v="37.83"/>
    <x v="0"/>
    <n v="270804"/>
    <n v="1577"/>
    <n v="441.5"/>
    <n v="0"/>
    <n v="0"/>
    <n v="0"/>
    <n v="0"/>
    <n v="0"/>
    <n v="0"/>
    <n v="0"/>
    <n v="0"/>
    <n v="0"/>
    <n v="0"/>
    <n v="0"/>
    <n v="0"/>
    <n v="0"/>
    <n v="0"/>
    <n v="0"/>
    <n v="0"/>
    <n v="0"/>
    <n v="0"/>
    <n v="0"/>
    <n v="0"/>
    <n v="0"/>
    <n v="0"/>
    <n v="0"/>
    <n v="0"/>
    <n v="0"/>
    <n v="0"/>
    <n v="0"/>
    <n v="0"/>
    <n v="0"/>
    <n v="0"/>
    <n v="0"/>
    <s v=""/>
    <n v="0"/>
    <n v="83"/>
    <x v="0"/>
    <x v="0"/>
    <x v="0"/>
    <x v="0"/>
    <x v="1"/>
    <b v="0"/>
    <b v="1"/>
    <n v="0"/>
    <n v="0"/>
    <s v=""/>
    <s v=""/>
    <s v=""/>
    <n v="0"/>
    <n v="0"/>
    <s v=""/>
    <s v=""/>
    <s v=""/>
    <s v=""/>
    <n v="0"/>
    <n v="0"/>
    <n v="0"/>
    <n v="0"/>
    <n v="0"/>
    <n v="0"/>
    <s v=""/>
    <s v=""/>
    <s v=""/>
    <n v="0"/>
    <n v="0"/>
    <s v=""/>
    <s v=""/>
    <s v=""/>
    <s v=""/>
    <n v="0"/>
    <n v="0"/>
    <n v="0"/>
    <b v="1"/>
    <b v="1"/>
    <x v="3"/>
    <n v="0"/>
    <n v="0"/>
    <n v="0"/>
    <n v="0"/>
    <n v="0"/>
    <n v="0"/>
    <s v=""/>
    <s v=""/>
    <s v=""/>
    <n v="0"/>
    <n v="0"/>
    <s v=""/>
    <s v=""/>
    <s v=""/>
    <s v=""/>
    <n v="0"/>
    <n v="0"/>
    <n v="0"/>
    <n v="0"/>
    <n v="0"/>
    <n v="0"/>
    <s v=""/>
    <s v=""/>
    <s v=""/>
    <n v="0"/>
    <n v="0"/>
    <s v=""/>
    <s v=""/>
    <s v=""/>
    <s v=""/>
    <n v="0"/>
    <n v="0"/>
    <n v="0"/>
    <n v="21.98"/>
    <n v="21.98"/>
    <n v="21.71"/>
    <n v="21.71"/>
    <n v="15.85"/>
    <n v="15.85"/>
    <n v="15.85"/>
    <n v="15.85"/>
    <s v=""/>
    <s v=""/>
    <s v=""/>
    <s v=""/>
    <s v=""/>
    <s v=""/>
    <s v=""/>
    <s v=""/>
    <s v=""/>
    <s v=""/>
    <s v=""/>
    <s v=""/>
    <n v="119.88"/>
    <n v="130.44"/>
    <n v="116.64000000000001"/>
    <n v="128.88"/>
    <n v="25.58"/>
    <n v="25.58"/>
    <n v="25.58"/>
    <n v="25.58"/>
    <s v=""/>
    <s v=""/>
    <s v=""/>
    <s v=""/>
    <s v=""/>
    <s v=""/>
    <s v=""/>
    <s v=""/>
    <s v=""/>
    <s v=""/>
    <s v=""/>
    <s v=""/>
    <s v=""/>
    <s v=""/>
    <s v=""/>
    <s v=""/>
    <s v=""/>
    <s v=""/>
    <s v=""/>
    <s v=""/>
    <n v="23.53"/>
    <n v="23.53"/>
    <n v="23.53"/>
    <n v="23.53"/>
    <n v="28.13"/>
    <n v="28.13"/>
    <n v="28.13"/>
    <n v="28.13"/>
    <n v="26.59"/>
    <n v="26.59"/>
    <n v="26.59"/>
    <n v="26.59"/>
    <n v="1"/>
    <n v="1"/>
    <n v="0"/>
    <n v="0"/>
    <n v="0"/>
    <n v="12"/>
    <n v="2"/>
    <n v="0"/>
    <n v="0"/>
    <n v="0"/>
    <n v="0"/>
    <n v="0"/>
    <n v="1"/>
    <n v="1"/>
    <n v="1"/>
  </r>
  <r>
    <m/>
    <m/>
    <m/>
    <m/>
    <m/>
    <m/>
    <n v="82"/>
    <n v="1"/>
    <n v="4"/>
    <n v="0.1"/>
    <n v="0.9"/>
    <s v="Mortgaged"/>
    <s v="Mortgaged"/>
    <m/>
    <m/>
    <m/>
    <m/>
    <n v="30"/>
    <n v="0"/>
    <n v="0"/>
    <n v="0"/>
    <n v="1"/>
    <n v="25"/>
    <n v="0"/>
    <n v="0"/>
    <n v="0"/>
    <n v="1"/>
    <s v="Other manager Office"/>
    <n v="15.5"/>
    <n v="15.5"/>
    <n v="10"/>
    <n v="10"/>
    <n v="2"/>
    <s v="Other manager (specify)"/>
    <n v="0"/>
    <n v="0"/>
    <n v="0"/>
    <n v="0"/>
    <n v="0"/>
    <s v="Other manager (specify)"/>
    <n v="0"/>
    <n v="0"/>
    <n v="0"/>
    <n v="0"/>
    <n v="0"/>
    <s v="Care Assistant/driver/team leader"/>
    <n v="9.25"/>
    <n v="9.25"/>
    <n v="9.1999999999999993"/>
    <n v="9.1999999999999993"/>
    <n v="1"/>
    <s v="Care Assistant/ team leader"/>
    <n v="9.0500000000000007"/>
    <n v="9.0500000000000007"/>
    <n v="9"/>
    <n v="9"/>
    <n v="1"/>
    <s v="Care Assistant /driver"/>
    <n v="9.0500000000000007"/>
    <n v="9.0500000000000007"/>
    <n v="8.9"/>
    <n v="8.9"/>
    <n v="2"/>
    <s v="Care Assistant "/>
    <n v="8.91"/>
    <n v="8.91"/>
    <n v="8.7200000000000006"/>
    <n v="8.7200000000000006"/>
    <n v="14"/>
    <s v="Administrative Officer (specify)"/>
    <n v="15.5"/>
    <n v="15.5"/>
    <n v="10"/>
    <n v="0"/>
    <n v="0"/>
    <s v="Administrative Officer (specify)"/>
    <n v="0"/>
    <n v="0"/>
    <n v="0"/>
    <n v="0"/>
    <n v="0"/>
    <s v="Administrative Officer (specify)"/>
    <n v="0"/>
    <n v="0"/>
    <n v="0"/>
    <n v="0"/>
    <n v="0"/>
    <s v="Other staff (specify)"/>
    <n v="0"/>
    <n v="0"/>
    <n v="0"/>
    <n v="0"/>
    <n v="0"/>
    <s v="Other staff (specify)"/>
    <n v="0"/>
    <n v="0"/>
    <n v="0"/>
    <n v="0"/>
    <n v="0"/>
    <s v="Other staff (specify)"/>
    <n v="0"/>
    <n v="0"/>
    <n v="0"/>
    <n v="0"/>
    <n v="0"/>
    <n v="6.0000000000000001E-3"/>
    <n v="0"/>
    <n v="0"/>
    <n v="0"/>
    <n v="0"/>
    <n v="336"/>
    <n v="0"/>
    <n v="179"/>
    <n v="0"/>
    <n v="0"/>
    <n v="84"/>
    <n v="0"/>
    <n v="0"/>
    <n v="15.27"/>
    <n v="0"/>
    <n v="14.79"/>
    <d v="2019-07-01T00:00:00"/>
    <d v="2020-06-30T00:00:00"/>
    <d v="1927-04-28T00:00:00"/>
    <n v="0"/>
    <n v="0"/>
    <n v="0"/>
    <n v="0"/>
    <n v="0"/>
    <n v="0"/>
    <n v="0"/>
    <n v="0"/>
    <n v="0"/>
    <n v="0"/>
    <n v="0"/>
    <n v="0"/>
    <n v="0"/>
    <s v="Other - please specify"/>
    <n v="0"/>
    <s v="Other - please specify"/>
    <n v="0"/>
    <n v="3140"/>
    <n v="2140"/>
    <n v="6005"/>
    <n v="135000"/>
    <n v="456"/>
    <n v="905"/>
    <n v="0"/>
    <n v="48"/>
    <s v="Other - please specify"/>
    <n v="0"/>
    <s v="Other - please specify"/>
    <n v="0"/>
    <n v="0"/>
    <n v="1320"/>
    <s v="Other overheads - please specify"/>
    <n v="0"/>
    <s v="Other overheads - please specify"/>
    <n v="0"/>
    <n v="54027"/>
    <n v="0"/>
    <n v="0"/>
    <m/>
    <d v="2021-10-27T11:50:09"/>
    <x v="4"/>
    <n v="5"/>
    <x v="0"/>
    <n v="30"/>
    <n v="30"/>
    <s v=""/>
    <s v=""/>
    <n v="25"/>
    <s v=""/>
    <s v=""/>
    <s v=""/>
    <n v="15.5"/>
    <n v="15.5"/>
    <n v="10"/>
    <n v="10"/>
    <s v=""/>
    <s v=""/>
    <s v=""/>
    <s v=""/>
    <s v=""/>
    <s v=""/>
    <s v=""/>
    <s v=""/>
    <n v="9.25"/>
    <n v="9.25"/>
    <n v="9.1999999999999993"/>
    <n v="9.1999999999999993"/>
    <n v="9.0500000000000007"/>
    <n v="9.0500000000000007"/>
    <n v="9"/>
    <n v="9"/>
    <n v="9.0500000000000007"/>
    <n v="9.0500000000000007"/>
    <n v="8.9"/>
    <n v="8.9"/>
    <n v="8.91"/>
    <n v="8.91"/>
    <n v="8.7200000000000006"/>
    <n v="8.7200000000000006"/>
    <n v="15.5"/>
    <n v="15.5"/>
    <n v="10"/>
    <n v="10"/>
    <s v=""/>
    <s v=""/>
    <s v=""/>
    <s v=""/>
    <s v=""/>
    <s v=""/>
    <s v=""/>
    <s v=""/>
    <s v=""/>
    <s v=""/>
    <s v=""/>
    <s v=""/>
    <s v=""/>
    <s v=""/>
    <s v=""/>
    <s v=""/>
    <s v=""/>
    <s v=""/>
    <s v=""/>
    <s v=""/>
    <n v="30"/>
    <n v="30"/>
    <n v="30"/>
    <n v="30"/>
    <n v="25"/>
    <s v=""/>
    <n v="25"/>
    <s v=""/>
    <n v="15.5"/>
    <n v="15.5"/>
    <n v="10"/>
    <n v="10"/>
    <s v=""/>
    <s v=""/>
    <s v=""/>
    <s v=""/>
    <s v=""/>
    <s v=""/>
    <s v=""/>
    <s v=""/>
    <n v="9.25"/>
    <n v="9.25"/>
    <n v="9.1999999999999993"/>
    <n v="9.1999999999999993"/>
    <n v="9.0500000000000007"/>
    <n v="9.0500000000000007"/>
    <n v="9"/>
    <n v="9"/>
    <n v="9.0500000000000007"/>
    <n v="9.0500000000000007"/>
    <n v="8.9"/>
    <n v="8.9"/>
    <n v="8.91"/>
    <n v="8.91"/>
    <n v="8.7200000000000006"/>
    <n v="8.7200000000000006"/>
    <n v="15.5"/>
    <n v="15.5"/>
    <n v="10"/>
    <n v="10"/>
    <s v=""/>
    <s v=""/>
    <s v=""/>
    <s v=""/>
    <s v=""/>
    <s v=""/>
    <s v=""/>
    <s v=""/>
    <s v=""/>
    <s v=""/>
    <s v=""/>
    <s v=""/>
    <s v=""/>
    <s v=""/>
    <s v=""/>
    <s v=""/>
    <s v=""/>
    <s v=""/>
    <s v=""/>
    <s v=""/>
    <n v="4"/>
    <n v="18"/>
    <n v="0"/>
    <n v="0"/>
    <n v="22"/>
    <x v="0"/>
    <n v="336"/>
    <n v="263"/>
    <n v="20"/>
    <n v="20"/>
    <n v="20"/>
    <n v="86"/>
    <x v="0"/>
    <n v="0"/>
    <n v="0"/>
    <n v="147694"/>
    <n v="1320"/>
    <n v="0"/>
    <n v="0"/>
    <n v="0"/>
    <n v="0"/>
    <n v="0"/>
    <n v="0"/>
    <n v="0"/>
    <n v="0"/>
    <n v="0"/>
    <n v="0"/>
    <n v="0"/>
    <n v="0"/>
    <n v="0"/>
    <n v="0"/>
    <n v="0"/>
    <n v="0.31462925851703405"/>
    <n v="0.21442885771543085"/>
    <n v="0.60170340681362722"/>
    <n v="13.527054108216433"/>
    <n v="4.5691382765531065E-2"/>
    <n v="9.0681362725450895E-2"/>
    <n v="0"/>
    <n v="4.8096192384769537E-3"/>
    <n v="0"/>
    <n v="0"/>
    <n v="0"/>
    <n v="0.13226452905811623"/>
    <n v="0"/>
    <n v="0"/>
    <n v="14.9312625250501"/>
    <n v="5.4135270541082168"/>
    <n v="0"/>
    <n v="84"/>
    <x v="1"/>
    <x v="1"/>
    <x v="0"/>
    <x v="1"/>
    <x v="1"/>
    <b v="0"/>
    <b v="1"/>
    <n v="0"/>
    <n v="0"/>
    <n v="0"/>
    <s v=""/>
    <s v=""/>
    <n v="1"/>
    <n v="1"/>
    <n v="2"/>
    <n v="14"/>
    <n v="0"/>
    <s v=""/>
    <s v=""/>
    <s v=""/>
    <s v=""/>
    <n v="18"/>
    <n v="0"/>
    <n v="0"/>
    <n v="0"/>
    <s v=""/>
    <s v=""/>
    <n v="0.25"/>
    <n v="0.44999999999999929"/>
    <n v="0.89999999999999858"/>
    <n v="8.259999999999998"/>
    <n v="0"/>
    <s v=""/>
    <s v=""/>
    <s v=""/>
    <s v=""/>
    <b v="0"/>
    <b v="1"/>
    <x v="1"/>
    <n v="0"/>
    <n v="0"/>
    <n v="14.798997995991984"/>
    <n v="0.13226452905811623"/>
    <n v="0"/>
    <n v="0"/>
    <n v="0"/>
    <s v=""/>
    <s v=""/>
    <n v="1"/>
    <n v="1"/>
    <n v="2"/>
    <n v="14"/>
    <n v="0"/>
    <s v=""/>
    <s v=""/>
    <s v=""/>
    <s v=""/>
    <n v="18"/>
    <n v="0"/>
    <n v="0"/>
    <n v="0"/>
    <s v=""/>
    <s v=""/>
    <n v="0.65000000000000036"/>
    <n v="0.84999999999999964"/>
    <n v="1.6999999999999993"/>
    <n v="13.860000000000003"/>
    <n v="0"/>
    <s v=""/>
    <s v=""/>
    <s v=""/>
    <s v=""/>
    <n v="30"/>
    <n v="30"/>
    <n v="30"/>
    <n v="30"/>
    <n v="25"/>
    <s v=""/>
    <n v="25"/>
    <s v=""/>
    <n v="31"/>
    <n v="31"/>
    <n v="20"/>
    <n v="20"/>
    <s v=""/>
    <s v=""/>
    <s v=""/>
    <s v=""/>
    <s v=""/>
    <s v=""/>
    <s v=""/>
    <s v=""/>
    <n v="9.25"/>
    <n v="9.25"/>
    <n v="9.1999999999999993"/>
    <n v="9.1999999999999993"/>
    <n v="9.0500000000000007"/>
    <n v="9.0500000000000007"/>
    <n v="9"/>
    <n v="9"/>
    <n v="18.100000000000001"/>
    <n v="18.100000000000001"/>
    <n v="17.8"/>
    <n v="17.8"/>
    <n v="124.74000000000001"/>
    <n v="124.74000000000001"/>
    <n v="122.08000000000001"/>
    <n v="122.08000000000001"/>
    <s v=""/>
    <s v=""/>
    <s v=""/>
    <s v=""/>
    <s v=""/>
    <s v=""/>
    <s v=""/>
    <s v=""/>
    <s v=""/>
    <s v=""/>
    <s v=""/>
    <s v=""/>
    <s v=""/>
    <s v=""/>
    <s v=""/>
    <s v=""/>
    <s v=""/>
    <s v=""/>
    <s v=""/>
    <s v=""/>
    <s v=""/>
    <s v=""/>
    <s v=""/>
    <s v=""/>
    <n v="1"/>
    <n v="0"/>
    <n v="2"/>
    <n v="0"/>
    <n v="0"/>
    <n v="1"/>
    <n v="1"/>
    <n v="2"/>
    <n v="14"/>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min hs client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G5:AG6" firstHeaderRow="1" firstDataRow="1" firstDataCol="0" rowPageCount="1" colPageCount="1"/>
  <pivotFields count="484">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pageFields count="1">
    <pageField fld="338" item="1" hier="-1"/>
  </pageFields>
  <dataFields count="1">
    <dataField name="Min Home Support" fld="7" subtotal="min" baseField="0" baseItem="0"/>
  </dataFields>
  <formats count="12">
    <format dxfId="501">
      <pivotArea outline="0" collapsedLevelsAreSubtotals="1" fieldPosition="0"/>
    </format>
    <format dxfId="500">
      <pivotArea dataOnly="0" labelOnly="1" grandCol="1" outline="0" axis="axisCol" fieldPosition="0"/>
    </format>
    <format dxfId="499">
      <pivotArea type="all" dataOnly="0" outline="0" fieldPosition="0"/>
    </format>
    <format dxfId="498">
      <pivotArea outline="0" collapsedLevelsAreSubtotals="1" fieldPosition="0"/>
    </format>
    <format dxfId="497">
      <pivotArea dataOnly="0" labelOnly="1" outline="0" axis="axisValues" fieldPosition="0"/>
    </format>
    <format dxfId="496">
      <pivotArea dataOnly="0" labelOnly="1" outline="0" axis="axisValues" fieldPosition="0"/>
    </format>
    <format dxfId="495">
      <pivotArea type="all" dataOnly="0" outline="0" fieldPosition="0"/>
    </format>
    <format dxfId="494">
      <pivotArea outline="0" collapsedLevelsAreSubtotals="1" fieldPosition="0"/>
    </format>
    <format dxfId="493">
      <pivotArea dataOnly="0" labelOnly="1" outline="0" axis="axisValues" fieldPosition="0"/>
    </format>
    <format dxfId="492">
      <pivotArea type="all" dataOnly="0" outline="0" fieldPosition="0"/>
    </format>
    <format dxfId="491">
      <pivotArea outline="0" collapsedLevelsAreSubtotals="1" fieldPosition="0"/>
    </format>
    <format dxfId="49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FTE staff below NLW" cacheId="6" dataOnRows="1" applyNumberFormats="0" applyBorderFormats="0" applyFontFormats="0" applyPatternFormats="0" applyAlignmentFormats="0" applyWidthHeightFormats="1" dataCaption=" " updatedVersion="6" minRefreshableVersion="3" itemPrintTitles="1" createdVersion="6" indent="0" outline="1" outlineData="1" multipleFieldFilters="0">
  <location ref="BE4:BF19"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15">
    <i>
      <x/>
    </i>
    <i i="1">
      <x v="1"/>
    </i>
    <i i="2">
      <x v="2"/>
    </i>
    <i i="3">
      <x v="3"/>
    </i>
    <i i="4">
      <x v="4"/>
    </i>
    <i i="5">
      <x v="5"/>
    </i>
    <i i="6">
      <x v="6"/>
    </i>
    <i i="7">
      <x v="7"/>
    </i>
    <i i="8">
      <x v="8"/>
    </i>
    <i i="9">
      <x v="9"/>
    </i>
    <i i="10">
      <x v="10"/>
    </i>
    <i i="11">
      <x v="11"/>
    </i>
    <i i="12">
      <x v="12"/>
    </i>
    <i i="13">
      <x v="13"/>
    </i>
    <i i="14">
      <x v="14"/>
    </i>
  </rowItems>
  <colItems count="1">
    <i/>
  </colItems>
  <dataFields count="15">
    <dataField name="Reg. Manager" fld="344" baseField="0" baseItem="1364066304"/>
    <dataField name="Deputy Manager" fld="345" baseField="0" baseItem="1364066304"/>
    <dataField name="Other Manager 1" fld="346" baseField="0" baseItem="1364066304"/>
    <dataField name="Other Manager 2" fld="347" baseField="0" baseItem="1364066304"/>
    <dataField name="Other Manager 3" fld="348" baseField="0" baseItem="1364066304"/>
    <dataField name="Care Assistant 1" fld="349" baseField="0" baseItem="1364066304"/>
    <dataField name="Care Assistant 2" fld="350" baseField="0" baseItem="1364066304"/>
    <dataField name="Care Assistant 3" fld="351" baseField="0" baseItem="1364066304"/>
    <dataField name="Care Assistant 4" fld="352" baseField="0" baseItem="1364066304"/>
    <dataField name="Admin Officer 1" fld="353" baseField="0" baseItem="1364066304"/>
    <dataField name="Admin Officer 2" fld="354" baseField="0" baseItem="1364066304"/>
    <dataField name="Other staff 1" fld="355" baseField="0" baseItem="1364066304"/>
    <dataField name="Other staff 2" fld="356" baseField="0" baseItem="1364066304"/>
    <dataField name="Other staff 3" fld="357" baseField="0" baseItem="1364066304"/>
    <dataField name="Total Staff" fld="358" baseField="0" baseItem="0"/>
  </dataFields>
  <formats count="44">
    <format dxfId="667">
      <pivotArea outline="0" collapsedLevelsAreSubtotals="1" fieldPosition="0"/>
    </format>
    <format dxfId="666">
      <pivotArea dataOnly="0" labelOnly="1" grandCol="1" outline="0" axis="axisCol" fieldPosition="0"/>
    </format>
    <format dxfId="665">
      <pivotArea collapsedLevelsAreSubtotals="1" fieldPosition="0">
        <references count="1">
          <reference field="4294967294" count="1">
            <x v="14"/>
          </reference>
        </references>
      </pivotArea>
    </format>
    <format dxfId="664">
      <pivotArea dataOnly="0" labelOnly="1" outline="0" fieldPosition="0">
        <references count="1">
          <reference field="4294967294" count="1">
            <x v="14"/>
          </reference>
        </references>
      </pivotArea>
    </format>
    <format dxfId="663">
      <pivotArea type="all" dataOnly="0" outline="0" fieldPosition="0"/>
    </format>
    <format dxfId="662">
      <pivotArea outline="0" collapsedLevelsAreSubtotals="1" fieldPosition="0"/>
    </format>
    <format dxfId="661">
      <pivotArea field="-2" type="button" dataOnly="0" labelOnly="1" outline="0" axis="axisRow" fieldPosition="0"/>
    </format>
    <format dxfId="660">
      <pivotArea dataOnly="0" labelOnly="1" outline="0" fieldPosition="0">
        <references count="1">
          <reference field="4294967294" count="15">
            <x v="0"/>
            <x v="1"/>
            <x v="2"/>
            <x v="3"/>
            <x v="4"/>
            <x v="5"/>
            <x v="6"/>
            <x v="7"/>
            <x v="8"/>
            <x v="9"/>
            <x v="10"/>
            <x v="11"/>
            <x v="12"/>
            <x v="13"/>
            <x v="14"/>
          </reference>
        </references>
      </pivotArea>
    </format>
    <format dxfId="659">
      <pivotArea dataOnly="0" labelOnly="1" grandCol="1" outline="0" axis="axisCol" fieldPosition="0"/>
    </format>
    <format dxfId="658">
      <pivotArea dataOnly="0" labelOnly="1" outline="0" fieldPosition="0">
        <references count="1">
          <reference field="4294967294" count="15">
            <x v="0"/>
            <x v="1"/>
            <x v="2"/>
            <x v="3"/>
            <x v="4"/>
            <x v="5"/>
            <x v="6"/>
            <x v="7"/>
            <x v="8"/>
            <x v="9"/>
            <x v="10"/>
            <x v="11"/>
            <x v="12"/>
            <x v="13"/>
            <x v="14"/>
          </reference>
        </references>
      </pivotArea>
    </format>
    <format dxfId="657">
      <pivotArea outline="0" collapsedLevelsAreSubtotals="1" fieldPosition="0"/>
    </format>
    <format dxfId="656">
      <pivotArea field="-2" type="button" dataOnly="0" labelOnly="1" outline="0" axis="axisRow" fieldPosition="0"/>
    </format>
    <format dxfId="655">
      <pivotArea dataOnly="0" grandCol="1" outline="0" axis="axisCol" fieldPosition="0"/>
    </format>
    <format dxfId="654">
      <pivotArea dataOnly="0" labelOnly="1" outline="0" fieldPosition="0">
        <references count="1">
          <reference field="4294967294" count="1">
            <x v="14"/>
          </reference>
        </references>
      </pivotArea>
    </format>
    <format dxfId="653">
      <pivotArea dataOnly="0" labelOnly="1" grandCol="1" outline="0" axis="axisCol" fieldPosition="0"/>
    </format>
    <format dxfId="652">
      <pivotArea type="all" dataOnly="0" outline="0" fieldPosition="0"/>
    </format>
    <format dxfId="651">
      <pivotArea outline="0" collapsedLevelsAreSubtotals="1" fieldPosition="0"/>
    </format>
    <format dxfId="650">
      <pivotArea field="-2" type="button" dataOnly="0" labelOnly="1" outline="0" axis="axisRow" fieldPosition="0"/>
    </format>
    <format dxfId="649">
      <pivotArea dataOnly="0" labelOnly="1" outline="0" fieldPosition="0">
        <references count="1">
          <reference field="4294967294" count="15">
            <x v="0"/>
            <x v="1"/>
            <x v="2"/>
            <x v="3"/>
            <x v="4"/>
            <x v="5"/>
            <x v="6"/>
            <x v="7"/>
            <x v="8"/>
            <x v="9"/>
            <x v="10"/>
            <x v="11"/>
            <x v="12"/>
            <x v="13"/>
            <x v="14"/>
          </reference>
        </references>
      </pivotArea>
    </format>
    <format dxfId="648">
      <pivotArea dataOnly="0" labelOnly="1" grandCol="1" outline="0" axis="axisCol" fieldPosition="0"/>
    </format>
    <format dxfId="647">
      <pivotArea field="-2" type="button" dataOnly="0" labelOnly="1" outline="0" axis="axisRow" fieldPosition="0"/>
    </format>
    <format dxfId="646">
      <pivotArea dataOnly="0" labelOnly="1" grandCol="1" outline="0" axis="axisCol" fieldPosition="0"/>
    </format>
    <format dxfId="645">
      <pivotArea collapsedLevelsAreSubtotals="1" fieldPosition="0">
        <references count="1">
          <reference field="4294967294" count="1">
            <x v="14"/>
          </reference>
        </references>
      </pivotArea>
    </format>
    <format dxfId="644">
      <pivotArea dataOnly="0" labelOnly="1" outline="0" fieldPosition="0">
        <references count="1">
          <reference field="4294967294" count="1">
            <x v="14"/>
          </reference>
        </references>
      </pivotArea>
    </format>
    <format dxfId="643">
      <pivotArea collapsedLevelsAreSubtotals="1" fieldPosition="0">
        <references count="1">
          <reference field="4294967294" count="1">
            <x v="14"/>
          </reference>
        </references>
      </pivotArea>
    </format>
    <format dxfId="642">
      <pivotArea type="all" dataOnly="0" outline="0" fieldPosition="0"/>
    </format>
    <format dxfId="641">
      <pivotArea outline="0" collapsedLevelsAreSubtotals="1" fieldPosition="0"/>
    </format>
    <format dxfId="640">
      <pivotArea dataOnly="0" labelOnly="1" outline="0" fieldPosition="0">
        <references count="1">
          <reference field="4294967294" count="15">
            <x v="0"/>
            <x v="1"/>
            <x v="2"/>
            <x v="3"/>
            <x v="4"/>
            <x v="5"/>
            <x v="6"/>
            <x v="7"/>
            <x v="8"/>
            <x v="9"/>
            <x v="10"/>
            <x v="11"/>
            <x v="12"/>
            <x v="13"/>
            <x v="14"/>
          </reference>
        </references>
      </pivotArea>
    </format>
    <format dxfId="639">
      <pivotArea collapsedLevelsAreSubtotals="1" fieldPosition="0">
        <references count="1">
          <reference field="4294967294" count="14">
            <x v="0"/>
            <x v="1"/>
            <x v="2"/>
            <x v="3"/>
            <x v="4"/>
            <x v="5"/>
            <x v="6"/>
            <x v="7"/>
            <x v="8"/>
            <x v="9"/>
            <x v="10"/>
            <x v="11"/>
            <x v="12"/>
            <x v="13"/>
          </reference>
        </references>
      </pivotArea>
    </format>
    <format dxfId="638">
      <pivotArea dataOnly="0" labelOnly="1" outline="0" fieldPosition="0">
        <references count="1">
          <reference field="4294967294" count="14">
            <x v="0"/>
            <x v="1"/>
            <x v="2"/>
            <x v="3"/>
            <x v="4"/>
            <x v="5"/>
            <x v="6"/>
            <x v="7"/>
            <x v="8"/>
            <x v="9"/>
            <x v="10"/>
            <x v="11"/>
            <x v="12"/>
            <x v="13"/>
          </reference>
        </references>
      </pivotArea>
    </format>
    <format dxfId="637">
      <pivotArea collapsedLevelsAreSubtotals="1" fieldPosition="0">
        <references count="1">
          <reference field="4294967294" count="1">
            <x v="14"/>
          </reference>
        </references>
      </pivotArea>
    </format>
    <format dxfId="636">
      <pivotArea dataOnly="0" labelOnly="1" outline="0" fieldPosition="0">
        <references count="1">
          <reference field="4294967294" count="1">
            <x v="14"/>
          </reference>
        </references>
      </pivotArea>
    </format>
    <format dxfId="635">
      <pivotArea field="-2" type="button" dataOnly="0" labelOnly="1" outline="0" axis="axisRow" fieldPosition="0"/>
    </format>
    <format dxfId="634">
      <pivotArea dataOnly="0" labelOnly="1" grandCol="1" outline="0" axis="axisCol" fieldPosition="0"/>
    </format>
    <format dxfId="633">
      <pivotArea type="all" dataOnly="0" outline="0" fieldPosition="0"/>
    </format>
    <format dxfId="632">
      <pivotArea outline="0" collapsedLevelsAreSubtotals="1" fieldPosition="0"/>
    </format>
    <format dxfId="631">
      <pivotArea field="-2" type="button" dataOnly="0" labelOnly="1" outline="0" axis="axisRow" fieldPosition="0"/>
    </format>
    <format dxfId="630">
      <pivotArea dataOnly="0" labelOnly="1" outline="0" fieldPosition="0">
        <references count="1">
          <reference field="4294967294" count="15">
            <x v="0"/>
            <x v="1"/>
            <x v="2"/>
            <x v="3"/>
            <x v="4"/>
            <x v="5"/>
            <x v="6"/>
            <x v="7"/>
            <x v="8"/>
            <x v="9"/>
            <x v="10"/>
            <x v="11"/>
            <x v="12"/>
            <x v="13"/>
            <x v="14"/>
          </reference>
        </references>
      </pivotArea>
    </format>
    <format dxfId="629">
      <pivotArea dataOnly="0" labelOnly="1" grandCol="1" outline="0" axis="axisCol" fieldPosition="0"/>
    </format>
    <format dxfId="628">
      <pivotArea type="all" dataOnly="0" outline="0" fieldPosition="0"/>
    </format>
    <format dxfId="627">
      <pivotArea outline="0" collapsedLevelsAreSubtotals="1" fieldPosition="0"/>
    </format>
    <format dxfId="626">
      <pivotArea field="-2" type="button" dataOnly="0" labelOnly="1" outline="0" axis="axisRow" fieldPosition="0"/>
    </format>
    <format dxfId="625">
      <pivotArea dataOnly="0" labelOnly="1" outline="0" fieldPosition="0">
        <references count="1">
          <reference field="4294967294" count="15">
            <x v="0"/>
            <x v="1"/>
            <x v="2"/>
            <x v="3"/>
            <x v="4"/>
            <x v="5"/>
            <x v="6"/>
            <x v="7"/>
            <x v="8"/>
            <x v="9"/>
            <x v="10"/>
            <x v="11"/>
            <x v="12"/>
            <x v="13"/>
            <x v="14"/>
          </reference>
        </references>
      </pivotArea>
    </format>
    <format dxfId="624">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occupancy num records" cacheId="6"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CB48:CB49"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dataField="1"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Number of records:" fld="336" subtotal="count" baseField="0" baseItem="1132920832" numFmtId="1"/>
  </dataFields>
  <formats count="18">
    <format dxfId="685">
      <pivotArea outline="0" collapsedLevelsAreSubtotals="1" fieldPosition="0"/>
    </format>
    <format dxfId="684">
      <pivotArea dataOnly="0" labelOnly="1" grandCol="1" outline="0" axis="axisCol" fieldPosition="0"/>
    </format>
    <format dxfId="683">
      <pivotArea outline="0" collapsedLevelsAreSubtotals="1" fieldPosition="0"/>
    </format>
    <format dxfId="682">
      <pivotArea outline="0" collapsedLevelsAreSubtotals="1" fieldPosition="0"/>
    </format>
    <format dxfId="681">
      <pivotArea field="-2" type="button" dataOnly="0" labelOnly="1" outline="0" axis="axisValues" fieldPosition="0"/>
    </format>
    <format dxfId="680">
      <pivotArea dataOnly="0" labelOnly="1" grandCol="1" outline="0" axis="axisCol" fieldPosition="0"/>
    </format>
    <format dxfId="679">
      <pivotArea field="-2" type="button" dataOnly="0" labelOnly="1" outline="0" axis="axisValues" fieldPosition="0"/>
    </format>
    <format dxfId="678">
      <pivotArea dataOnly="0" labelOnly="1" grandCol="1" outline="0" axis="axisCol" fieldPosition="0"/>
    </format>
    <format dxfId="677">
      <pivotArea type="all" dataOnly="0" outline="0" fieldPosition="0"/>
    </format>
    <format dxfId="676">
      <pivotArea outline="0" collapsedLevelsAreSubtotals="1" fieldPosition="0"/>
    </format>
    <format dxfId="675">
      <pivotArea dataOnly="0" labelOnly="1" outline="0" axis="axisValues" fieldPosition="0"/>
    </format>
    <format dxfId="674">
      <pivotArea outline="0" fieldPosition="0">
        <references count="1">
          <reference field="4294967294" count="1">
            <x v="0"/>
          </reference>
        </references>
      </pivotArea>
    </format>
    <format dxfId="673">
      <pivotArea type="all" dataOnly="0" outline="0" fieldPosition="0"/>
    </format>
    <format dxfId="672">
      <pivotArea outline="0" collapsedLevelsAreSubtotals="1" fieldPosition="0"/>
    </format>
    <format dxfId="671">
      <pivotArea dataOnly="0" labelOnly="1" outline="0" axis="axisValues" fieldPosition="0"/>
    </format>
    <format dxfId="670">
      <pivotArea type="all" dataOnly="0" outline="0" fieldPosition="0"/>
    </format>
    <format dxfId="669">
      <pivotArea outline="0" collapsedLevelsAreSubtotals="1" fieldPosition="0"/>
    </format>
    <format dxfId="66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average hs hour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E15:AE16" firstHeaderRow="1" firstDataRow="1" firstDataCol="0" rowPageCount="1" colPageCount="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pageFields count="1">
    <pageField fld="340" item="1" hier="-1"/>
  </pageFields>
  <dataFields count="1">
    <dataField name="Average of Total Home Support Hours" fld="293" subtotal="average" baseField="0" baseItem="0" numFmtId="1"/>
  </dataFields>
  <formats count="10">
    <format dxfId="695">
      <pivotArea type="all" dataOnly="0" outline="0" fieldPosition="0"/>
    </format>
    <format dxfId="694">
      <pivotArea outline="0" collapsedLevelsAreSubtotals="1" fieldPosition="0"/>
    </format>
    <format dxfId="693">
      <pivotArea dataOnly="0" labelOnly="1" outline="0" axis="axisValues" fieldPosition="0"/>
    </format>
    <format dxfId="692">
      <pivotArea dataOnly="0" labelOnly="1" outline="0" axis="axisValues" fieldPosition="0"/>
    </format>
    <format dxfId="691">
      <pivotArea type="all" dataOnly="0" outline="0" fieldPosition="0"/>
    </format>
    <format dxfId="690">
      <pivotArea outline="0" collapsedLevelsAreSubtotals="1" fieldPosition="0"/>
    </format>
    <format dxfId="689">
      <pivotArea dataOnly="0" labelOnly="1" outline="0" axis="axisValues" fieldPosition="0"/>
    </format>
    <format dxfId="688">
      <pivotArea type="all" dataOnly="0" outline="0" fieldPosition="0"/>
    </format>
    <format dxfId="687">
      <pivotArea outline="0" collapsedLevelsAreSubtotals="1" fieldPosition="0"/>
    </format>
    <format dxfId="68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max sl hour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F20:AF21"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Max of Total Supported Living Hours" fld="294" subtotal="max" baseField="0" baseItem="0"/>
  </dataFields>
  <formats count="10">
    <format dxfId="705">
      <pivotArea type="all" dataOnly="0" outline="0" fieldPosition="0"/>
    </format>
    <format dxfId="704">
      <pivotArea outline="0" collapsedLevelsAreSubtotals="1" fieldPosition="0"/>
    </format>
    <format dxfId="703">
      <pivotArea dataOnly="0" labelOnly="1" outline="0" axis="axisValues" fieldPosition="0"/>
    </format>
    <format dxfId="702">
      <pivotArea dataOnly="0" labelOnly="1" outline="0" axis="axisValues" fieldPosition="0"/>
    </format>
    <format dxfId="701">
      <pivotArea type="all" dataOnly="0" outline="0" fieldPosition="0"/>
    </format>
    <format dxfId="700">
      <pivotArea outline="0" collapsedLevelsAreSubtotals="1" fieldPosition="0"/>
    </format>
    <format dxfId="699">
      <pivotArea dataOnly="0" labelOnly="1" outline="0" axis="axisValues" fieldPosition="0"/>
    </format>
    <format dxfId="698">
      <pivotArea type="all" dataOnly="0" outline="0" fieldPosition="0"/>
    </format>
    <format dxfId="697">
      <pivotArea outline="0" collapsedLevelsAreSubtotals="1" fieldPosition="0"/>
    </format>
    <format dxfId="69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responses regions" cacheId="6"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
  <location ref="W32:Y36" firstHeaderRow="0" firstDataRow="1" firstDataCol="1"/>
  <pivotFields count="484">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dataField="1" numFmtId="1"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337"/>
  </rowFields>
  <rowItems count="4">
    <i>
      <x/>
    </i>
    <i>
      <x v="1"/>
    </i>
    <i>
      <x v="2"/>
    </i>
    <i t="grand">
      <x/>
    </i>
  </rowItems>
  <colFields count="1">
    <field x="-2"/>
  </colFields>
  <colItems count="2">
    <i>
      <x/>
    </i>
    <i i="1">
      <x v="1"/>
    </i>
  </colItems>
  <dataFields count="2">
    <dataField name="Locations" fld="6" subtotal="count" baseField="277" baseItem="0"/>
    <dataField name="Percentage" fld="336" subtotal="count" showDataAs="percentOfTotal" baseField="164" baseItem="2" numFmtId="10"/>
  </dataFields>
  <formats count="12">
    <format dxfId="717">
      <pivotArea type="all" dataOnly="0" outline="0" fieldPosition="0"/>
    </format>
    <format dxfId="716">
      <pivotArea outline="0" collapsedLevelsAreSubtotals="1" fieldPosition="0"/>
    </format>
    <format dxfId="715">
      <pivotArea field="337" type="button" dataOnly="0" labelOnly="1" outline="0" axis="axisRow" fieldPosition="0"/>
    </format>
    <format dxfId="714">
      <pivotArea dataOnly="0" labelOnly="1" fieldPosition="0">
        <references count="1">
          <reference field="337" count="0"/>
        </references>
      </pivotArea>
    </format>
    <format dxfId="713">
      <pivotArea dataOnly="0" labelOnly="1" grandRow="1" outline="0" fieldPosition="0"/>
    </format>
    <format dxfId="712">
      <pivotArea dataOnly="0" labelOnly="1" outline="0" fieldPosition="0">
        <references count="1">
          <reference field="4294967294" count="2">
            <x v="0"/>
            <x v="1"/>
          </reference>
        </references>
      </pivotArea>
    </format>
    <format dxfId="711">
      <pivotArea type="all" dataOnly="0" outline="0" fieldPosition="0"/>
    </format>
    <format dxfId="710">
      <pivotArea outline="0" collapsedLevelsAreSubtotals="1" fieldPosition="0"/>
    </format>
    <format dxfId="709">
      <pivotArea field="337" type="button" dataOnly="0" labelOnly="1" outline="0" axis="axisRow" fieldPosition="0"/>
    </format>
    <format dxfId="708">
      <pivotArea dataOnly="0" labelOnly="1" fieldPosition="0">
        <references count="1">
          <reference field="337" count="0"/>
        </references>
      </pivotArea>
    </format>
    <format dxfId="707">
      <pivotArea dataOnly="0" labelOnly="1" grandRow="1" outline="0" fieldPosition="0"/>
    </format>
    <format dxfId="706">
      <pivotArea dataOnly="0" labelOnly="1" outline="0" fieldPosition="0">
        <references count="1">
          <reference field="4294967294" count="2">
            <x v="0"/>
            <x v="1"/>
          </reference>
        </references>
      </pivotArea>
    </format>
  </formats>
  <chartFormats count="2">
    <chartFormat chart="1" format="0" series="1">
      <pivotArea type="data" outline="0" fieldPosition="0">
        <references count="1">
          <reference field="4294967294" count="1" selected="0">
            <x v="1"/>
          </reference>
        </references>
      </pivotArea>
    </chartFormat>
    <chartFormat chart="1" format="8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average wage per fte 21/22 number of fte" cacheId="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W5:AX20"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1">
    <field x="-2"/>
  </rowFields>
  <rowItems count="15">
    <i>
      <x/>
    </i>
    <i i="1">
      <x v="1"/>
    </i>
    <i i="2">
      <x v="2"/>
    </i>
    <i i="3">
      <x v="3"/>
    </i>
    <i i="4">
      <x v="4"/>
    </i>
    <i i="5">
      <x v="5"/>
    </i>
    <i i="6">
      <x v="6"/>
    </i>
    <i i="7">
      <x v="7"/>
    </i>
    <i i="8">
      <x v="8"/>
    </i>
    <i i="9">
      <x v="9"/>
    </i>
    <i i="10">
      <x v="10"/>
    </i>
    <i i="11">
      <x v="11"/>
    </i>
    <i i="12">
      <x v="12"/>
    </i>
    <i i="13">
      <x v="13"/>
    </i>
    <i i="14">
      <x v="14"/>
    </i>
  </rowItems>
  <colItems count="1">
    <i/>
  </colItems>
  <dataFields count="15">
    <dataField name="Sum of Registered Manager  ADJUSTED &gt;0" fld="469" baseField="0" baseItem="0"/>
    <dataField name="Sum of Deputy Manager  ADJUSTED &gt;0" fld="470" baseField="0" baseItem="0"/>
    <dataField name="Sum of Other Manager 1  ADJUSTED &gt;0" fld="471" baseField="0" baseItem="0"/>
    <dataField name="Sum of Other Manager 2  ADJUSTED &gt;0" fld="472" baseField="0" baseItem="0"/>
    <dataField name="Sum of Other Manager 3  ADJUSTED &gt;0" fld="473" baseField="0" baseItem="0"/>
    <dataField name="Sum of Care Assistant 1  ADJUSTED &gt;0" fld="474" baseField="0" baseItem="0"/>
    <dataField name="Sum of Care Assistant 2  ADJUSTED &gt;0" fld="475" baseField="0" baseItem="0"/>
    <dataField name="Sum of Care Assistant 3  ADJUSTED &gt;0" fld="476" baseField="0" baseItem="0"/>
    <dataField name="Sum of Care Assistant 4  ADJUSTED &gt;0" fld="477" baseField="0" baseItem="0"/>
    <dataField name="Sum of Administrative Officer 1  ADJUSTED &gt;0" fld="478" baseField="0" baseItem="0"/>
    <dataField name="Sum of Administrative Officer 2  ADJUSTED &gt;0" fld="479" baseField="0" baseItem="0"/>
    <dataField name="Sum of Administrative Officer 3  ADJUSTED &gt;0" fld="480" baseField="0" baseItem="0"/>
    <dataField name="Sum of Other staff 1  ADJUSTED &gt;0" fld="481" baseField="0" baseItem="0"/>
    <dataField name="Sum of Other staff 2  ADJUSTED &gt;0" fld="482" baseField="0" baseItem="0"/>
    <dataField name="Sum of Other staff 3  ADJUSTED &gt;0" fld="483" baseField="0" baseItem="0"/>
  </dataFields>
  <formats count="8">
    <format dxfId="725">
      <pivotArea type="all" dataOnly="0" outline="0" fieldPosition="0"/>
    </format>
    <format dxfId="724">
      <pivotArea outline="0" collapsedLevelsAreSubtotals="1" fieldPosition="0"/>
    </format>
    <format dxfId="723">
      <pivotArea field="-2" type="button" dataOnly="0" labelOnly="1" outline="0" axis="axisRow" fieldPosition="0"/>
    </format>
    <format dxfId="722">
      <pivotArea dataOnly="0" labelOnly="1" grandCol="1" outline="0" axis="axisCol" fieldPosition="0"/>
    </format>
    <format dxfId="721">
      <pivotArea type="all" dataOnly="0" outline="0" fieldPosition="0"/>
    </format>
    <format dxfId="720">
      <pivotArea outline="0" collapsedLevelsAreSubtotals="1" fieldPosition="0"/>
    </format>
    <format dxfId="719">
      <pivotArea field="-2" type="button" dataOnly="0" labelOnly="1" outline="0" axis="axisRow" fieldPosition="0"/>
    </format>
    <format dxfId="71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average return on capital employed" cacheId="6"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CK52:CK53"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Average Return on Capital employed" fld="160" subtotal="average" baseField="0" baseItem="1133719472" numFmtId="165"/>
  </dataFields>
  <formats count="11">
    <format dxfId="736">
      <pivotArea dataOnly="0" labelOnly="1" outline="0" axis="axisValues" fieldPosition="0"/>
    </format>
    <format dxfId="735">
      <pivotArea type="all" dataOnly="0" outline="0" fieldPosition="0"/>
    </format>
    <format dxfId="734">
      <pivotArea outline="0" collapsedLevelsAreSubtotals="1" fieldPosition="0"/>
    </format>
    <format dxfId="733">
      <pivotArea dataOnly="0" labelOnly="1" outline="0" axis="axisValues" fieldPosition="0"/>
    </format>
    <format dxfId="732">
      <pivotArea dataOnly="0" labelOnly="1" outline="0" axis="axisValues" fieldPosition="0"/>
    </format>
    <format dxfId="731">
      <pivotArea type="all" dataOnly="0" outline="0" fieldPosition="0"/>
    </format>
    <format dxfId="730">
      <pivotArea outline="0" collapsedLevelsAreSubtotals="1" fieldPosition="0"/>
    </format>
    <format dxfId="729">
      <pivotArea dataOnly="0" labelOnly="1" outline="0" axis="axisValues" fieldPosition="0"/>
    </format>
    <format dxfId="728">
      <pivotArea type="all" dataOnly="0" outline="0" fieldPosition="0"/>
    </format>
    <format dxfId="727">
      <pivotArea outline="0" collapsedLevelsAreSubtotals="1" fieldPosition="0"/>
    </format>
    <format dxfId="72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total sl client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D10:AD11" firstHeaderRow="1" firstDataRow="1" firstDataCol="0"/>
  <pivotFields count="484">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Total Supported Living" fld="8" baseField="0" baseItem="0"/>
  </dataFields>
  <formats count="10">
    <format dxfId="746">
      <pivotArea type="all" dataOnly="0" outline="0" fieldPosition="0"/>
    </format>
    <format dxfId="745">
      <pivotArea outline="0" collapsedLevelsAreSubtotals="1" fieldPosition="0"/>
    </format>
    <format dxfId="744">
      <pivotArea dataOnly="0" labelOnly="1" outline="0" axis="axisValues" fieldPosition="0"/>
    </format>
    <format dxfId="743">
      <pivotArea dataOnly="0" labelOnly="1" outline="0" axis="axisValues" fieldPosition="0"/>
    </format>
    <format dxfId="742">
      <pivotArea type="all" dataOnly="0" outline="0" fieldPosition="0"/>
    </format>
    <format dxfId="741">
      <pivotArea outline="0" collapsedLevelsAreSubtotals="1" fieldPosition="0"/>
    </format>
    <format dxfId="740">
      <pivotArea dataOnly="0" labelOnly="1" outline="0" axis="axisValues" fieldPosition="0"/>
    </format>
    <format dxfId="739">
      <pivotArea type="all" dataOnly="0" outline="0" fieldPosition="0"/>
    </format>
    <format dxfId="738">
      <pivotArea outline="0" collapsedLevelsAreSubtotals="1" fieldPosition="0"/>
    </format>
    <format dxfId="7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PivotTable1" cacheId="6"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CF48:CF49"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dataField="1"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Number of records:" fld="336" subtotal="count" baseField="0" baseItem="0" numFmtId="1"/>
  </dataFields>
  <formats count="13">
    <format dxfId="759">
      <pivotArea type="all" dataOnly="0" outline="0" fieldPosition="0"/>
    </format>
    <format dxfId="758">
      <pivotArea outline="0" collapsedLevelsAreSubtotals="1" fieldPosition="0"/>
    </format>
    <format dxfId="757">
      <pivotArea dataOnly="0" labelOnly="1" outline="0" axis="axisValues" fieldPosition="0"/>
    </format>
    <format dxfId="756">
      <pivotArea type="all" dataOnly="0" outline="0" fieldPosition="0"/>
    </format>
    <format dxfId="755">
      <pivotArea outline="0" collapsedLevelsAreSubtotals="1" fieldPosition="0"/>
    </format>
    <format dxfId="754">
      <pivotArea dataOnly="0" labelOnly="1" outline="0" axis="axisValues" fieldPosition="0"/>
    </format>
    <format dxfId="753">
      <pivotArea outline="0" fieldPosition="0">
        <references count="1">
          <reference field="4294967294" count="1">
            <x v="0"/>
          </reference>
        </references>
      </pivotArea>
    </format>
    <format dxfId="752">
      <pivotArea type="all" dataOnly="0" outline="0" fieldPosition="0"/>
    </format>
    <format dxfId="751">
      <pivotArea outline="0" collapsedLevelsAreSubtotals="1" fieldPosition="0"/>
    </format>
    <format dxfId="750">
      <pivotArea dataOnly="0" labelOnly="1" outline="0" axis="axisValues" fieldPosition="0"/>
    </format>
    <format dxfId="749">
      <pivotArea type="all" dataOnly="0" outline="0" fieldPosition="0"/>
    </format>
    <format dxfId="748">
      <pivotArea outline="0" collapsedLevelsAreSubtotals="1" fieldPosition="0"/>
    </format>
    <format dxfId="74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average wage per fte 21/22 min" cacheId="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S5:AT20"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15">
    <i>
      <x/>
    </i>
    <i i="1">
      <x v="1"/>
    </i>
    <i i="2">
      <x v="2"/>
    </i>
    <i i="3">
      <x v="3"/>
    </i>
    <i i="4">
      <x v="4"/>
    </i>
    <i i="5">
      <x v="5"/>
    </i>
    <i i="6">
      <x v="6"/>
    </i>
    <i i="7">
      <x v="7"/>
    </i>
    <i i="8">
      <x v="8"/>
    </i>
    <i i="9">
      <x v="9"/>
    </i>
    <i i="10">
      <x v="10"/>
    </i>
    <i i="11">
      <x v="11"/>
    </i>
    <i i="12">
      <x v="12"/>
    </i>
    <i i="13">
      <x v="13"/>
    </i>
    <i i="14">
      <x v="14"/>
    </i>
  </rowItems>
  <colItems count="1">
    <i/>
  </colItems>
  <dataFields count="15">
    <dataField name="Sum of Registered manager: Current 2021/22 Minimum hourly pay rate ADJUSTED X FTE" fld="409" baseField="0" baseItem="1341521920"/>
    <dataField name="Sum of Deputy manager: Current 2021/22 Minimum hourly pay rate ADJUSTED X FTE" fld="413" baseField="0" baseItem="1341521920"/>
    <dataField name="Sum of Other manager 1: Current 2021/22 Minimum hourly pay rate ADJUSTED X FTE" fld="417" baseField="0" baseItem="1341521920"/>
    <dataField name="Sum of Other manager 2: Current 2021/22 Minimum hourly pay rate ADJUSTED X FTE" fld="421" baseField="0" baseItem="1341521920"/>
    <dataField name="Sum of Other manager 3: Current 2021/22 Minimum hourly pay rate ADJUSTED X FTE" fld="425" baseField="0" baseItem="1341521920"/>
    <dataField name="Sum of Care Assistant 1: Current 2021/22 Minimum hourly pay rate ADJUSTED X FTE" fld="429" baseField="0" baseItem="1341521920"/>
    <dataField name="Sum of Care Assistant 2: Current 2021/22 Minimum hourly pay rate ADJUSTED X FTE" fld="433" baseField="0" baseItem="1341521920"/>
    <dataField name="Sum of Care Assistant 3: Current 2021/22 Minimum hourly pay rate ADJUSTED X FTE" fld="437" baseField="0" baseItem="1341521920"/>
    <dataField name="Sum of Care Assistant 4: Current 2021/22 Minimum hourly pay rate ADJUSTED X FTE" fld="441" baseField="0" baseItem="1341521920"/>
    <dataField name="Sum of Administrative Officer 1: Current 2021/22 Minimum hourly pay rate ADJUSTED X FTE" fld="445" baseField="0" baseItem="1341521920"/>
    <dataField name="Sum of Administrative Officer 2: Current 2021/22 Minimum hourly pay rate ADJUSTED X FTE" fld="449" baseField="0" baseItem="1341521920"/>
    <dataField name="Sum of Administrative Officer 3: Current 2021/22 Minimum hourly pay rate ADJUSTED X FTE" fld="453" baseField="0" baseItem="1341521920"/>
    <dataField name="Sum of Other staff 1: Current 2021/22 Minimum hourly pay rate ADJUSTED X FTE" fld="457" baseField="0" baseItem="1341521920"/>
    <dataField name="Sum of Other staff 2: Current 2021/22 Minimum hourly pay rate ADJUSTED X FTE" fld="461" baseField="0" baseItem="1341521920"/>
    <dataField name="Sum of Other staff 3: Current 2021/22 Minimum hourly pay rate ADJUSTED X FTE" fld="465" baseField="0" baseItem="1341521920"/>
  </dataFields>
  <formats count="10">
    <format dxfId="769">
      <pivotArea type="all" dataOnly="0" outline="0" fieldPosition="0"/>
    </format>
    <format dxfId="768">
      <pivotArea outline="0" collapsedLevelsAreSubtotals="1" fieldPosition="0"/>
    </format>
    <format dxfId="767">
      <pivotArea field="-2" type="button" dataOnly="0" labelOnly="1" outline="0" axis="axisRow" fieldPosition="0"/>
    </format>
    <format dxfId="766">
      <pivotArea dataOnly="0" labelOnly="1" outline="0" fieldPosition="0">
        <references count="1">
          <reference field="4294967294" count="15">
            <x v="0"/>
            <x v="1"/>
            <x v="2"/>
            <x v="3"/>
            <x v="4"/>
            <x v="5"/>
            <x v="6"/>
            <x v="7"/>
            <x v="8"/>
            <x v="9"/>
            <x v="10"/>
            <x v="11"/>
            <x v="12"/>
            <x v="13"/>
            <x v="14"/>
          </reference>
        </references>
      </pivotArea>
    </format>
    <format dxfId="765">
      <pivotArea dataOnly="0" labelOnly="1" grandCol="1" outline="0" axis="axisCol" fieldPosition="0"/>
    </format>
    <format dxfId="764">
      <pivotArea type="all" dataOnly="0" outline="0" fieldPosition="0"/>
    </format>
    <format dxfId="763">
      <pivotArea outline="0" collapsedLevelsAreSubtotals="1" fieldPosition="0"/>
    </format>
    <format dxfId="762">
      <pivotArea field="-2" type="button" dataOnly="0" labelOnly="1" outline="0" axis="axisRow" fieldPosition="0"/>
    </format>
    <format dxfId="761">
      <pivotArea dataOnly="0" labelOnly="1" outline="0" fieldPosition="0">
        <references count="1">
          <reference field="4294967294" count="15">
            <x v="0"/>
            <x v="1"/>
            <x v="2"/>
            <x v="3"/>
            <x v="4"/>
            <x v="5"/>
            <x v="6"/>
            <x v="7"/>
            <x v="8"/>
            <x v="9"/>
            <x v="10"/>
            <x v="11"/>
            <x v="12"/>
            <x v="13"/>
            <x v="14"/>
          </reference>
        </references>
      </pivotArea>
    </format>
    <format dxfId="760">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6"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L4:BM18"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14">
    <i>
      <x/>
    </i>
    <i i="1">
      <x v="1"/>
    </i>
    <i i="2">
      <x v="2"/>
    </i>
    <i i="3">
      <x v="3"/>
    </i>
    <i i="4">
      <x v="4"/>
    </i>
    <i i="5">
      <x v="5"/>
    </i>
    <i i="6">
      <x v="6"/>
    </i>
    <i i="7">
      <x v="7"/>
    </i>
    <i i="8">
      <x v="8"/>
    </i>
    <i i="9">
      <x v="9"/>
    </i>
    <i i="10">
      <x v="10"/>
    </i>
    <i i="11">
      <x v="11"/>
    </i>
    <i i="12">
      <x v="12"/>
    </i>
    <i i="13">
      <x v="13"/>
    </i>
  </rowItems>
  <colItems count="1">
    <i/>
  </colItems>
  <dataFields count="14">
    <dataField name="Sum of Registered Manager amount less less than RLW 23yrs 2022/23" fld="395" baseField="0" baseItem="0"/>
    <dataField name="Sum of Deputy Manager amount less less than RLW 23yrs 2022/23" fld="396" baseField="0" baseItem="0"/>
    <dataField name="Sum of Other Manager 1 amount less less than RLW 23yrs 2022/23" fld="397" baseField="0" baseItem="0"/>
    <dataField name="Sum of Other Manager 2 amount less less than RLW 23yrs 2022/23" fld="398" baseField="0" baseItem="0"/>
    <dataField name="Sum of Other Manager 3 amount less less than RLW 23yrs 2022/23" fld="399" baseField="0" baseItem="0"/>
    <dataField name="Sum of Care Assistant 1 amount less less than RLW 23yrs 2022/23" fld="400" baseField="0" baseItem="0"/>
    <dataField name="Sum of Care Assistant 2 amount less less than RLW 23yrs 2022/23" fld="401" baseField="0" baseItem="0"/>
    <dataField name="Sum of Care Assistant 3 amount less less than RLW 23yrs 2022/23" fld="402" baseField="0" baseItem="0"/>
    <dataField name="Sum of Care Assistant 4 amount less less than RLW 23yrs 2022/23" fld="403" baseField="0" baseItem="0"/>
    <dataField name="Sum of Administrative Officer 1 amount less less than RLW 23yrs 2022/23" fld="404" baseField="0" baseItem="0"/>
    <dataField name="Sum of Administrative Officer 2 amount less less than RLW 23yrs 2022/23" fld="405" baseField="0" baseItem="0"/>
    <dataField name="Sum of Other staff 1 amount less less than RLW 23yrs 2022/23" fld="406" baseField="0" baseItem="0"/>
    <dataField name="Sum of Other staff 2 amount less less than RLW 23yrs 2022/23" fld="407" baseField="0" baseItem="0"/>
    <dataField name="Sum of Other staff 3 amount less less than RLW 23yrs 2022/23" fld="408" baseField="0" baseItem="0"/>
  </dataFields>
  <formats count="30">
    <format dxfId="531">
      <pivotArea outline="0" collapsedLevelsAreSubtotals="1" fieldPosition="0"/>
    </format>
    <format dxfId="530">
      <pivotArea dataOnly="0" labelOnly="1" grandCol="1" outline="0" axis="axisCol" fieldPosition="0"/>
    </format>
    <format dxfId="529">
      <pivotArea type="all" dataOnly="0" outline="0" fieldPosition="0"/>
    </format>
    <format dxfId="528">
      <pivotArea outline="0" collapsedLevelsAreSubtotals="1" fieldPosition="0"/>
    </format>
    <format dxfId="527">
      <pivotArea field="-2" type="button" dataOnly="0" labelOnly="1" outline="0" axis="axisRow" fieldPosition="0"/>
    </format>
    <format dxfId="526">
      <pivotArea dataOnly="0" labelOnly="1" grandCol="1" outline="0" axis="axisCol" fieldPosition="0"/>
    </format>
    <format dxfId="525">
      <pivotArea outline="0" collapsedLevelsAreSubtotals="1" fieldPosition="0"/>
    </format>
    <format dxfId="524">
      <pivotArea dataOnly="0" labelOnly="1" grandCol="1" outline="0" axis="axisCol" fieldPosition="0"/>
    </format>
    <format dxfId="523">
      <pivotArea type="all" dataOnly="0" outline="0" fieldPosition="0"/>
    </format>
    <format dxfId="522">
      <pivotArea outline="0" collapsedLevelsAreSubtotals="1" fieldPosition="0"/>
    </format>
    <format dxfId="521">
      <pivotArea field="-2" type="button" dataOnly="0" labelOnly="1" outline="0" axis="axisRow" fieldPosition="0"/>
    </format>
    <format dxfId="520">
      <pivotArea dataOnly="0" labelOnly="1" outline="0" fieldPosition="0">
        <references count="1">
          <reference field="4294967294" count="14">
            <x v="0"/>
            <x v="1"/>
            <x v="2"/>
            <x v="3"/>
            <x v="4"/>
            <x v="5"/>
            <x v="6"/>
            <x v="7"/>
            <x v="8"/>
            <x v="9"/>
            <x v="10"/>
            <x v="11"/>
            <x v="12"/>
            <x v="13"/>
          </reference>
        </references>
      </pivotArea>
    </format>
    <format dxfId="519">
      <pivotArea dataOnly="0" labelOnly="1" grandCol="1" outline="0" axis="axisCol" fieldPosition="0"/>
    </format>
    <format dxfId="518">
      <pivotArea field="-2" type="button" dataOnly="0" labelOnly="1" outline="0" axis="axisRow" fieldPosition="0"/>
    </format>
    <format dxfId="517">
      <pivotArea dataOnly="0" labelOnly="1" grandCol="1" outline="0" axis="axisCol" fieldPosition="0"/>
    </format>
    <format dxfId="516">
      <pivotArea type="all" dataOnly="0" outline="0" fieldPosition="0"/>
    </format>
    <format dxfId="515">
      <pivotArea outline="0" collapsedLevelsAreSubtotals="1" fieldPosition="0"/>
    </format>
    <format dxfId="514">
      <pivotArea dataOnly="0" labelOnly="1" outline="0" fieldPosition="0">
        <references count="1">
          <reference field="4294967294" count="14">
            <x v="0"/>
            <x v="1"/>
            <x v="2"/>
            <x v="3"/>
            <x v="4"/>
            <x v="5"/>
            <x v="6"/>
            <x v="7"/>
            <x v="8"/>
            <x v="9"/>
            <x v="10"/>
            <x v="11"/>
            <x v="12"/>
            <x v="13"/>
          </reference>
        </references>
      </pivotArea>
    </format>
    <format dxfId="513">
      <pivotArea field="-2" type="button" dataOnly="0" labelOnly="1" outline="0" axis="axisRow" fieldPosition="0"/>
    </format>
    <format dxfId="512">
      <pivotArea dataOnly="0" labelOnly="1" grandCol="1" outline="0" axis="axisCol" fieldPosition="0"/>
    </format>
    <format dxfId="511">
      <pivotArea type="all" dataOnly="0" outline="0" fieldPosition="0"/>
    </format>
    <format dxfId="510">
      <pivotArea outline="0" collapsedLevelsAreSubtotals="1" fieldPosition="0"/>
    </format>
    <format dxfId="509">
      <pivotArea field="-2" type="button" dataOnly="0" labelOnly="1" outline="0" axis="axisRow" fieldPosition="0"/>
    </format>
    <format dxfId="508">
      <pivotArea dataOnly="0" labelOnly="1" outline="0" fieldPosition="0">
        <references count="1">
          <reference field="4294967294" count="14">
            <x v="0"/>
            <x v="1"/>
            <x v="2"/>
            <x v="3"/>
            <x v="4"/>
            <x v="5"/>
            <x v="6"/>
            <x v="7"/>
            <x v="8"/>
            <x v="9"/>
            <x v="10"/>
            <x v="11"/>
            <x v="12"/>
            <x v="13"/>
          </reference>
        </references>
      </pivotArea>
    </format>
    <format dxfId="507">
      <pivotArea dataOnly="0" labelOnly="1" grandCol="1" outline="0" axis="axisCol" fieldPosition="0"/>
    </format>
    <format dxfId="506">
      <pivotArea type="all" dataOnly="0" outline="0" fieldPosition="0"/>
    </format>
    <format dxfId="505">
      <pivotArea outline="0" collapsedLevelsAreSubtotals="1" fieldPosition="0"/>
    </format>
    <format dxfId="504">
      <pivotArea field="-2" type="button" dataOnly="0" labelOnly="1" outline="0" axis="axisRow" fieldPosition="0"/>
    </format>
    <format dxfId="503">
      <pivotArea dataOnly="0" labelOnly="1" outline="0" fieldPosition="0">
        <references count="1">
          <reference field="4294967294" count="14">
            <x v="0"/>
            <x v="1"/>
            <x v="2"/>
            <x v="3"/>
            <x v="4"/>
            <x v="5"/>
            <x v="6"/>
            <x v="7"/>
            <x v="8"/>
            <x v="9"/>
            <x v="10"/>
            <x v="11"/>
            <x v="12"/>
            <x v="13"/>
          </reference>
        </references>
      </pivotArea>
    </format>
    <format dxfId="50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total hs hour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D15:AD16"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Home Support" fld="293" baseField="0" baseItem="0" numFmtId="1"/>
  </dataFields>
  <formats count="10">
    <format dxfId="779">
      <pivotArea type="all" dataOnly="0" outline="0" fieldPosition="0"/>
    </format>
    <format dxfId="778">
      <pivotArea outline="0" collapsedLevelsAreSubtotals="1" fieldPosition="0"/>
    </format>
    <format dxfId="777">
      <pivotArea dataOnly="0" labelOnly="1" outline="0" axis="axisValues" fieldPosition="0"/>
    </format>
    <format dxfId="776">
      <pivotArea dataOnly="0" labelOnly="1" outline="0" axis="axisValues" fieldPosition="0"/>
    </format>
    <format dxfId="775">
      <pivotArea type="all" dataOnly="0" outline="0" fieldPosition="0"/>
    </format>
    <format dxfId="774">
      <pivotArea outline="0" collapsedLevelsAreSubtotals="1" fieldPosition="0"/>
    </format>
    <format dxfId="773">
      <pivotArea dataOnly="0" labelOnly="1" outline="0" axis="axisValues" fieldPosition="0"/>
    </format>
    <format dxfId="772">
      <pivotArea type="all" dataOnly="0" outline="0" fieldPosition="0"/>
    </format>
    <format dxfId="771">
      <pivotArea outline="0" collapsedLevelsAreSubtotals="1" fieldPosition="0"/>
    </format>
    <format dxfId="77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PivotTable6" cacheId="6" dataOnRows="1" applyNumberFormats="0" applyBorderFormats="0" applyFontFormats="0" applyPatternFormats="0" applyAlignmentFormats="0" applyWidthHeightFormats="1" dataCaption=" " updatedVersion="6" minRefreshableVersion="3" itemPrintTitles="1" createdVersion="6" indent="0" outline="1" outlineData="1" multipleFieldFilters="0" chartFormat="5">
  <location ref="BV1:BV2"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Max of 2021/22 Employer pension contribution rate" fld="105" subtotal="max" baseField="0" baseItem="1133719472" numFmtId="10"/>
  </dataFields>
  <formats count="9">
    <format dxfId="788">
      <pivotArea outline="0" collapsedLevelsAreSubtotals="1" fieldPosition="0"/>
    </format>
    <format dxfId="787">
      <pivotArea dataOnly="0" labelOnly="1" grandCol="1" outline="0" axis="axisCol" fieldPosition="0"/>
    </format>
    <format dxfId="786">
      <pivotArea outline="0" fieldPosition="0">
        <references count="1">
          <reference field="4294967294" count="1">
            <x v="0"/>
          </reference>
        </references>
      </pivotArea>
    </format>
    <format dxfId="785">
      <pivotArea type="all" dataOnly="0" outline="0" fieldPosition="0"/>
    </format>
    <format dxfId="784">
      <pivotArea outline="0" collapsedLevelsAreSubtotals="1" fieldPosition="0"/>
    </format>
    <format dxfId="783">
      <pivotArea dataOnly="0" labelOnly="1" outline="0" axis="axisValues" fieldPosition="0"/>
    </format>
    <format dxfId="782">
      <pivotArea type="all" dataOnly="0" outline="0" fieldPosition="0"/>
    </format>
    <format dxfId="781">
      <pivotArea outline="0" collapsedLevelsAreSubtotals="1" fieldPosition="0"/>
    </format>
    <format dxfId="78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PivotTable7" cacheId="6" dataOnRows="1" applyNumberFormats="0" applyBorderFormats="0" applyFontFormats="0" applyPatternFormats="0" applyAlignmentFormats="0" applyWidthHeightFormats="1" dataCaption=" " updatedVersion="6" minRefreshableVersion="3" itemPrintTitles="1" createdVersion="6" indent="0" outline="1" outlineData="1" multipleFieldFilters="0" chartFormat="5">
  <location ref="BV4:BV5"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Min of 2021/22 Employer pension contribution rate" fld="105" subtotal="min" baseField="0" baseItem="1133719472" numFmtId="10"/>
  </dataFields>
  <formats count="9">
    <format dxfId="797">
      <pivotArea outline="0" collapsedLevelsAreSubtotals="1" fieldPosition="0"/>
    </format>
    <format dxfId="796">
      <pivotArea dataOnly="0" labelOnly="1" grandCol="1" outline="0" axis="axisCol" fieldPosition="0"/>
    </format>
    <format dxfId="795">
      <pivotArea outline="0" fieldPosition="0">
        <references count="1">
          <reference field="4294967294" count="1">
            <x v="0"/>
          </reference>
        </references>
      </pivotArea>
    </format>
    <format dxfId="794">
      <pivotArea type="all" dataOnly="0" outline="0" fieldPosition="0"/>
    </format>
    <format dxfId="793">
      <pivotArea outline="0" collapsedLevelsAreSubtotals="1" fieldPosition="0"/>
    </format>
    <format dxfId="792">
      <pivotArea dataOnly="0" labelOnly="1" outline="0" axis="axisValues" fieldPosition="0"/>
    </format>
    <format dxfId="791">
      <pivotArea type="all" dataOnly="0" outline="0" fieldPosition="0"/>
    </format>
    <format dxfId="790">
      <pivotArea outline="0" collapsedLevelsAreSubtotals="1" fieldPosition="0"/>
    </format>
    <format dxfId="78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NLW num records" cacheId="6" dataOnRows="1" applyNumberFormats="0" applyBorderFormats="0" applyFontFormats="0" applyPatternFormats="0" applyAlignmentFormats="0" applyWidthHeightFormats="1" dataCaption=" " updatedVersion="6" minRefreshableVersion="3" itemPrintTitles="1" createdVersion="6" indent="0" outline="1" outlineData="1" multipleFieldFilters="0">
  <location ref="BO53:BO54"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dataField="1"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Number of records:" fld="336" subtotal="count" baseField="0" baseItem="1132920832" numFmtId="1"/>
  </dataFields>
  <formats count="23">
    <format dxfId="820">
      <pivotArea outline="0" collapsedLevelsAreSubtotals="1" fieldPosition="0"/>
    </format>
    <format dxfId="819">
      <pivotArea dataOnly="0" labelOnly="1" grandCol="1" outline="0" axis="axisCol" fieldPosition="0"/>
    </format>
    <format dxfId="818">
      <pivotArea type="all" dataOnly="0" outline="0" fieldPosition="0"/>
    </format>
    <format dxfId="817">
      <pivotArea outline="0" collapsedLevelsAreSubtotals="1" fieldPosition="0"/>
    </format>
    <format dxfId="816">
      <pivotArea field="-2" type="button" dataOnly="0" labelOnly="1" outline="0" axis="axisValues" fieldPosition="0"/>
    </format>
    <format dxfId="815">
      <pivotArea dataOnly="0" labelOnly="1" grandCol="1" outline="0" axis="axisCol" fieldPosition="0"/>
    </format>
    <format dxfId="814">
      <pivotArea outline="0" collapsedLevelsAreSubtotals="1" fieldPosition="0"/>
    </format>
    <format dxfId="813">
      <pivotArea field="-2" type="button" dataOnly="0" labelOnly="1" outline="0" axis="axisValues" fieldPosition="0"/>
    </format>
    <format dxfId="812">
      <pivotArea dataOnly="0" grandCol="1" outline="0" axis="axisCol" fieldPosition="0"/>
    </format>
    <format dxfId="811">
      <pivotArea dataOnly="0" labelOnly="1" grandCol="1" outline="0" axis="axisCol" fieldPosition="0"/>
    </format>
    <format dxfId="810">
      <pivotArea outline="0" fieldPosition="0">
        <references count="1">
          <reference field="4294967294" count="1">
            <x v="0"/>
          </reference>
        </references>
      </pivotArea>
    </format>
    <format dxfId="809">
      <pivotArea type="all" dataOnly="0" outline="0" fieldPosition="0"/>
    </format>
    <format dxfId="808">
      <pivotArea outline="0" collapsedLevelsAreSubtotals="1" fieldPosition="0"/>
    </format>
    <format dxfId="807">
      <pivotArea dataOnly="0" labelOnly="1" outline="0" axis="axisValues" fieldPosition="0"/>
    </format>
    <format dxfId="806">
      <pivotArea type="all" dataOnly="0" outline="0" fieldPosition="0"/>
    </format>
    <format dxfId="805">
      <pivotArea outline="0" collapsedLevelsAreSubtotals="1" fieldPosition="0"/>
    </format>
    <format dxfId="804">
      <pivotArea dataOnly="0" labelOnly="1" outline="0" axis="axisValues" fieldPosition="0"/>
    </format>
    <format dxfId="803">
      <pivotArea type="all" dataOnly="0" outline="0" fieldPosition="0"/>
    </format>
    <format dxfId="802">
      <pivotArea outline="0" collapsedLevelsAreSubtotals="1" fieldPosition="0"/>
    </format>
    <format dxfId="801">
      <pivotArea dataOnly="0" labelOnly="1" outline="0" axis="axisValues" fieldPosition="0"/>
    </format>
    <format dxfId="800">
      <pivotArea type="all" dataOnly="0" outline="0" fieldPosition="0"/>
    </format>
    <format dxfId="799">
      <pivotArea outline="0" collapsedLevelsAreSubtotals="1" fieldPosition="0"/>
    </format>
    <format dxfId="79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average rates per fte num records" cacheId="6"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D47:BD48"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dataField="1"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Number of records" fld="336" subtotal="count" baseField="0" baseItem="1341522596"/>
  </dataFields>
  <formats count="16">
    <format dxfId="836">
      <pivotArea type="all" dataOnly="0" outline="0" fieldPosition="0"/>
    </format>
    <format dxfId="835">
      <pivotArea outline="0" collapsedLevelsAreSubtotals="1" fieldPosition="0"/>
    </format>
    <format dxfId="834">
      <pivotArea dataOnly="0" labelOnly="1" outline="0" axis="axisValues" fieldPosition="0"/>
    </format>
    <format dxfId="833">
      <pivotArea type="all" dataOnly="0" outline="0" fieldPosition="0"/>
    </format>
    <format dxfId="832">
      <pivotArea outline="0" collapsedLevelsAreSubtotals="1" fieldPosition="0"/>
    </format>
    <format dxfId="831">
      <pivotArea dataOnly="0" labelOnly="1" outline="0" axis="axisValues" fieldPosition="0"/>
    </format>
    <format dxfId="830">
      <pivotArea dataOnly="0" labelOnly="1" outline="0" axis="axisValues" fieldPosition="0"/>
    </format>
    <format dxfId="829">
      <pivotArea type="all" dataOnly="0" outline="0" fieldPosition="0"/>
    </format>
    <format dxfId="828">
      <pivotArea outline="0" collapsedLevelsAreSubtotals="1" fieldPosition="0"/>
    </format>
    <format dxfId="827">
      <pivotArea dataOnly="0" labelOnly="1" outline="0" axis="axisValues" fieldPosition="0"/>
    </format>
    <format dxfId="826">
      <pivotArea type="all" dataOnly="0" outline="0" fieldPosition="0"/>
    </format>
    <format dxfId="825">
      <pivotArea outline="0" collapsedLevelsAreSubtotals="1" fieldPosition="0"/>
    </format>
    <format dxfId="824">
      <pivotArea dataOnly="0" labelOnly="1" outline="0" axis="axisValues" fieldPosition="0"/>
    </format>
    <format dxfId="823">
      <pivotArea type="all" dataOnly="0" outline="0" fieldPosition="0"/>
    </format>
    <format dxfId="822">
      <pivotArea outline="0" collapsedLevelsAreSubtotals="1" fieldPosition="0"/>
    </format>
    <format dxfId="82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max hs client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F5:AF6" firstHeaderRow="1" firstDataRow="1" firstDataCol="0"/>
  <pivotFields count="484">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Max Home Support" fld="7" subtotal="max" baseField="0" baseItem="0"/>
  </dataFields>
  <formats count="12">
    <format dxfId="848">
      <pivotArea outline="0" collapsedLevelsAreSubtotals="1" fieldPosition="0"/>
    </format>
    <format dxfId="847">
      <pivotArea dataOnly="0" labelOnly="1" grandCol="1" outline="0" axis="axisCol" fieldPosition="0"/>
    </format>
    <format dxfId="846">
      <pivotArea type="all" dataOnly="0" outline="0" fieldPosition="0"/>
    </format>
    <format dxfId="845">
      <pivotArea outline="0" collapsedLevelsAreSubtotals="1" fieldPosition="0"/>
    </format>
    <format dxfId="844">
      <pivotArea dataOnly="0" labelOnly="1" outline="0" axis="axisValues" fieldPosition="0"/>
    </format>
    <format dxfId="843">
      <pivotArea dataOnly="0" labelOnly="1" outline="0" axis="axisValues" fieldPosition="0"/>
    </format>
    <format dxfId="842">
      <pivotArea type="all" dataOnly="0" outline="0" fieldPosition="0"/>
    </format>
    <format dxfId="841">
      <pivotArea outline="0" collapsedLevelsAreSubtotals="1" fieldPosition="0"/>
    </format>
    <format dxfId="840">
      <pivotArea dataOnly="0" labelOnly="1" outline="0" axis="axisValues" fieldPosition="0"/>
    </format>
    <format dxfId="839">
      <pivotArea type="all" dataOnly="0" outline="0" fieldPosition="0"/>
    </format>
    <format dxfId="838">
      <pivotArea outline="0" collapsedLevelsAreSubtotals="1" fieldPosition="0"/>
    </format>
    <format dxfId="8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Employees" cacheId="6" dataOnRows="1" applyNumberFormats="0" applyBorderFormats="0" applyFontFormats="0" applyPatternFormats="0" applyAlignmentFormats="0" applyWidthHeightFormats="1" dataCaption=" " updatedVersion="6" minRefreshableVersion="3" itemPrintTitles="1" createdVersion="6" indent="0" outline="1" outlineData="1" multipleFieldFilters="0" chartFormat="5">
  <location ref="BP4:BQ9"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5">
    <i>
      <x/>
    </i>
    <i i="1">
      <x v="1"/>
    </i>
    <i i="2">
      <x v="2"/>
    </i>
    <i i="3">
      <x v="3"/>
    </i>
    <i i="4">
      <x v="4"/>
    </i>
  </rowItems>
  <colItems count="1">
    <i/>
  </colItems>
  <dataFields count="5">
    <dataField name="Managers" fld="287" baseField="0" baseItem="0"/>
    <dataField name="Care" fld="288" baseField="0" baseItem="0"/>
    <dataField name="Administrative" fld="289" baseField="0" baseItem="0"/>
    <dataField name="Other" fld="290" baseField="0" baseItem="0"/>
    <dataField name="Total" fld="291" baseField="0" baseItem="0"/>
  </dataFields>
  <formats count="16">
    <format dxfId="864">
      <pivotArea outline="0" collapsedLevelsAreSubtotals="1" fieldPosition="0"/>
    </format>
    <format dxfId="863">
      <pivotArea dataOnly="0" labelOnly="1" grandCol="1" outline="0" axis="axisCol" fieldPosition="0"/>
    </format>
    <format dxfId="862">
      <pivotArea collapsedLevelsAreSubtotals="1" fieldPosition="0">
        <references count="1">
          <reference field="4294967294" count="1">
            <x v="4"/>
          </reference>
        </references>
      </pivotArea>
    </format>
    <format dxfId="861">
      <pivotArea dataOnly="0" labelOnly="1" outline="0" fieldPosition="0">
        <references count="1">
          <reference field="4294967294" count="1">
            <x v="4"/>
          </reference>
        </references>
      </pivotArea>
    </format>
    <format dxfId="860">
      <pivotArea collapsedLevelsAreSubtotals="1" fieldPosition="0">
        <references count="1">
          <reference field="4294967294" count="1">
            <x v="4"/>
          </reference>
        </references>
      </pivotArea>
    </format>
    <format dxfId="859">
      <pivotArea dataOnly="0" labelOnly="1" outline="0" fieldPosition="0">
        <references count="1">
          <reference field="4294967294" count="1">
            <x v="4"/>
          </reference>
        </references>
      </pivotArea>
    </format>
    <format dxfId="858">
      <pivotArea type="all" dataOnly="0" outline="0" fieldPosition="0"/>
    </format>
    <format dxfId="857">
      <pivotArea outline="0" collapsedLevelsAreSubtotals="1" fieldPosition="0"/>
    </format>
    <format dxfId="856">
      <pivotArea field="-2" type="button" dataOnly="0" labelOnly="1" outline="0" axis="axisRow" fieldPosition="0"/>
    </format>
    <format dxfId="855">
      <pivotArea dataOnly="0" labelOnly="1" outline="0" fieldPosition="0">
        <references count="1">
          <reference field="4294967294" count="5">
            <x v="0"/>
            <x v="1"/>
            <x v="2"/>
            <x v="3"/>
            <x v="4"/>
          </reference>
        </references>
      </pivotArea>
    </format>
    <format dxfId="854">
      <pivotArea dataOnly="0" labelOnly="1" grandCol="1" outline="0" axis="axisCol" fieldPosition="0"/>
    </format>
    <format dxfId="853">
      <pivotArea type="all" dataOnly="0" outline="0" fieldPosition="0"/>
    </format>
    <format dxfId="852">
      <pivotArea outline="0" collapsedLevelsAreSubtotals="1" fieldPosition="0"/>
    </format>
    <format dxfId="851">
      <pivotArea field="-2" type="button" dataOnly="0" labelOnly="1" outline="0" axis="axisRow" fieldPosition="0"/>
    </format>
    <format dxfId="850">
      <pivotArea dataOnly="0" labelOnly="1" outline="0" fieldPosition="0">
        <references count="1">
          <reference field="4294967294" count="5">
            <x v="0"/>
            <x v="1"/>
            <x v="2"/>
            <x v="3"/>
            <x v="4"/>
          </reference>
        </references>
      </pivotArea>
    </format>
    <format dxfId="849">
      <pivotArea dataOnly="0" labelOnly="1" grandCol="1" outline="0" axis="axisCol" fieldPosition="0"/>
    </format>
  </formats>
  <chartFormats count="2">
    <chartFormat chart="2"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PivotTable16" cacheId="6" dataOnRows="1" applyNumberFormats="0" applyBorderFormats="0" applyFontFormats="0" applyPatternFormats="0" applyAlignmentFormats="0" applyWidthHeightFormats="1" dataCaption=" " updatedVersion="6" minRefreshableVersion="3" useAutoFormatting="1" itemPrintTitles="1" createdVersion="6" indent="0" outline="1" outlineData="1" multipleFieldFilters="0">
  <location ref="BP12:BQ16"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4">
    <i>
      <x/>
    </i>
    <i i="1">
      <x v="1"/>
    </i>
    <i i="2">
      <x v="2"/>
    </i>
    <i i="3">
      <x v="3"/>
    </i>
  </rowItems>
  <colItems count="1">
    <i/>
  </colItems>
  <dataFields count="4">
    <dataField name="Management" fld="287" subtotal="count" baseField="0" baseItem="1364066304"/>
    <dataField name="Care" fld="288" subtotal="count" baseField="0" baseItem="1364066304"/>
    <dataField name="Admin" fld="289" subtotal="count" baseField="0" baseItem="1364066304"/>
    <dataField name="Total" fld="291" baseField="0" baseItem="0"/>
  </dataFields>
  <formats count="16">
    <format dxfId="880">
      <pivotArea outline="0" collapsedLevelsAreSubtotals="1" fieldPosition="0"/>
    </format>
    <format dxfId="879">
      <pivotArea dataOnly="0" labelOnly="1" grandCol="1" outline="0" axis="axisCol" fieldPosition="0"/>
    </format>
    <format dxfId="878">
      <pivotArea collapsedLevelsAreSubtotals="1" fieldPosition="0">
        <references count="1">
          <reference field="4294967294" count="1">
            <x v="3"/>
          </reference>
        </references>
      </pivotArea>
    </format>
    <format dxfId="877">
      <pivotArea dataOnly="0" labelOnly="1" outline="0" fieldPosition="0">
        <references count="1">
          <reference field="4294967294" count="1">
            <x v="3"/>
          </reference>
        </references>
      </pivotArea>
    </format>
    <format dxfId="876">
      <pivotArea collapsedLevelsAreSubtotals="1" fieldPosition="0">
        <references count="1">
          <reference field="4294967294" count="1">
            <x v="3"/>
          </reference>
        </references>
      </pivotArea>
    </format>
    <format dxfId="875">
      <pivotArea dataOnly="0" labelOnly="1" outline="0" fieldPosition="0">
        <references count="1">
          <reference field="4294967294" count="1">
            <x v="3"/>
          </reference>
        </references>
      </pivotArea>
    </format>
    <format dxfId="874">
      <pivotArea type="all" dataOnly="0" outline="0" fieldPosition="0"/>
    </format>
    <format dxfId="873">
      <pivotArea outline="0" collapsedLevelsAreSubtotals="1" fieldPosition="0"/>
    </format>
    <format dxfId="872">
      <pivotArea field="-2" type="button" dataOnly="0" labelOnly="1" outline="0" axis="axisRow" fieldPosition="0"/>
    </format>
    <format dxfId="871">
      <pivotArea dataOnly="0" labelOnly="1" outline="0" fieldPosition="0">
        <references count="1">
          <reference field="4294967294" count="4">
            <x v="0"/>
            <x v="1"/>
            <x v="2"/>
            <x v="3"/>
          </reference>
        </references>
      </pivotArea>
    </format>
    <format dxfId="870">
      <pivotArea dataOnly="0" labelOnly="1" grandCol="1" outline="0" axis="axisCol" fieldPosition="0"/>
    </format>
    <format dxfId="869">
      <pivotArea type="all" dataOnly="0" outline="0" fieldPosition="0"/>
    </format>
    <format dxfId="868">
      <pivotArea outline="0" collapsedLevelsAreSubtotals="1" fieldPosition="0"/>
    </format>
    <format dxfId="867">
      <pivotArea field="-2" type="button" dataOnly="0" labelOnly="1" outline="0" axis="axisRow" fieldPosition="0"/>
    </format>
    <format dxfId="866">
      <pivotArea dataOnly="0" labelOnly="1" outline="0" fieldPosition="0">
        <references count="1">
          <reference field="4294967294" count="4">
            <x v="0"/>
            <x v="1"/>
            <x v="2"/>
            <x v="3"/>
          </reference>
        </references>
      </pivotArea>
    </format>
    <format dxfId="865">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average hs client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E5:AE6" firstHeaderRow="1" firstDataRow="1" firstDataCol="0" rowPageCount="1" colPageCount="1"/>
  <pivotFields count="484">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pageFields count="1">
    <pageField fld="338" item="1" hier="-1"/>
  </pageFields>
  <dataFields count="1">
    <dataField name="Average Home Support" fld="7" subtotal="average" baseField="0" baseItem="0"/>
  </dataFields>
  <formats count="12">
    <format dxfId="892">
      <pivotArea outline="0" collapsedLevelsAreSubtotals="1" fieldPosition="0"/>
    </format>
    <format dxfId="891">
      <pivotArea dataOnly="0" labelOnly="1" grandCol="1" outline="0" axis="axisCol" fieldPosition="0"/>
    </format>
    <format dxfId="890">
      <pivotArea type="all" dataOnly="0" outline="0" fieldPosition="0"/>
    </format>
    <format dxfId="889">
      <pivotArea outline="0" collapsedLevelsAreSubtotals="1" fieldPosition="0"/>
    </format>
    <format dxfId="888">
      <pivotArea dataOnly="0" labelOnly="1" outline="0" axis="axisValues" fieldPosition="0"/>
    </format>
    <format dxfId="887">
      <pivotArea dataOnly="0" labelOnly="1" outline="0" axis="axisValues" fieldPosition="0"/>
    </format>
    <format dxfId="886">
      <pivotArea type="all" dataOnly="0" outline="0" fieldPosition="0"/>
    </format>
    <format dxfId="885">
      <pivotArea outline="0" collapsedLevelsAreSubtotals="1" fieldPosition="0"/>
    </format>
    <format dxfId="884">
      <pivotArea dataOnly="0" labelOnly="1" outline="0" axis="axisValues" fieldPosition="0"/>
    </format>
    <format dxfId="883">
      <pivotArea type="all" dataOnly="0" outline="0" fieldPosition="0"/>
    </format>
    <format dxfId="882">
      <pivotArea outline="0" collapsedLevelsAreSubtotals="1" fieldPosition="0"/>
    </format>
    <format dxfId="88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average net operating profit" cacheId="6"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CK49:CK50"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Average Net Operating Profit*" fld="159" subtotal="average" baseField="0" baseItem="1132920832" numFmtId="165"/>
  </dataFields>
  <formats count="10">
    <format dxfId="902">
      <pivotArea type="all" dataOnly="0" outline="0" fieldPosition="0"/>
    </format>
    <format dxfId="901">
      <pivotArea outline="0" collapsedLevelsAreSubtotals="1" fieldPosition="0"/>
    </format>
    <format dxfId="900">
      <pivotArea dataOnly="0" labelOnly="1" outline="0" axis="axisValues" fieldPosition="0"/>
    </format>
    <format dxfId="899">
      <pivotArea dataOnly="0" labelOnly="1" outline="0" axis="axisValues" fieldPosition="0"/>
    </format>
    <format dxfId="898">
      <pivotArea type="all" dataOnly="0" outline="0" fieldPosition="0"/>
    </format>
    <format dxfId="897">
      <pivotArea outline="0" collapsedLevelsAreSubtotals="1" fieldPosition="0"/>
    </format>
    <format dxfId="896">
      <pivotArea dataOnly="0" labelOnly="1" outline="0" axis="axisValues" fieldPosition="0"/>
    </format>
    <format dxfId="895">
      <pivotArea type="all" dataOnly="0" outline="0" fieldPosition="0"/>
    </format>
    <format dxfId="894">
      <pivotArea outline="0" collapsedLevelsAreSubtotals="1" fieldPosition="0"/>
    </format>
    <format dxfId="89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Average charges to other organisations" cacheId="6"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
  <location ref="CC4:CD7"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3">
    <i>
      <x/>
    </i>
    <i i="1">
      <x v="1"/>
    </i>
    <i i="2">
      <x v="2"/>
    </i>
  </rowItems>
  <colItems count="1">
    <i/>
  </colItems>
  <dataFields count="3">
    <dataField name=" Average hourly charge to other local authorities" fld="118" subtotal="average" baseField="0" baseItem="0"/>
    <dataField name=" Average hourly charge to self-funders" fld="119" subtotal="average" baseField="0" baseItem="0"/>
    <dataField name=" Average hourly charge to NHS" fld="120" subtotal="average" baseField="0" baseItem="0"/>
  </dataFields>
  <formats count="12">
    <format dxfId="543">
      <pivotArea outline="0" collapsedLevelsAreSubtotals="1" fieldPosition="0"/>
    </format>
    <format dxfId="542">
      <pivotArea dataOnly="0" labelOnly="1" grandCol="1" outline="0" axis="axisCol" fieldPosition="0"/>
    </format>
    <format dxfId="541">
      <pivotArea type="all" dataOnly="0" outline="0" fieldPosition="0"/>
    </format>
    <format dxfId="540">
      <pivotArea outline="0" collapsedLevelsAreSubtotals="1" fieldPosition="0"/>
    </format>
    <format dxfId="539">
      <pivotArea field="-2" type="button" dataOnly="0" labelOnly="1" outline="0" axis="axisRow" fieldPosition="0"/>
    </format>
    <format dxfId="538">
      <pivotArea dataOnly="0" labelOnly="1" outline="0" fieldPosition="0">
        <references count="1">
          <reference field="4294967294" count="3">
            <x v="0"/>
            <x v="1"/>
            <x v="2"/>
          </reference>
        </references>
      </pivotArea>
    </format>
    <format dxfId="537">
      <pivotArea dataOnly="0" labelOnly="1" grandCol="1" outline="0" axis="axisCol" fieldPosition="0"/>
    </format>
    <format dxfId="536">
      <pivotArea type="all" dataOnly="0" outline="0" fieldPosition="0"/>
    </format>
    <format dxfId="535">
      <pivotArea outline="0" collapsedLevelsAreSubtotals="1" fieldPosition="0"/>
    </format>
    <format dxfId="534">
      <pivotArea field="-2" type="button" dataOnly="0" labelOnly="1" outline="0" axis="axisRow" fieldPosition="0"/>
    </format>
    <format dxfId="533">
      <pivotArea dataOnly="0" labelOnly="1" outline="0" fieldPosition="0">
        <references count="1">
          <reference field="4294967294" count="3">
            <x v="0"/>
            <x v="1"/>
            <x v="2"/>
          </reference>
        </references>
      </pivotArea>
    </format>
    <format dxfId="532">
      <pivotArea dataOnly="0" labelOnly="1" grandCol="1" outline="0" axis="axisCol"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average wage per fte 20/21 max" cacheId="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Q5:AR20"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15">
    <i>
      <x/>
    </i>
    <i i="1">
      <x v="1"/>
    </i>
    <i i="2">
      <x v="2"/>
    </i>
    <i i="3">
      <x v="3"/>
    </i>
    <i i="4">
      <x v="4"/>
    </i>
    <i i="5">
      <x v="5"/>
    </i>
    <i i="6">
      <x v="6"/>
    </i>
    <i i="7">
      <x v="7"/>
    </i>
    <i i="8">
      <x v="8"/>
    </i>
    <i i="9">
      <x v="9"/>
    </i>
    <i i="10">
      <x v="10"/>
    </i>
    <i i="11">
      <x v="11"/>
    </i>
    <i i="12">
      <x v="12"/>
    </i>
    <i i="13">
      <x v="13"/>
    </i>
    <i i="14">
      <x v="14"/>
    </i>
  </rowItems>
  <colItems count="1">
    <i/>
  </colItems>
  <dataFields count="15">
    <dataField name="Sum of Registered manager: Previous 2020/21 Maximum hourly pay rate ADJUSTED X FTE" fld="412" baseField="0" baseItem="1341521920"/>
    <dataField name="Sum of Deputy manager: Previous 2020/21 Maximum hourly pay rate ADJUSTED X FTE" fld="416" baseField="0" baseItem="1341521920"/>
    <dataField name="Sum of Other manager 1: Previous 2020/21 Maximum hourly pay rate ADJUSTED X FTE" fld="420" baseField="0" baseItem="1341521920"/>
    <dataField name="Sum of Other manager 2: Previous 2020/21 Maximum hourly pay rate ADJUSTED X FTE" fld="424" baseField="0" baseItem="1341521920"/>
    <dataField name="Sum of Other manager 3: Previous 2020/21 Maximum hourly pay rate ADJUSTED X FTE" fld="428" baseField="0" baseItem="1341521920"/>
    <dataField name="Sum of Care Assistant 1: Previous 2020/21 Maximum hourly pay rate ADJUSTED X FTE" fld="432" baseField="0" baseItem="1341521920"/>
    <dataField name="Sum of Care Assistant 2: Previous 2020/21 Maximum hourly pay rate ADJUSTED X FTE" fld="436" baseField="0" baseItem="1341521920"/>
    <dataField name="Sum of Care Assistant 3: Previous 2020/21 Maximum hourly pay rate ADJUSTED X FTE" fld="440" baseField="0" baseItem="1341521920"/>
    <dataField name="Sum of Care Assistant 4: Previous 2020/21 Maximum hourly pay rate ADJUSTED X FTE" fld="444" baseField="0" baseItem="1341521920"/>
    <dataField name="Sum of Administrative Officer 1: Previous 2020/21 Maximum hourly pay rate ADJUSTED X FTE" fld="448" baseField="0" baseItem="1341521920"/>
    <dataField name="Sum of Administrative Officer 2: Previous 2020/21 Maximum hourly pay rate ADJUSTED X FTE" fld="452" baseField="0" baseItem="1341521920"/>
    <dataField name="Sum of Administrative Officer 3: Previous 2020/21 Maximum hourly pay rate ADJUSTED X FTE" fld="456" baseField="0" baseItem="1341521920"/>
    <dataField name="Sum of Other staff 1: Previous 2020/21 Maximum hourly pay rate ADJUSTED X FTE" fld="460" baseField="0" baseItem="1341521920"/>
    <dataField name="Sum of Other staff 2: Previous 2020/21 Maximum hourly pay rate ADJUSTED X FTE" fld="464" baseField="0" baseItem="1341521920"/>
    <dataField name="Sum of Other staff 3: Previous 2020/21 Maximum hourly pay rate ADJUSTED X FTE" fld="468" baseField="0" baseItem="1341521920"/>
  </dataFields>
  <formats count="10">
    <format dxfId="912">
      <pivotArea type="all" dataOnly="0" outline="0" fieldPosition="0"/>
    </format>
    <format dxfId="911">
      <pivotArea outline="0" collapsedLevelsAreSubtotals="1" fieldPosition="0"/>
    </format>
    <format dxfId="910">
      <pivotArea field="-2" type="button" dataOnly="0" labelOnly="1" outline="0" axis="axisRow" fieldPosition="0"/>
    </format>
    <format dxfId="909">
      <pivotArea dataOnly="0" labelOnly="1" outline="0" fieldPosition="0">
        <references count="1">
          <reference field="4294967294" count="15">
            <x v="0"/>
            <x v="1"/>
            <x v="2"/>
            <x v="3"/>
            <x v="4"/>
            <x v="5"/>
            <x v="6"/>
            <x v="7"/>
            <x v="8"/>
            <x v="9"/>
            <x v="10"/>
            <x v="11"/>
            <x v="12"/>
            <x v="13"/>
            <x v="14"/>
          </reference>
        </references>
      </pivotArea>
    </format>
    <format dxfId="908">
      <pivotArea dataOnly="0" labelOnly="1" grandCol="1" outline="0" axis="axisCol" fieldPosition="0"/>
    </format>
    <format dxfId="907">
      <pivotArea type="all" dataOnly="0" outline="0" fieldPosition="0"/>
    </format>
    <format dxfId="906">
      <pivotArea outline="0" collapsedLevelsAreSubtotals="1" fieldPosition="0"/>
    </format>
    <format dxfId="905">
      <pivotArea field="-2" type="button" dataOnly="0" labelOnly="1" outline="0" axis="axisRow" fieldPosition="0"/>
    </format>
    <format dxfId="904">
      <pivotArea dataOnly="0" labelOnly="1" outline="0" fieldPosition="0">
        <references count="1">
          <reference field="4294967294" count="15">
            <x v="0"/>
            <x v="1"/>
            <x v="2"/>
            <x v="3"/>
            <x v="4"/>
            <x v="5"/>
            <x v="6"/>
            <x v="7"/>
            <x v="8"/>
            <x v="9"/>
            <x v="10"/>
            <x v="11"/>
            <x v="12"/>
            <x v="13"/>
            <x v="14"/>
          </reference>
        </references>
      </pivotArea>
    </format>
    <format dxfId="903">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average wage per fte 20/21 min" cacheId="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O5:AP20"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15">
    <i>
      <x/>
    </i>
    <i i="1">
      <x v="1"/>
    </i>
    <i i="2">
      <x v="2"/>
    </i>
    <i i="3">
      <x v="3"/>
    </i>
    <i i="4">
      <x v="4"/>
    </i>
    <i i="5">
      <x v="5"/>
    </i>
    <i i="6">
      <x v="6"/>
    </i>
    <i i="7">
      <x v="7"/>
    </i>
    <i i="8">
      <x v="8"/>
    </i>
    <i i="9">
      <x v="9"/>
    </i>
    <i i="10">
      <x v="10"/>
    </i>
    <i i="11">
      <x v="11"/>
    </i>
    <i i="12">
      <x v="12"/>
    </i>
    <i i="13">
      <x v="13"/>
    </i>
    <i i="14">
      <x v="14"/>
    </i>
  </rowItems>
  <colItems count="1">
    <i/>
  </colItems>
  <dataFields count="15">
    <dataField name="Sum of Registered manager: Previous 2020/21 Minimum hourly pay rate ADJUSTED X FTE" fld="411" baseField="0" baseItem="1341521920"/>
    <dataField name="Sum of Deputy manager: Previous 2020/21 Minimum hourly pay rate ADJUSTED X FTE" fld="415" baseField="0" baseItem="1341521920"/>
    <dataField name="Sum of Other manager 1: Previous 2020/21 Minimum hourly pay rate ADJUSTED X FTE" fld="419" baseField="0" baseItem="1341521920"/>
    <dataField name="Sum of Other manager 2: Previous 2020/21 Minimum hourly pay rate ADJUSTED X FTE" fld="423" baseField="0" baseItem="1341521920"/>
    <dataField name="Sum of Other manager 3: Previous 2020/21 Minimum hourly pay rate ADJUSTED X FTE" fld="427" baseField="0" baseItem="1341521920"/>
    <dataField name="Sum of Care Assistant 1: Previous 2020/21 Minimum hourly pay rate ADJUSTED X FTE" fld="431" baseField="0" baseItem="1341521920"/>
    <dataField name="Sum of Care Assistant 2: Previous 2020/21 Minimum hourly pay rate ADJUSTED X FTE" fld="435" baseField="0" baseItem="1341521920"/>
    <dataField name="Sum of Care Assistant 3: Previous 2020/21 Minimum hourly pay rate ADJUSTED X FTE" fld="439" baseField="0" baseItem="1341521920"/>
    <dataField name="Sum of Care Assistant 4: Previous 2020/21 Minimum hourly pay rate ADJUSTED X FTE" fld="443" baseField="0" baseItem="1341521920"/>
    <dataField name="Sum of Administrative Officer 1: Previous 2020/21 Minimum hourly pay rate ADJUSTED X FTE" fld="447" baseField="0" baseItem="1341521920"/>
    <dataField name="Sum of Administrative Officer 2: Previous 2020/21 Minimum hourly pay rate ADJUSTED X FTE" fld="451" baseField="0" baseItem="1341521920"/>
    <dataField name="Sum of Administrative Officer 3: Previous 2020/21 Minimum hourly pay rate ADJUSTED X FTE" fld="455" baseField="0" baseItem="1341521920"/>
    <dataField name="Sum of Other staff 1: Previous 2020/21 Minimum hourly pay rate ADJUSTED X FTE" fld="459" baseField="0" baseItem="1341521920"/>
    <dataField name="Sum of Other staff 2: Previous 2020/21 Minimum hourly pay rate ADJUSTED X FTE" fld="463" baseField="0" baseItem="1341521920"/>
    <dataField name="Sum of Other staff 3: Previous 2020/21 Minimum hourly pay rate ADJUSTED X FTE" fld="467" baseField="0" baseItem="1341521920"/>
  </dataFields>
  <formats count="10">
    <format dxfId="922">
      <pivotArea type="all" dataOnly="0" outline="0" fieldPosition="0"/>
    </format>
    <format dxfId="921">
      <pivotArea outline="0" collapsedLevelsAreSubtotals="1" fieldPosition="0"/>
    </format>
    <format dxfId="920">
      <pivotArea field="-2" type="button" dataOnly="0" labelOnly="1" outline="0" axis="axisRow" fieldPosition="0"/>
    </format>
    <format dxfId="919">
      <pivotArea dataOnly="0" labelOnly="1" outline="0" fieldPosition="0">
        <references count="1">
          <reference field="4294967294" count="15">
            <x v="0"/>
            <x v="1"/>
            <x v="2"/>
            <x v="3"/>
            <x v="4"/>
            <x v="5"/>
            <x v="6"/>
            <x v="7"/>
            <x v="8"/>
            <x v="9"/>
            <x v="10"/>
            <x v="11"/>
            <x v="12"/>
            <x v="13"/>
            <x v="14"/>
          </reference>
        </references>
      </pivotArea>
    </format>
    <format dxfId="918">
      <pivotArea dataOnly="0" labelOnly="1" grandCol="1" outline="0" axis="axisCol" fieldPosition="0"/>
    </format>
    <format dxfId="917">
      <pivotArea type="all" dataOnly="0" outline="0" fieldPosition="0"/>
    </format>
    <format dxfId="916">
      <pivotArea outline="0" collapsedLevelsAreSubtotals="1" fieldPosition="0"/>
    </format>
    <format dxfId="915">
      <pivotArea field="-2" type="button" dataOnly="0" labelOnly="1" outline="0" axis="axisRow" fieldPosition="0"/>
    </format>
    <format dxfId="914">
      <pivotArea dataOnly="0" labelOnly="1" outline="0" fieldPosition="0">
        <references count="1">
          <reference field="4294967294" count="15">
            <x v="0"/>
            <x v="1"/>
            <x v="2"/>
            <x v="3"/>
            <x v="4"/>
            <x v="5"/>
            <x v="6"/>
            <x v="7"/>
            <x v="8"/>
            <x v="9"/>
            <x v="10"/>
            <x v="11"/>
            <x v="12"/>
            <x v="13"/>
            <x v="14"/>
          </reference>
        </references>
      </pivotArea>
    </format>
    <format dxfId="913">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name="Total amount below NLW" cacheId="6"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G4:BH18"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14">
    <i>
      <x/>
    </i>
    <i i="1">
      <x v="1"/>
    </i>
    <i i="2">
      <x v="2"/>
    </i>
    <i i="3">
      <x v="3"/>
    </i>
    <i i="4">
      <x v="4"/>
    </i>
    <i i="5">
      <x v="5"/>
    </i>
    <i i="6">
      <x v="6"/>
    </i>
    <i i="7">
      <x v="7"/>
    </i>
    <i i="8">
      <x v="8"/>
    </i>
    <i i="9">
      <x v="9"/>
    </i>
    <i i="10">
      <x v="10"/>
    </i>
    <i i="11">
      <x v="11"/>
    </i>
    <i i="12">
      <x v="12"/>
    </i>
    <i i="13">
      <x v="13"/>
    </i>
  </rowItems>
  <colItems count="1">
    <i/>
  </colItems>
  <dataFields count="14">
    <dataField name=" Registered Manager amount less less than NLW 23yrs 2022/23" fld="359" baseField="0" baseItem="1364066304"/>
    <dataField name=" Deputy Manager amount less less than NLW 23yrs 2022/23" fld="360" baseField="0" baseItem="1364066304"/>
    <dataField name=" Other Manager 1 amount less less than NLW 23yrs 2022/23" fld="361" baseField="0" baseItem="1364066304"/>
    <dataField name=" Other Manager 2 amount less less than NLW 23yrs 2022/23" fld="362" baseField="0" baseItem="1364066304"/>
    <dataField name=" Other Manager 3 amount less less than NLW 23yrs 2022/23" fld="363" baseField="0" baseItem="1364066304"/>
    <dataField name=" Care Assistant 1 amount less less than NLW 23yrs 2022/23" fld="364" baseField="0" baseItem="1364066304"/>
    <dataField name=" Care Assistant 2 amount less less than NLW 23yrs 2022/23" fld="365" baseField="0" baseItem="1364066304"/>
    <dataField name=" Care Assistant 3 amount less less than NLW 23yrs 2022/23" fld="366" baseField="0" baseItem="1364066304"/>
    <dataField name=" Care Assistant 4 amount less less than NLW 23yrs 2022/23" fld="367" baseField="0" baseItem="1364066304"/>
    <dataField name=" Administrative Officer 1 amount less less than NLW 23yrs 2022/23" fld="368" baseField="0" baseItem="1364066304"/>
    <dataField name=" Administrative Officer 2 amount less less than NLW 23yrs 2022/23" fld="369" baseField="0" baseItem="1364066304"/>
    <dataField name=" Other staff 1 amount less less than NLW 23yrs 2022/23" fld="370" baseField="0" baseItem="1364066304"/>
    <dataField name=" Other staff 2 amount less less than NLW 23yrs 2022/23" fld="371" baseField="0" baseItem="1364066304"/>
    <dataField name=" Other staff 3 amount less less than NLW 23yrs 2022/23" fld="372" baseField="0" baseItem="1364066304" numFmtId="164"/>
  </dataFields>
  <formats count="32">
    <format dxfId="954">
      <pivotArea outline="0" fieldPosition="0">
        <references count="1">
          <reference field="4294967294" count="1">
            <x v="13"/>
          </reference>
        </references>
      </pivotArea>
    </format>
    <format dxfId="953">
      <pivotArea outline="0" collapsedLevelsAreSubtotals="1" fieldPosition="0"/>
    </format>
    <format dxfId="952">
      <pivotArea dataOnly="0" labelOnly="1" grandCol="1" outline="0" axis="axisCol" fieldPosition="0"/>
    </format>
    <format dxfId="951">
      <pivotArea type="all" dataOnly="0" outline="0" fieldPosition="0"/>
    </format>
    <format dxfId="950">
      <pivotArea outline="0" collapsedLevelsAreSubtotals="1" fieldPosition="0"/>
    </format>
    <format dxfId="949">
      <pivotArea field="-2" type="button" dataOnly="0" labelOnly="1" outline="0" axis="axisRow" fieldPosition="0"/>
    </format>
    <format dxfId="948">
      <pivotArea dataOnly="0" labelOnly="1" outline="0" fieldPosition="0">
        <references count="1">
          <reference field="4294967294" count="14">
            <x v="0"/>
            <x v="1"/>
            <x v="2"/>
            <x v="3"/>
            <x v="4"/>
            <x v="5"/>
            <x v="6"/>
            <x v="7"/>
            <x v="8"/>
            <x v="9"/>
            <x v="10"/>
            <x v="11"/>
            <x v="12"/>
            <x v="13"/>
          </reference>
        </references>
      </pivotArea>
    </format>
    <format dxfId="947">
      <pivotArea dataOnly="0" labelOnly="1" grandCol="1" outline="0" axis="axisCol" fieldPosition="0"/>
    </format>
    <format dxfId="946">
      <pivotArea outline="0" collapsedLevelsAreSubtotals="1" fieldPosition="0"/>
    </format>
    <format dxfId="945">
      <pivotArea dataOnly="0" labelOnly="1" grandCol="1" outline="0" axis="axisCol" fieldPosition="0"/>
    </format>
    <format dxfId="944">
      <pivotArea type="all" dataOnly="0" outline="0" fieldPosition="0"/>
    </format>
    <format dxfId="943">
      <pivotArea outline="0" collapsedLevelsAreSubtotals="1" fieldPosition="0"/>
    </format>
    <format dxfId="942">
      <pivotArea field="-2" type="button" dataOnly="0" labelOnly="1" outline="0" axis="axisRow" fieldPosition="0"/>
    </format>
    <format dxfId="941">
      <pivotArea dataOnly="0" labelOnly="1" outline="0" fieldPosition="0">
        <references count="1">
          <reference field="4294967294" count="14">
            <x v="0"/>
            <x v="1"/>
            <x v="2"/>
            <x v="3"/>
            <x v="4"/>
            <x v="5"/>
            <x v="6"/>
            <x v="7"/>
            <x v="8"/>
            <x v="9"/>
            <x v="10"/>
            <x v="11"/>
            <x v="12"/>
            <x v="13"/>
          </reference>
        </references>
      </pivotArea>
    </format>
    <format dxfId="940">
      <pivotArea dataOnly="0" labelOnly="1" grandCol="1" outline="0" axis="axisCol" fieldPosition="0"/>
    </format>
    <format dxfId="939">
      <pivotArea field="-2" type="button" dataOnly="0" labelOnly="1" outline="0" axis="axisRow" fieldPosition="0"/>
    </format>
    <format dxfId="938">
      <pivotArea dataOnly="0" labelOnly="1" grandCol="1" outline="0" axis="axisCol" fieldPosition="0"/>
    </format>
    <format dxfId="937">
      <pivotArea type="all" dataOnly="0" outline="0" fieldPosition="0"/>
    </format>
    <format dxfId="936">
      <pivotArea outline="0" collapsedLevelsAreSubtotals="1" fieldPosition="0"/>
    </format>
    <format dxfId="935">
      <pivotArea dataOnly="0" labelOnly="1" outline="0" fieldPosition="0">
        <references count="1">
          <reference field="4294967294" count="14">
            <x v="0"/>
            <x v="1"/>
            <x v="2"/>
            <x v="3"/>
            <x v="4"/>
            <x v="5"/>
            <x v="6"/>
            <x v="7"/>
            <x v="8"/>
            <x v="9"/>
            <x v="10"/>
            <x v="11"/>
            <x v="12"/>
            <x v="13"/>
          </reference>
        </references>
      </pivotArea>
    </format>
    <format dxfId="934">
      <pivotArea field="-2" type="button" dataOnly="0" labelOnly="1" outline="0" axis="axisRow" fieldPosition="0"/>
    </format>
    <format dxfId="933">
      <pivotArea dataOnly="0" labelOnly="1" grandCol="1" outline="0" axis="axisCol" fieldPosition="0"/>
    </format>
    <format dxfId="932">
      <pivotArea type="all" dataOnly="0" outline="0" fieldPosition="0"/>
    </format>
    <format dxfId="931">
      <pivotArea outline="0" collapsedLevelsAreSubtotals="1" fieldPosition="0"/>
    </format>
    <format dxfId="930">
      <pivotArea field="-2" type="button" dataOnly="0" labelOnly="1" outline="0" axis="axisRow" fieldPosition="0"/>
    </format>
    <format dxfId="929">
      <pivotArea dataOnly="0" labelOnly="1" outline="0" fieldPosition="0">
        <references count="1">
          <reference field="4294967294" count="14">
            <x v="0"/>
            <x v="1"/>
            <x v="2"/>
            <x v="3"/>
            <x v="4"/>
            <x v="5"/>
            <x v="6"/>
            <x v="7"/>
            <x v="8"/>
            <x v="9"/>
            <x v="10"/>
            <x v="11"/>
            <x v="12"/>
            <x v="13"/>
          </reference>
        </references>
      </pivotArea>
    </format>
    <format dxfId="928">
      <pivotArea dataOnly="0" labelOnly="1" grandCol="1" outline="0" axis="axisCol" fieldPosition="0"/>
    </format>
    <format dxfId="927">
      <pivotArea type="all" dataOnly="0" outline="0" fieldPosition="0"/>
    </format>
    <format dxfId="926">
      <pivotArea outline="0" collapsedLevelsAreSubtotals="1" fieldPosition="0"/>
    </format>
    <format dxfId="925">
      <pivotArea field="-2" type="button" dataOnly="0" labelOnly="1" outline="0" axis="axisRow" fieldPosition="0"/>
    </format>
    <format dxfId="924">
      <pivotArea dataOnly="0" labelOnly="1" outline="0" fieldPosition="0">
        <references count="1">
          <reference field="4294967294" count="14">
            <x v="0"/>
            <x v="1"/>
            <x v="2"/>
            <x v="3"/>
            <x v="4"/>
            <x v="5"/>
            <x v="6"/>
            <x v="7"/>
            <x v="8"/>
            <x v="9"/>
            <x v="10"/>
            <x v="11"/>
            <x v="12"/>
            <x v="13"/>
          </reference>
        </references>
      </pivotArea>
    </format>
    <format dxfId="923">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name="Clients Num Record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N47:AN48"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dataField="1"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Number of records:" fld="336" subtotal="count" baseField="0" baseItem="1133719472"/>
  </dataFields>
  <formats count="22">
    <format dxfId="976">
      <pivotArea dataOnly="0" outline="0" axis="axisValues" fieldPosition="0"/>
    </format>
    <format dxfId="975">
      <pivotArea outline="0" collapsedLevelsAreSubtotals="1" fieldPosition="0"/>
    </format>
    <format dxfId="974">
      <pivotArea type="all" dataOnly="0" outline="0" fieldPosition="0"/>
    </format>
    <format dxfId="973">
      <pivotArea outline="0" collapsedLevelsAreSubtotals="1" fieldPosition="0"/>
    </format>
    <format dxfId="972">
      <pivotArea dataOnly="0" labelOnly="1" outline="0" axis="axisValues" fieldPosition="0"/>
    </format>
    <format dxfId="971">
      <pivotArea type="all" dataOnly="0" outline="0" fieldPosition="0"/>
    </format>
    <format dxfId="970">
      <pivotArea outline="0" collapsedLevelsAreSubtotals="1" fieldPosition="0"/>
    </format>
    <format dxfId="969">
      <pivotArea dataOnly="0" labelOnly="1" outline="0" axis="axisValues" fieldPosition="0"/>
    </format>
    <format dxfId="968">
      <pivotArea type="all" dataOnly="0" outline="0" fieldPosition="0"/>
    </format>
    <format dxfId="967">
      <pivotArea outline="0" collapsedLevelsAreSubtotals="1" fieldPosition="0"/>
    </format>
    <format dxfId="966">
      <pivotArea dataOnly="0" labelOnly="1" outline="0" axis="axisValues" fieldPosition="0"/>
    </format>
    <format dxfId="965">
      <pivotArea type="all" dataOnly="0" outline="0" fieldPosition="0"/>
    </format>
    <format dxfId="964">
      <pivotArea dataOnly="0" labelOnly="1" outline="0" axis="axisValues" fieldPosition="0"/>
    </format>
    <format dxfId="963">
      <pivotArea dataOnly="0" labelOnly="1" outline="0" axis="axisValues" fieldPosition="0"/>
    </format>
    <format dxfId="962">
      <pivotArea outline="0" collapsedLevelsAreSubtotals="1" fieldPosition="0"/>
    </format>
    <format dxfId="961">
      <pivotArea dataOnly="0" labelOnly="1" outline="0" axis="axisValues" fieldPosition="0"/>
    </format>
    <format dxfId="960">
      <pivotArea type="all" dataOnly="0" outline="0" fieldPosition="0"/>
    </format>
    <format dxfId="959">
      <pivotArea outline="0" collapsedLevelsAreSubtotals="1" fieldPosition="0"/>
    </format>
    <format dxfId="958">
      <pivotArea dataOnly="0" labelOnly="1" outline="0" axis="axisValues" fieldPosition="0"/>
    </format>
    <format dxfId="957">
      <pivotArea type="all" dataOnly="0" outline="0" fieldPosition="0"/>
    </format>
    <format dxfId="956">
      <pivotArea outline="0" collapsedLevelsAreSubtotals="1" fieldPosition="0"/>
    </format>
    <format dxfId="95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name="PivotTable8" cacheId="6" dataOnRows="1" applyNumberFormats="0" applyBorderFormats="0" applyFontFormats="0" applyPatternFormats="0" applyAlignmentFormats="0" applyWidthHeightFormats="1" dataCaption=" " updatedVersion="6" minRefreshableVersion="3" itemPrintTitles="1" createdVersion="6" indent="0" outline="1" outlineData="1" multipleFieldFilters="0" chartFormat="5">
  <location ref="BP44:BP45"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Avg. employer pension contribution" fld="105" subtotal="average" baseField="0" baseItem="1132920832" numFmtId="10"/>
  </dataFields>
  <formats count="12">
    <format dxfId="988">
      <pivotArea outline="0" collapsedLevelsAreSubtotals="1" fieldPosition="0"/>
    </format>
    <format dxfId="987">
      <pivotArea dataOnly="0" labelOnly="1" grandCol="1" outline="0" axis="axisCol" fieldPosition="0"/>
    </format>
    <format dxfId="986">
      <pivotArea outline="0" fieldPosition="0">
        <references count="1">
          <reference field="4294967294" count="1">
            <x v="0"/>
          </reference>
        </references>
      </pivotArea>
    </format>
    <format dxfId="985">
      <pivotArea type="all" dataOnly="0" outline="0" fieldPosition="0"/>
    </format>
    <format dxfId="984">
      <pivotArea outline="0" collapsedLevelsAreSubtotals="1" fieldPosition="0"/>
    </format>
    <format dxfId="983">
      <pivotArea dataOnly="0" labelOnly="1" outline="0" axis="axisValues" fieldPosition="0"/>
    </format>
    <format dxfId="982">
      <pivotArea type="all" dataOnly="0" outline="0" fieldPosition="0"/>
    </format>
    <format dxfId="981">
      <pivotArea outline="0" collapsedLevelsAreSubtotals="1" fieldPosition="0"/>
    </format>
    <format dxfId="980">
      <pivotArea dataOnly="0" labelOnly="1" outline="0" axis="axisValues" fieldPosition="0"/>
    </format>
    <format dxfId="979">
      <pivotArea type="all" dataOnly="0" outline="0" fieldPosition="0"/>
    </format>
    <format dxfId="978">
      <pivotArea outline="0" collapsedLevelsAreSubtotals="1" fieldPosition="0"/>
    </format>
    <format dxfId="97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name="average original amount of capital employed" cacheId="6"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CM49:CM50"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Average Original amount of Capital employed" fld="161" subtotal="average" baseField="0" baseItem="1133719472" numFmtId="165"/>
  </dataFields>
  <formats count="11">
    <format dxfId="999">
      <pivotArea dataOnly="0" labelOnly="1" outline="0" axis="axisValues" fieldPosition="0"/>
    </format>
    <format dxfId="998">
      <pivotArea type="all" dataOnly="0" outline="0" fieldPosition="0"/>
    </format>
    <format dxfId="997">
      <pivotArea outline="0" collapsedLevelsAreSubtotals="1" fieldPosition="0"/>
    </format>
    <format dxfId="996">
      <pivotArea dataOnly="0" labelOnly="1" outline="0" axis="axisValues" fieldPosition="0"/>
    </format>
    <format dxfId="995">
      <pivotArea dataOnly="0" labelOnly="1" outline="0" axis="axisValues" fieldPosition="0"/>
    </format>
    <format dxfId="994">
      <pivotArea type="all" dataOnly="0" outline="0" fieldPosition="0"/>
    </format>
    <format dxfId="993">
      <pivotArea outline="0" collapsedLevelsAreSubtotals="1" fieldPosition="0"/>
    </format>
    <format dxfId="992">
      <pivotArea dataOnly="0" labelOnly="1" outline="0" axis="axisValues" fieldPosition="0"/>
    </format>
    <format dxfId="991">
      <pivotArea type="all" dataOnly="0" outline="0" fieldPosition="0"/>
    </format>
    <format dxfId="990">
      <pivotArea outline="0" collapsedLevelsAreSubtotals="1" fieldPosition="0"/>
    </format>
    <format dxfId="98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name="employees num records" cacheId="6" dataOnRows="1" applyNumberFormats="0" applyBorderFormats="0" applyFontFormats="0" applyPatternFormats="0" applyAlignmentFormats="0" applyWidthHeightFormats="1" dataCaption=" " updatedVersion="6" minRefreshableVersion="3" itemPrintTitles="1" createdVersion="6" indent="0" outline="1" outlineData="1" multipleFieldFilters="0" chartFormat="5">
  <location ref="BU48:BU49"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dataField="1"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Number of records:" fld="336" subtotal="count" baseField="0" baseItem="1132920832" numFmtId="1"/>
  </dataFields>
  <formats count="18">
    <format dxfId="1017">
      <pivotArea outline="0" collapsedLevelsAreSubtotals="1" fieldPosition="0"/>
    </format>
    <format dxfId="1016">
      <pivotArea dataOnly="0" labelOnly="1" grandCol="1" outline="0" axis="axisCol" fieldPosition="0"/>
    </format>
    <format dxfId="1015">
      <pivotArea outline="0" fieldPosition="0">
        <references count="1">
          <reference field="4294967294" count="1">
            <x v="0"/>
          </reference>
        </references>
      </pivotArea>
    </format>
    <format dxfId="1014">
      <pivotArea type="all" dataOnly="0" outline="0" fieldPosition="0"/>
    </format>
    <format dxfId="1013">
      <pivotArea outline="0" collapsedLevelsAreSubtotals="1" fieldPosition="0"/>
    </format>
    <format dxfId="1012">
      <pivotArea dataOnly="0" labelOnly="1" outline="0" axis="axisValues" fieldPosition="0"/>
    </format>
    <format dxfId="1011">
      <pivotArea type="all" dataOnly="0" outline="0" fieldPosition="0"/>
    </format>
    <format dxfId="1010">
      <pivotArea outline="0" collapsedLevelsAreSubtotals="1" fieldPosition="0"/>
    </format>
    <format dxfId="1009">
      <pivotArea dataOnly="0" labelOnly="1" outline="0" axis="axisValues" fieldPosition="0"/>
    </format>
    <format dxfId="1008">
      <pivotArea type="all" dataOnly="0" outline="0" fieldPosition="0"/>
    </format>
    <format dxfId="1007">
      <pivotArea outline="0" collapsedLevelsAreSubtotals="1" fieldPosition="0"/>
    </format>
    <format dxfId="1006">
      <pivotArea dataOnly="0" labelOnly="1" outline="0" axis="axisValues" fieldPosition="0"/>
    </format>
    <format dxfId="1005">
      <pivotArea type="all" dataOnly="0" outline="0" fieldPosition="0"/>
    </format>
    <format dxfId="1004">
      <pivotArea outline="0" collapsedLevelsAreSubtotals="1" fieldPosition="0"/>
    </format>
    <format dxfId="1003">
      <pivotArea dataOnly="0" labelOnly="1" outline="0" axis="axisValues" fieldPosition="0"/>
    </format>
    <format dxfId="1002">
      <pivotArea type="all" dataOnly="0" outline="0" fieldPosition="0"/>
    </format>
    <format dxfId="1001">
      <pivotArea outline="0" collapsedLevelsAreSubtotals="1" fieldPosition="0"/>
    </format>
    <format dxfId="100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name="max hs hour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F15:AF16"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Max of Total Home Support Hours" fld="293" subtotal="max" baseField="0" baseItem="0" numFmtId="1"/>
  </dataFields>
  <formats count="10">
    <format dxfId="1027">
      <pivotArea type="all" dataOnly="0" outline="0" fieldPosition="0"/>
    </format>
    <format dxfId="1026">
      <pivotArea outline="0" collapsedLevelsAreSubtotals="1" fieldPosition="0"/>
    </format>
    <format dxfId="1025">
      <pivotArea dataOnly="0" labelOnly="1" outline="0" axis="axisValues" fieldPosition="0"/>
    </format>
    <format dxfId="1024">
      <pivotArea dataOnly="0" labelOnly="1" outline="0" axis="axisValues" fieldPosition="0"/>
    </format>
    <format dxfId="1023">
      <pivotArea type="all" dataOnly="0" outline="0" fieldPosition="0"/>
    </format>
    <format dxfId="1022">
      <pivotArea outline="0" collapsedLevelsAreSubtotals="1" fieldPosition="0"/>
    </format>
    <format dxfId="1021">
      <pivotArea dataOnly="0" labelOnly="1" outline="0" axis="axisValues" fieldPosition="0"/>
    </format>
    <format dxfId="1020">
      <pivotArea type="all" dataOnly="0" outline="0" fieldPosition="0"/>
    </format>
    <format dxfId="1019">
      <pivotArea outline="0" collapsedLevelsAreSubtotals="1" fieldPosition="0"/>
    </format>
    <format dxfId="101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name="max sl client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F10:AF11" firstHeaderRow="1" firstDataRow="1" firstDataCol="0"/>
  <pivotFields count="484">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Max of Number of supported living clients:" fld="8" subtotal="max" baseField="0" baseItem="0"/>
  </dataFields>
  <formats count="12">
    <format dxfId="1039">
      <pivotArea outline="0" collapsedLevelsAreSubtotals="1" fieldPosition="0"/>
    </format>
    <format dxfId="1038">
      <pivotArea dataOnly="0" labelOnly="1" grandCol="1" outline="0" axis="axisCol" fieldPosition="0"/>
    </format>
    <format dxfId="1037">
      <pivotArea type="all" dataOnly="0" outline="0" fieldPosition="0"/>
    </format>
    <format dxfId="1036">
      <pivotArea outline="0" collapsedLevelsAreSubtotals="1" fieldPosition="0"/>
    </format>
    <format dxfId="1035">
      <pivotArea dataOnly="0" labelOnly="1" outline="0" axis="axisValues" fieldPosition="0"/>
    </format>
    <format dxfId="1034">
      <pivotArea dataOnly="0" labelOnly="1" outline="0" axis="axisValues" fieldPosition="0"/>
    </format>
    <format dxfId="1033">
      <pivotArea type="all" dataOnly="0" outline="0" fieldPosition="0"/>
    </format>
    <format dxfId="1032">
      <pivotArea outline="0" collapsedLevelsAreSubtotals="1" fieldPosition="0"/>
    </format>
    <format dxfId="1031">
      <pivotArea dataOnly="0" labelOnly="1" outline="0" axis="axisValues" fieldPosition="0"/>
    </format>
    <format dxfId="1030">
      <pivotArea type="all" dataOnly="0" outline="0" fieldPosition="0"/>
    </format>
    <format dxfId="1029">
      <pivotArea outline="0" collapsedLevelsAreSubtotals="1" fieldPosition="0"/>
    </format>
    <format dxfId="102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name="responses local authorities" cacheId="6"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
  <location ref="W3:Y12" firstHeaderRow="0" firstDataRow="1" firstDataCol="1"/>
  <pivotFields count="484">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0">
        <item m="1" x="8"/>
        <item x="7"/>
        <item x="0"/>
        <item x="2"/>
        <item x="3"/>
        <item x="6"/>
        <item x="1"/>
        <item x="4"/>
        <item x="5"/>
        <item t="default"/>
      </items>
      <autoSortScope>
        <pivotArea dataOnly="0" outline="0" fieldPosition="0">
          <references count="1">
            <reference field="4294967294" count="1" selected="0">
              <x v="0"/>
            </reference>
          </references>
        </pivotArea>
      </autoSortScope>
    </pivotField>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dataField="1"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164"/>
  </rowFields>
  <rowItems count="9">
    <i>
      <x v="2"/>
    </i>
    <i>
      <x v="7"/>
    </i>
    <i>
      <x v="6"/>
    </i>
    <i>
      <x v="8"/>
    </i>
    <i>
      <x v="4"/>
    </i>
    <i>
      <x v="3"/>
    </i>
    <i>
      <x v="5"/>
    </i>
    <i>
      <x v="1"/>
    </i>
    <i t="grand">
      <x/>
    </i>
  </rowItems>
  <colFields count="1">
    <field x="-2"/>
  </colFields>
  <colItems count="2">
    <i>
      <x/>
    </i>
    <i i="1">
      <x v="1"/>
    </i>
  </colItems>
  <dataFields count="2">
    <dataField name="Count of CQC Location ID:" fld="6" subtotal="count" baseField="164" baseItem="1"/>
    <dataField name="Percentage" fld="336" subtotal="count" showDataAs="percentOfTotal" baseField="164" baseItem="2" numFmtId="10"/>
  </dataFields>
  <formats count="12">
    <format dxfId="1051">
      <pivotArea type="all" dataOnly="0" outline="0" fieldPosition="0"/>
    </format>
    <format dxfId="1050">
      <pivotArea outline="0" collapsedLevelsAreSubtotals="1" fieldPosition="0"/>
    </format>
    <format dxfId="1049">
      <pivotArea field="164" type="button" dataOnly="0" labelOnly="1" outline="0" axis="axisRow" fieldPosition="0"/>
    </format>
    <format dxfId="1048">
      <pivotArea dataOnly="0" labelOnly="1" fieldPosition="0">
        <references count="1">
          <reference field="164" count="0"/>
        </references>
      </pivotArea>
    </format>
    <format dxfId="1047">
      <pivotArea dataOnly="0" labelOnly="1" grandRow="1" outline="0" fieldPosition="0"/>
    </format>
    <format dxfId="1046">
      <pivotArea dataOnly="0" labelOnly="1" outline="0" fieldPosition="0">
        <references count="1">
          <reference field="4294967294" count="2">
            <x v="0"/>
            <x v="1"/>
          </reference>
        </references>
      </pivotArea>
    </format>
    <format dxfId="1045">
      <pivotArea type="all" dataOnly="0" outline="0" fieldPosition="0"/>
    </format>
    <format dxfId="1044">
      <pivotArea outline="0" collapsedLevelsAreSubtotals="1" fieldPosition="0"/>
    </format>
    <format dxfId="1043">
      <pivotArea field="164" type="button" dataOnly="0" labelOnly="1" outline="0" axis="axisRow" fieldPosition="0"/>
    </format>
    <format dxfId="1042">
      <pivotArea dataOnly="0" labelOnly="1" fieldPosition="0">
        <references count="1">
          <reference field="164" count="0"/>
        </references>
      </pivotArea>
    </format>
    <format dxfId="1041">
      <pivotArea dataOnly="0" labelOnly="1" grandRow="1" outline="0" fieldPosition="0"/>
    </format>
    <format dxfId="1040">
      <pivotArea dataOnly="0" labelOnly="1" outline="0" fieldPosition="0">
        <references count="1">
          <reference field="4294967294" count="2">
            <x v="0"/>
            <x v="1"/>
          </reference>
        </references>
      </pivotArea>
    </format>
  </formats>
  <chartFormats count="2">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min sl client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G10:AG11" firstHeaderRow="1" firstDataRow="1" firstDataCol="0" rowPageCount="1" colPageCount="1"/>
  <pivotFields count="484">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pageFields count="1">
    <pageField fld="339" item="1" hier="-1"/>
  </pageFields>
  <dataFields count="1">
    <dataField name="Min of Number of supported living clients:" fld="8" subtotal="min" baseField="0" baseItem="0"/>
  </dataFields>
  <formats count="12">
    <format dxfId="555">
      <pivotArea outline="0" collapsedLevelsAreSubtotals="1" fieldPosition="0"/>
    </format>
    <format dxfId="554">
      <pivotArea dataOnly="0" labelOnly="1" grandCol="1" outline="0" axis="axisCol" fieldPosition="0"/>
    </format>
    <format dxfId="553">
      <pivotArea type="all" dataOnly="0" outline="0" fieldPosition="0"/>
    </format>
    <format dxfId="552">
      <pivotArea outline="0" collapsedLevelsAreSubtotals="1" fieldPosition="0"/>
    </format>
    <format dxfId="551">
      <pivotArea dataOnly="0" labelOnly="1" outline="0" axis="axisValues" fieldPosition="0"/>
    </format>
    <format dxfId="550">
      <pivotArea dataOnly="0" labelOnly="1" outline="0" axis="axisValues" fieldPosition="0"/>
    </format>
    <format dxfId="549">
      <pivotArea type="all" dataOnly="0" outline="0" fieldPosition="0"/>
    </format>
    <format dxfId="548">
      <pivotArea outline="0" collapsedLevelsAreSubtotals="1" fieldPosition="0"/>
    </format>
    <format dxfId="547">
      <pivotArea dataOnly="0" labelOnly="1" outline="0" axis="axisValues" fieldPosition="0"/>
    </format>
    <format dxfId="546">
      <pivotArea type="all" dataOnly="0" outline="0" fieldPosition="0"/>
    </format>
    <format dxfId="545">
      <pivotArea outline="0" collapsedLevelsAreSubtotals="1" fieldPosition="0"/>
    </format>
    <format dxfId="5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name="min hs hour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G15:AG16" firstHeaderRow="1" firstDataRow="1" firstDataCol="0" rowPageCount="1" colPageCount="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pageFields count="1">
    <pageField fld="340" item="1" hier="-1"/>
  </pageFields>
  <dataFields count="1">
    <dataField name="Min of Total Home Support Hours" fld="293" subtotal="min" baseField="0" baseItem="0" numFmtId="1"/>
  </dataFields>
  <formats count="10">
    <format dxfId="1061">
      <pivotArea type="all" dataOnly="0" outline="0" fieldPosition="0"/>
    </format>
    <format dxfId="1060">
      <pivotArea outline="0" collapsedLevelsAreSubtotals="1" fieldPosition="0"/>
    </format>
    <format dxfId="1059">
      <pivotArea dataOnly="0" labelOnly="1" outline="0" axis="axisValues" fieldPosition="0"/>
    </format>
    <format dxfId="1058">
      <pivotArea dataOnly="0" labelOnly="1" outline="0" axis="axisValues" fieldPosition="0"/>
    </format>
    <format dxfId="1057">
      <pivotArea type="all" dataOnly="0" outline="0" fieldPosition="0"/>
    </format>
    <format dxfId="1056">
      <pivotArea outline="0" collapsedLevelsAreSubtotals="1" fieldPosition="0"/>
    </format>
    <format dxfId="1055">
      <pivotArea dataOnly="0" labelOnly="1" outline="0" axis="axisValues" fieldPosition="0"/>
    </format>
    <format dxfId="1054">
      <pivotArea type="all" dataOnly="0" outline="0" fieldPosition="0"/>
    </format>
    <format dxfId="1053">
      <pivotArea outline="0" collapsedLevelsAreSubtotals="1" fieldPosition="0"/>
    </format>
    <format dxfId="105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name="average sl client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E10:AE11" firstHeaderRow="1" firstDataRow="1" firstDataCol="0" rowPageCount="1" colPageCount="1"/>
  <pivotFields count="484">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pageFields count="1">
    <pageField fld="339" item="1" hier="-1"/>
  </pageFields>
  <dataFields count="1">
    <dataField name="Average of Number of supported living clients:" fld="8" subtotal="average" baseField="0" baseItem="0"/>
  </dataFields>
  <formats count="12">
    <format dxfId="1073">
      <pivotArea outline="0" collapsedLevelsAreSubtotals="1" fieldPosition="0"/>
    </format>
    <format dxfId="1072">
      <pivotArea dataOnly="0" labelOnly="1" grandCol="1" outline="0" axis="axisCol" fieldPosition="0"/>
    </format>
    <format dxfId="1071">
      <pivotArea type="all" dataOnly="0" outline="0" fieldPosition="0"/>
    </format>
    <format dxfId="1070">
      <pivotArea outline="0" collapsedLevelsAreSubtotals="1" fieldPosition="0"/>
    </format>
    <format dxfId="1069">
      <pivotArea dataOnly="0" labelOnly="1" outline="0" axis="axisValues" fieldPosition="0"/>
    </format>
    <format dxfId="1068">
      <pivotArea dataOnly="0" labelOnly="1" outline="0" axis="axisValues" fieldPosition="0"/>
    </format>
    <format dxfId="1067">
      <pivotArea type="all" dataOnly="0" outline="0" fieldPosition="0"/>
    </format>
    <format dxfId="1066">
      <pivotArea outline="0" collapsedLevelsAreSubtotals="1" fieldPosition="0"/>
    </format>
    <format dxfId="1065">
      <pivotArea dataOnly="0" labelOnly="1" outline="0" axis="axisValues" fieldPosition="0"/>
    </format>
    <format dxfId="1064">
      <pivotArea type="all" dataOnly="0" outline="0" fieldPosition="0"/>
    </format>
    <format dxfId="1063">
      <pivotArea outline="0" collapsedLevelsAreSubtotals="1" fieldPosition="0"/>
    </format>
    <format dxfId="106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name="PivotTable3" cacheId="6" dataOnRows="1" applyNumberFormats="0" applyBorderFormats="0" applyFontFormats="0" applyPatternFormats="0" applyAlignmentFormats="0" applyWidthHeightFormats="1" dataCaption=" " updatedVersion="6" minRefreshableVersion="3" itemPrintTitles="1" createdVersion="6" indent="0" outline="1" outlineData="1" multipleFieldFilters="0">
  <location ref="BJ4:BK19"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15">
    <i>
      <x/>
    </i>
    <i i="1">
      <x v="1"/>
    </i>
    <i i="2">
      <x v="2"/>
    </i>
    <i i="3">
      <x v="3"/>
    </i>
    <i i="4">
      <x v="4"/>
    </i>
    <i i="5">
      <x v="5"/>
    </i>
    <i i="6">
      <x v="6"/>
    </i>
    <i i="7">
      <x v="7"/>
    </i>
    <i i="8">
      <x v="8"/>
    </i>
    <i i="9">
      <x v="9"/>
    </i>
    <i i="10">
      <x v="10"/>
    </i>
    <i i="11">
      <x v="11"/>
    </i>
    <i i="12">
      <x v="12"/>
    </i>
    <i i="13">
      <x v="13"/>
    </i>
    <i i="14">
      <x v="14"/>
    </i>
  </rowItems>
  <colItems count="1">
    <i/>
  </colItems>
  <dataFields count="15">
    <dataField name="Sum of Registered Manager FTE earning less than RLW 23yrs 2022/23" fld="380" baseField="0" baseItem="0"/>
    <dataField name="Sum of Deputy Manager FTE earning less than RLW 23yrs 2022/23" fld="381" baseField="0" baseItem="0"/>
    <dataField name="Sum of Other Manager 1 FTE earning less than RLW 23yrs 2022/23" fld="382" baseField="0" baseItem="0"/>
    <dataField name="Sum of Other Manager 2 FTE earning less than RLW 23yrs 2022/23" fld="383" baseField="0" baseItem="0"/>
    <dataField name="Sum of Other Manager 3 FTE earning less than RLW 23yrs 2022/23" fld="384" baseField="0" baseItem="0"/>
    <dataField name="Sum of Care Assistant 1 FTE earning less than RLW 23yrs 2022/23" fld="385" baseField="0" baseItem="0"/>
    <dataField name="Sum of Care Assistant 2 FTE earning less than RLW 23yrs 2022/23" fld="386" baseField="0" baseItem="0"/>
    <dataField name="Sum of Care Assistant 3 FTE earning less than RLW 23yrs 2022/23" fld="387" baseField="0" baseItem="0"/>
    <dataField name="Sum of Care Assistant 4 FTE earning less than RLW 23yrs 2022/23" fld="388" baseField="0" baseItem="0"/>
    <dataField name="Sum of Administrative Officer 1 FTE earning less than RLW 23yrs 2022/23" fld="389" baseField="0" baseItem="0"/>
    <dataField name="Sum of Administrative Officer 2 FTE earning less than RLW 23yrs 2022/23" fld="390" baseField="0" baseItem="0"/>
    <dataField name="Sum of Other staff 1 FTE earning less than RLW 23yrs 2022/23" fld="391" baseField="0" baseItem="0"/>
    <dataField name="Sum of Other staff 2 FTE earning less than RLW 23yrs 2022/23" fld="392" baseField="0" baseItem="0"/>
    <dataField name="Sum of Other staff 3 FTE earning less than RLW 23yrs 2022/23" fld="393" baseField="0" baseItem="0"/>
    <dataField name="Sum of Total Staff FTE earning less than RLW 23yrs 2022/23" fld="394" baseField="0" baseItem="0"/>
  </dataFields>
  <formats count="39">
    <format dxfId="1112">
      <pivotArea outline="0" collapsedLevelsAreSubtotals="1" fieldPosition="0"/>
    </format>
    <format dxfId="1111">
      <pivotArea dataOnly="0" labelOnly="1" grandCol="1" outline="0" axis="axisCol" fieldPosition="0"/>
    </format>
    <format dxfId="1110">
      <pivotArea type="all" dataOnly="0" outline="0" fieldPosition="0"/>
    </format>
    <format dxfId="1109">
      <pivotArea outline="0" collapsedLevelsAreSubtotals="1" fieldPosition="0"/>
    </format>
    <format dxfId="1108">
      <pivotArea field="-2" type="button" dataOnly="0" labelOnly="1" outline="0" axis="axisRow" fieldPosition="0"/>
    </format>
    <format dxfId="1107">
      <pivotArea dataOnly="0" labelOnly="1" grandCol="1" outline="0" axis="axisCol" fieldPosition="0"/>
    </format>
    <format dxfId="1106">
      <pivotArea outline="0" collapsedLevelsAreSubtotals="1" fieldPosition="0"/>
    </format>
    <format dxfId="1105">
      <pivotArea field="-2" type="button" dataOnly="0" labelOnly="1" outline="0" axis="axisRow" fieldPosition="0"/>
    </format>
    <format dxfId="1104">
      <pivotArea dataOnly="0" grandCol="1" outline="0" axis="axisCol" fieldPosition="0"/>
    </format>
    <format dxfId="1103">
      <pivotArea dataOnly="0" labelOnly="1" grandCol="1" outline="0" axis="axisCol" fieldPosition="0"/>
    </format>
    <format dxfId="1102">
      <pivotArea type="all" dataOnly="0" outline="0" fieldPosition="0"/>
    </format>
    <format dxfId="1101">
      <pivotArea outline="0" collapsedLevelsAreSubtotals="1" fieldPosition="0"/>
    </format>
    <format dxfId="1100">
      <pivotArea field="-2" type="button" dataOnly="0" labelOnly="1" outline="0" axis="axisRow" fieldPosition="0"/>
    </format>
    <format dxfId="1099">
      <pivotArea dataOnly="0" labelOnly="1" outline="0" fieldPosition="0">
        <references count="1">
          <reference field="4294967294" count="15">
            <x v="0"/>
            <x v="1"/>
            <x v="2"/>
            <x v="3"/>
            <x v="4"/>
            <x v="5"/>
            <x v="6"/>
            <x v="7"/>
            <x v="8"/>
            <x v="9"/>
            <x v="10"/>
            <x v="11"/>
            <x v="12"/>
            <x v="13"/>
            <x v="14"/>
          </reference>
        </references>
      </pivotArea>
    </format>
    <format dxfId="1098">
      <pivotArea dataOnly="0" labelOnly="1" grandCol="1" outline="0" axis="axisCol" fieldPosition="0"/>
    </format>
    <format dxfId="1097">
      <pivotArea field="-2" type="button" dataOnly="0" labelOnly="1" outline="0" axis="axisRow" fieldPosition="0"/>
    </format>
    <format dxfId="1096">
      <pivotArea dataOnly="0" labelOnly="1" grandCol="1" outline="0" axis="axisCol" fieldPosition="0"/>
    </format>
    <format dxfId="1095">
      <pivotArea collapsedLevelsAreSubtotals="1" fieldPosition="0">
        <references count="1">
          <reference field="4294967294" count="1">
            <x v="14"/>
          </reference>
        </references>
      </pivotArea>
    </format>
    <format dxfId="1094">
      <pivotArea dataOnly="0" labelOnly="1" outline="0" fieldPosition="0">
        <references count="1">
          <reference field="4294967294" count="1">
            <x v="14"/>
          </reference>
        </references>
      </pivotArea>
    </format>
    <format dxfId="1093">
      <pivotArea collapsedLevelsAreSubtotals="1" fieldPosition="0">
        <references count="1">
          <reference field="4294967294" count="1">
            <x v="14"/>
          </reference>
        </references>
      </pivotArea>
    </format>
    <format dxfId="1092">
      <pivotArea collapsedLevelsAreSubtotals="1" fieldPosition="0">
        <references count="1">
          <reference field="4294967294" count="1">
            <x v="14"/>
          </reference>
        </references>
      </pivotArea>
    </format>
    <format dxfId="1091">
      <pivotArea type="all" dataOnly="0" outline="0" fieldPosition="0"/>
    </format>
    <format dxfId="1090">
      <pivotArea outline="0" collapsedLevelsAreSubtotals="1" fieldPosition="0"/>
    </format>
    <format dxfId="1089">
      <pivotArea dataOnly="0" labelOnly="1" outline="0" fieldPosition="0">
        <references count="1">
          <reference field="4294967294" count="15">
            <x v="0"/>
            <x v="1"/>
            <x v="2"/>
            <x v="3"/>
            <x v="4"/>
            <x v="5"/>
            <x v="6"/>
            <x v="7"/>
            <x v="8"/>
            <x v="9"/>
            <x v="10"/>
            <x v="11"/>
            <x v="12"/>
            <x v="13"/>
            <x v="14"/>
          </reference>
        </references>
      </pivotArea>
    </format>
    <format dxfId="1088">
      <pivotArea collapsedLevelsAreSubtotals="1" fieldPosition="0">
        <references count="1">
          <reference field="4294967294" count="14">
            <x v="0"/>
            <x v="1"/>
            <x v="2"/>
            <x v="3"/>
            <x v="4"/>
            <x v="5"/>
            <x v="6"/>
            <x v="7"/>
            <x v="8"/>
            <x v="9"/>
            <x v="10"/>
            <x v="11"/>
            <x v="12"/>
            <x v="13"/>
          </reference>
        </references>
      </pivotArea>
    </format>
    <format dxfId="1087">
      <pivotArea dataOnly="0" labelOnly="1" outline="0" fieldPosition="0">
        <references count="1">
          <reference field="4294967294" count="14">
            <x v="0"/>
            <x v="1"/>
            <x v="2"/>
            <x v="3"/>
            <x v="4"/>
            <x v="5"/>
            <x v="6"/>
            <x v="7"/>
            <x v="8"/>
            <x v="9"/>
            <x v="10"/>
            <x v="11"/>
            <x v="12"/>
            <x v="13"/>
          </reference>
        </references>
      </pivotArea>
    </format>
    <format dxfId="1086">
      <pivotArea collapsedLevelsAreSubtotals="1" fieldPosition="0">
        <references count="1">
          <reference field="4294967294" count="1">
            <x v="14"/>
          </reference>
        </references>
      </pivotArea>
    </format>
    <format dxfId="1085">
      <pivotArea field="-2" type="button" dataOnly="0" labelOnly="1" outline="0" axis="axisRow" fieldPosition="0"/>
    </format>
    <format dxfId="1084">
      <pivotArea dataOnly="0" labelOnly="1" grandCol="1" outline="0" axis="axisCol" fieldPosition="0"/>
    </format>
    <format dxfId="1083">
      <pivotArea type="all" dataOnly="0" outline="0" fieldPosition="0"/>
    </format>
    <format dxfId="1082">
      <pivotArea outline="0" collapsedLevelsAreSubtotals="1" fieldPosition="0"/>
    </format>
    <format dxfId="1081">
      <pivotArea field="-2" type="button" dataOnly="0" labelOnly="1" outline="0" axis="axisRow" fieldPosition="0"/>
    </format>
    <format dxfId="1080">
      <pivotArea dataOnly="0" labelOnly="1" outline="0" fieldPosition="0">
        <references count="1">
          <reference field="4294967294" count="15">
            <x v="0"/>
            <x v="1"/>
            <x v="2"/>
            <x v="3"/>
            <x v="4"/>
            <x v="5"/>
            <x v="6"/>
            <x v="7"/>
            <x v="8"/>
            <x v="9"/>
            <x v="10"/>
            <x v="11"/>
            <x v="12"/>
            <x v="13"/>
            <x v="14"/>
          </reference>
        </references>
      </pivotArea>
    </format>
    <format dxfId="1079">
      <pivotArea dataOnly="0" labelOnly="1" grandCol="1" outline="0" axis="axisCol" fieldPosition="0"/>
    </format>
    <format dxfId="1078">
      <pivotArea type="all" dataOnly="0" outline="0" fieldPosition="0"/>
    </format>
    <format dxfId="1077">
      <pivotArea outline="0" collapsedLevelsAreSubtotals="1" fieldPosition="0"/>
    </format>
    <format dxfId="1076">
      <pivotArea field="-2" type="button" dataOnly="0" labelOnly="1" outline="0" axis="axisRow" fieldPosition="0"/>
    </format>
    <format dxfId="1075">
      <pivotArea dataOnly="0" labelOnly="1" outline="0" fieldPosition="0">
        <references count="1">
          <reference field="4294967294" count="15">
            <x v="0"/>
            <x v="1"/>
            <x v="2"/>
            <x v="3"/>
            <x v="4"/>
            <x v="5"/>
            <x v="6"/>
            <x v="7"/>
            <x v="8"/>
            <x v="9"/>
            <x v="10"/>
            <x v="11"/>
            <x v="12"/>
            <x v="13"/>
            <x v="14"/>
          </reference>
        </references>
      </pivotArea>
    </format>
    <format dxfId="1074">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name="cost categories" cacheId="6" dataOnRows="1" applyNumberFormats="0" applyBorderFormats="0" applyFontFormats="0" applyPatternFormats="0" applyAlignmentFormats="0" applyWidthHeightFormats="1" dataCaption="Cost Category" updatedVersion="6" minRefreshableVersion="3" itemPrintTitles="1" createdVersion="6" indent="0" outline="1" outlineData="1" multipleFieldFilters="0" chartFormat="7">
  <location ref="CG40:CH44" firstHeaderRow="1" firstDataRow="1" firstDataCol="1" rowPageCount="1" colPageCount="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axis="axisPage" showAll="0">
      <items count="66">
        <item m="1" x="2"/>
        <item m="1" x="36"/>
        <item m="1" x="60"/>
        <item m="1" x="4"/>
        <item m="1" x="13"/>
        <item m="1" x="37"/>
        <item m="1" x="63"/>
        <item m="1" x="58"/>
        <item m="1" x="47"/>
        <item m="1" x="45"/>
        <item m="1" x="42"/>
        <item m="1" x="31"/>
        <item m="1" x="6"/>
        <item m="1" x="59"/>
        <item m="1" x="48"/>
        <item m="1" x="32"/>
        <item m="1" x="38"/>
        <item m="1" x="14"/>
        <item m="1" x="16"/>
        <item m="1" x="7"/>
        <item m="1" x="12"/>
        <item m="1" x="17"/>
        <item m="1" x="51"/>
        <item m="1" x="9"/>
        <item m="1" x="41"/>
        <item m="1" x="39"/>
        <item m="1" x="21"/>
        <item m="1" x="8"/>
        <item m="1" x="25"/>
        <item m="1" x="64"/>
        <item m="1" x="55"/>
        <item m="1" x="35"/>
        <item m="1" x="26"/>
        <item m="1" x="3"/>
        <item m="1" x="5"/>
        <item m="1" x="62"/>
        <item m="1" x="56"/>
        <item m="1" x="10"/>
        <item m="1" x="52"/>
        <item m="1" x="49"/>
        <item m="1" x="61"/>
        <item m="1" x="43"/>
        <item m="1" x="54"/>
        <item m="1" x="29"/>
        <item m="1" x="28"/>
        <item m="1" x="20"/>
        <item m="1" x="19"/>
        <item m="1" x="23"/>
        <item m="1" x="18"/>
        <item m="1" x="53"/>
        <item m="1" x="11"/>
        <item m="1" x="22"/>
        <item m="1" x="57"/>
        <item m="1" x="30"/>
        <item m="1" x="50"/>
        <item m="1" x="40"/>
        <item m="1" x="15"/>
        <item m="1" x="44"/>
        <item m="1" x="24"/>
        <item m="1" x="27"/>
        <item m="1" x="46"/>
        <item m="1" x="33"/>
        <item m="1" x="34"/>
        <item x="1"/>
        <item x="0"/>
        <item t="default"/>
      </items>
    </pivotField>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dataField="1" numFmtId="2" showAll="0"/>
    <pivotField dataField="1" numFmtId="2" showAll="0"/>
    <pivotField dataField="1" numFmtId="2" showAll="0"/>
    <pivotField dataField="1"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4">
    <i>
      <x/>
    </i>
    <i i="1">
      <x v="1"/>
    </i>
    <i i="2">
      <x v="2"/>
    </i>
    <i i="3">
      <x v="3"/>
    </i>
  </rowItems>
  <colItems count="1">
    <i/>
  </colItems>
  <pageFields count="1">
    <pageField fld="299" item="64" hier="-1"/>
  </pageFields>
  <dataFields count="4">
    <dataField name="Direct Staffing" fld="376" subtotal="average" baseField="0" baseItem="1133719472" numFmtId="164"/>
    <dataField name="Non-direct staffing" fld="377" subtotal="average" baseField="0" baseItem="1133719472" numFmtId="164"/>
    <dataField name="Indirect" fld="378" subtotal="average" baseField="0" baseItem="1132920832" numFmtId="164"/>
    <dataField name="Overheads" fld="379" subtotal="average" baseField="0" baseItem="1132920832" numFmtId="164"/>
  </dataFields>
  <formats count="19">
    <format dxfId="1131">
      <pivotArea type="all" dataOnly="0" outline="0" fieldPosition="0"/>
    </format>
    <format dxfId="1130">
      <pivotArea outline="0" collapsedLevelsAreSubtotals="1" fieldPosition="0"/>
    </format>
    <format dxfId="1129">
      <pivotArea field="-2" type="button" dataOnly="0" labelOnly="1" outline="0" axis="axisRow" fieldPosition="0"/>
    </format>
    <format dxfId="1128">
      <pivotArea dataOnly="0" labelOnly="1" outline="0" fieldPosition="0">
        <references count="1">
          <reference field="4294967294" count="4">
            <x v="0"/>
            <x v="1"/>
            <x v="2"/>
            <x v="3"/>
          </reference>
        </references>
      </pivotArea>
    </format>
    <format dxfId="1127">
      <pivotArea dataOnly="0" labelOnly="1" grandCol="1" outline="0" axis="axisCol" fieldPosition="0"/>
    </format>
    <format dxfId="1126">
      <pivotArea field="-2" type="button" dataOnly="0" labelOnly="1" outline="0" axis="axisRow" fieldPosition="0"/>
    </format>
    <format dxfId="1125">
      <pivotArea dataOnly="0" labelOnly="1" outline="0" fieldPosition="0">
        <references count="1">
          <reference field="4294967294" count="4">
            <x v="0"/>
            <x v="1"/>
            <x v="2"/>
            <x v="3"/>
          </reference>
        </references>
      </pivotArea>
    </format>
    <format dxfId="1124">
      <pivotArea field="-2" type="button" dataOnly="0" labelOnly="1" outline="0" axis="axisRow" fieldPosition="0"/>
    </format>
    <format dxfId="1123">
      <pivotArea dataOnly="0" labelOnly="1" grandCol="1" outline="0" axis="axisCol" fieldPosition="0"/>
    </format>
    <format dxfId="1122">
      <pivotArea type="all" dataOnly="0" outline="0" fieldPosition="0"/>
    </format>
    <format dxfId="1121">
      <pivotArea outline="0" collapsedLevelsAreSubtotals="1" fieldPosition="0"/>
    </format>
    <format dxfId="1120">
      <pivotArea field="-2" type="button" dataOnly="0" labelOnly="1" outline="0" axis="axisRow" fieldPosition="0"/>
    </format>
    <format dxfId="1119">
      <pivotArea dataOnly="0" labelOnly="1" outline="0" fieldPosition="0">
        <references count="1">
          <reference field="4294967294" count="4">
            <x v="0"/>
            <x v="1"/>
            <x v="2"/>
            <x v="3"/>
          </reference>
        </references>
      </pivotArea>
    </format>
    <format dxfId="1118">
      <pivotArea dataOnly="0" labelOnly="1" grandCol="1" outline="0" axis="axisCol" fieldPosition="0"/>
    </format>
    <format dxfId="1117">
      <pivotArea type="all" dataOnly="0" outline="0" fieldPosition="0"/>
    </format>
    <format dxfId="1116">
      <pivotArea outline="0" collapsedLevelsAreSubtotals="1" fieldPosition="0"/>
    </format>
    <format dxfId="1115">
      <pivotArea field="-2" type="button" dataOnly="0" labelOnly="1" outline="0" axis="axisRow" fieldPosition="0"/>
    </format>
    <format dxfId="1114">
      <pivotArea dataOnly="0" labelOnly="1" outline="0" fieldPosition="0">
        <references count="1">
          <reference field="4294967294" count="4">
            <x v="0"/>
            <x v="1"/>
            <x v="2"/>
            <x v="3"/>
          </reference>
        </references>
      </pivotArea>
    </format>
    <format dxfId="1113">
      <pivotArea dataOnly="0" labelOnly="1" grandCol="1" outline="0" axis="axisCol"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name="total sl hour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D20:AD21"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 Total Supported Living Hours" fld="294" baseField="0" baseItem="0"/>
  </dataFields>
  <formats count="10">
    <format dxfId="1141">
      <pivotArea type="all" dataOnly="0" outline="0" fieldPosition="0"/>
    </format>
    <format dxfId="1140">
      <pivotArea outline="0" collapsedLevelsAreSubtotals="1" fieldPosition="0"/>
    </format>
    <format dxfId="1139">
      <pivotArea dataOnly="0" labelOnly="1" outline="0" axis="axisValues" fieldPosition="0"/>
    </format>
    <format dxfId="1138">
      <pivotArea dataOnly="0" labelOnly="1" outline="0" axis="axisValues" fieldPosition="0"/>
    </format>
    <format dxfId="1137">
      <pivotArea type="all" dataOnly="0" outline="0" fieldPosition="0"/>
    </format>
    <format dxfId="1136">
      <pivotArea outline="0" collapsedLevelsAreSubtotals="1" fieldPosition="0"/>
    </format>
    <format dxfId="1135">
      <pivotArea dataOnly="0" labelOnly="1" outline="0" axis="axisValues" fieldPosition="0"/>
    </format>
    <format dxfId="1134">
      <pivotArea type="all" dataOnly="0" outline="0" fieldPosition="0"/>
    </format>
    <format dxfId="1133">
      <pivotArea outline="0" collapsedLevelsAreSubtotals="1" fieldPosition="0"/>
    </format>
    <format dxfId="113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name="Occupancy and Funding" cacheId="6"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BX4:BY16"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12">
    <i>
      <x/>
    </i>
    <i i="1">
      <x v="1"/>
    </i>
    <i i="2">
      <x v="2"/>
    </i>
    <i i="3">
      <x v="3"/>
    </i>
    <i i="4">
      <x v="4"/>
    </i>
    <i i="5">
      <x v="5"/>
    </i>
    <i i="6">
      <x v="6"/>
    </i>
    <i i="7">
      <x v="7"/>
    </i>
    <i i="8">
      <x v="8"/>
    </i>
    <i i="9">
      <x v="9"/>
    </i>
    <i i="10">
      <x v="10"/>
    </i>
    <i i="11">
      <x v="11"/>
    </i>
  </rowItems>
  <colItems count="1">
    <i/>
  </colItems>
  <dataFields count="12">
    <dataField name=" Home Support: Birmingham City Council" fld="106" baseField="0" baseItem="0"/>
    <dataField name=" Home Support: Other Local Authority" fld="107" baseField="0" baseItem="0"/>
    <dataField name=" Home Support: NHS" fld="108" baseField="0" baseItem="0"/>
    <dataField name=" Home Support: Joint funded (Local Authority and NHS)" fld="109" baseField="0" baseItem="0"/>
    <dataField name=" Home Support: Direct Payment or Personal Health Budget" fld="110" baseField="0" baseItem="0"/>
    <dataField name=" Home Support: Self-funded" fld="111" baseField="0" baseItem="0"/>
    <dataField name=" Supported Living: Birmingham City Council" fld="112" baseField="0" baseItem="0"/>
    <dataField name=" Supported Living: Other Local Authority" fld="113" baseField="0" baseItem="0"/>
    <dataField name=" Supported Living: NHS" fld="114" baseField="0" baseItem="0"/>
    <dataField name=" Supported Living: Joint funded (Local Authority and NHS)" fld="115" baseField="0" baseItem="0"/>
    <dataField name=" Supported Living: Direct Payment or Personal Health Budget" fld="116" baseField="0" baseItem="0"/>
    <dataField name=" Supported Living: Self-funded" fld="117" baseField="0" baseItem="0"/>
  </dataFields>
  <formats count="19">
    <format dxfId="1160">
      <pivotArea outline="0" collapsedLevelsAreSubtotals="1" fieldPosition="0"/>
    </format>
    <format dxfId="1159">
      <pivotArea dataOnly="0" labelOnly="1" grandCol="1" outline="0" axis="axisCol" fieldPosition="0"/>
    </format>
    <format dxfId="1158">
      <pivotArea outline="0" collapsedLevelsAreSubtotals="1" fieldPosition="0"/>
    </format>
    <format dxfId="1157">
      <pivotArea dataOnly="0" labelOnly="1" outline="0" fieldPosition="0">
        <references count="1">
          <reference field="4294967294" count="12">
            <x v="0"/>
            <x v="1"/>
            <x v="2"/>
            <x v="3"/>
            <x v="4"/>
            <x v="5"/>
            <x v="6"/>
            <x v="7"/>
            <x v="8"/>
            <x v="9"/>
            <x v="10"/>
            <x v="11"/>
          </reference>
        </references>
      </pivotArea>
    </format>
    <format dxfId="1156">
      <pivotArea outline="0" collapsedLevelsAreSubtotals="1" fieldPosition="0"/>
    </format>
    <format dxfId="1155">
      <pivotArea field="-2" type="button" dataOnly="0" labelOnly="1" outline="0" axis="axisRow" fieldPosition="0"/>
    </format>
    <format dxfId="1154">
      <pivotArea dataOnly="0" labelOnly="1" grandCol="1" outline="0" axis="axisCol" fieldPosition="0"/>
    </format>
    <format dxfId="1153">
      <pivotArea field="-2" type="button" dataOnly="0" labelOnly="1" outline="0" axis="axisRow" fieldPosition="0"/>
    </format>
    <format dxfId="1152">
      <pivotArea dataOnly="0" labelOnly="1" grandCol="1" outline="0" axis="axisCol" fieldPosition="0"/>
    </format>
    <format dxfId="1151">
      <pivotArea type="all" dataOnly="0" outline="0" fieldPosition="0"/>
    </format>
    <format dxfId="1150">
      <pivotArea outline="0" collapsedLevelsAreSubtotals="1" fieldPosition="0"/>
    </format>
    <format dxfId="1149">
      <pivotArea field="-2" type="button" dataOnly="0" labelOnly="1" outline="0" axis="axisRow" fieldPosition="0"/>
    </format>
    <format dxfId="1148">
      <pivotArea dataOnly="0" labelOnly="1" outline="0" fieldPosition="0">
        <references count="1">
          <reference field="4294967294" count="12">
            <x v="0"/>
            <x v="1"/>
            <x v="2"/>
            <x v="3"/>
            <x v="4"/>
            <x v="5"/>
            <x v="6"/>
            <x v="7"/>
            <x v="8"/>
            <x v="9"/>
            <x v="10"/>
            <x v="11"/>
          </reference>
        </references>
      </pivotArea>
    </format>
    <format dxfId="1147">
      <pivotArea dataOnly="0" labelOnly="1" grandCol="1" outline="0" axis="axisCol" fieldPosition="0"/>
    </format>
    <format dxfId="1146">
      <pivotArea type="all" dataOnly="0" outline="0" fieldPosition="0"/>
    </format>
    <format dxfId="1145">
      <pivotArea outline="0" collapsedLevelsAreSubtotals="1" fieldPosition="0"/>
    </format>
    <format dxfId="1144">
      <pivotArea field="-2" type="button" dataOnly="0" labelOnly="1" outline="0" axis="axisRow" fieldPosition="0"/>
    </format>
    <format dxfId="1143">
      <pivotArea dataOnly="0" labelOnly="1" outline="0" fieldPosition="0">
        <references count="1">
          <reference field="4294967294" count="12">
            <x v="0"/>
            <x v="1"/>
            <x v="2"/>
            <x v="3"/>
            <x v="4"/>
            <x v="5"/>
            <x v="6"/>
            <x v="7"/>
            <x v="8"/>
            <x v="9"/>
            <x v="10"/>
            <x v="11"/>
          </reference>
        </references>
      </pivotArea>
    </format>
    <format dxfId="1142">
      <pivotArea dataOnly="0" labelOnly="1" grandCol="1" outline="0" axis="axisCol" fieldPosition="0"/>
    </format>
  </formats>
  <chartFormats count="14">
    <chartFormat chart="0"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2" format="1">
      <pivotArea type="data" outline="0" fieldPosition="0">
        <references count="1">
          <reference field="4294967294" count="1" selected="0">
            <x v="0"/>
          </reference>
        </references>
      </pivotArea>
    </chartFormat>
    <chartFormat chart="2" format="2">
      <pivotArea type="data" outline="0" fieldPosition="0">
        <references count="1">
          <reference field="4294967294" count="1" selected="0">
            <x v="1"/>
          </reference>
        </references>
      </pivotArea>
    </chartFormat>
    <chartFormat chart="2" format="3">
      <pivotArea type="data" outline="0" fieldPosition="0">
        <references count="1">
          <reference field="4294967294" count="1" selected="0">
            <x v="2"/>
          </reference>
        </references>
      </pivotArea>
    </chartFormat>
    <chartFormat chart="2" format="4">
      <pivotArea type="data" outline="0" fieldPosition="0">
        <references count="1">
          <reference field="4294967294" count="1" selected="0">
            <x v="3"/>
          </reference>
        </references>
      </pivotArea>
    </chartFormat>
    <chartFormat chart="2" format="5">
      <pivotArea type="data" outline="0" fieldPosition="0">
        <references count="1">
          <reference field="4294967294" count="1" selected="0">
            <x v="4"/>
          </reference>
        </references>
      </pivotArea>
    </chartFormat>
    <chartFormat chart="2" format="6">
      <pivotArea type="data" outline="0" fieldPosition="0">
        <references count="1">
          <reference field="4294967294" count="1" selected="0">
            <x v="5"/>
          </reference>
        </references>
      </pivotArea>
    </chartFormat>
    <chartFormat chart="2" format="7">
      <pivotArea type="data" outline="0" fieldPosition="0">
        <references count="1">
          <reference field="4294967294" count="1" selected="0">
            <x v="6"/>
          </reference>
        </references>
      </pivotArea>
    </chartFormat>
    <chartFormat chart="2" format="8">
      <pivotArea type="data" outline="0" fieldPosition="0">
        <references count="1">
          <reference field="4294967294" count="1" selected="0">
            <x v="7"/>
          </reference>
        </references>
      </pivotArea>
    </chartFormat>
    <chartFormat chart="2" format="9">
      <pivotArea type="data" outline="0" fieldPosition="0">
        <references count="1">
          <reference field="4294967294" count="1" selected="0">
            <x v="8"/>
          </reference>
        </references>
      </pivotArea>
    </chartFormat>
    <chartFormat chart="2" format="10">
      <pivotArea type="data" outline="0" fieldPosition="0">
        <references count="1">
          <reference field="4294967294" count="1" selected="0">
            <x v="9"/>
          </reference>
        </references>
      </pivotArea>
    </chartFormat>
    <chartFormat chart="2" format="11">
      <pivotArea type="data" outline="0" fieldPosition="0">
        <references count="1">
          <reference field="4294967294" count="1" selected="0">
            <x v="10"/>
          </reference>
        </references>
      </pivotArea>
    </chartFormat>
    <chartFormat chart="2" format="12">
      <pivotArea type="data" outline="0" fieldPosition="0">
        <references count="1">
          <reference field="429496729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name="min sl hour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G20:AG21" firstHeaderRow="1" firstDataRow="1" firstDataCol="0" rowPageCount="1" colPageCount="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pageFields count="1">
    <pageField fld="341" item="1" hier="-1"/>
  </pageFields>
  <dataFields count="1">
    <dataField name="Min of Total Supported Living Hours" fld="294" subtotal="min" baseField="0" baseItem="0"/>
  </dataFields>
  <formats count="10">
    <format dxfId="1170">
      <pivotArea type="all" dataOnly="0" outline="0" fieldPosition="0"/>
    </format>
    <format dxfId="1169">
      <pivotArea outline="0" collapsedLevelsAreSubtotals="1" fieldPosition="0"/>
    </format>
    <format dxfId="1168">
      <pivotArea dataOnly="0" labelOnly="1" outline="0" axis="axisValues" fieldPosition="0"/>
    </format>
    <format dxfId="1167">
      <pivotArea dataOnly="0" labelOnly="1" outline="0" axis="axisValues" fieldPosition="0"/>
    </format>
    <format dxfId="1166">
      <pivotArea type="all" dataOnly="0" outline="0" fieldPosition="0"/>
    </format>
    <format dxfId="1165">
      <pivotArea outline="0" collapsedLevelsAreSubtotals="1" fieldPosition="0"/>
    </format>
    <format dxfId="1164">
      <pivotArea dataOnly="0" labelOnly="1" outline="0" axis="axisValues" fieldPosition="0"/>
    </format>
    <format dxfId="1163">
      <pivotArea type="all" dataOnly="0" outline="0" fieldPosition="0"/>
    </format>
    <format dxfId="1162">
      <pivotArea outline="0" collapsedLevelsAreSubtotals="1" fieldPosition="0"/>
    </format>
    <format dxfId="116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otal hs client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D5:AD6" firstHeaderRow="1" firstDataRow="1" firstDataCol="0"/>
  <pivotFields count="484">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Total Home Support" fld="7" baseField="0" baseItem="0"/>
  </dataFields>
  <formats count="10">
    <format dxfId="565">
      <pivotArea type="all" dataOnly="0" outline="0" fieldPosition="0"/>
    </format>
    <format dxfId="564">
      <pivotArea outline="0" collapsedLevelsAreSubtotals="1" fieldPosition="0"/>
    </format>
    <format dxfId="563">
      <pivotArea dataOnly="0" labelOnly="1" outline="0" axis="axisValues" fieldPosition="0"/>
    </format>
    <format dxfId="562">
      <pivotArea dataOnly="0" labelOnly="1" outline="0" axis="axisValues" fieldPosition="0"/>
    </format>
    <format dxfId="561">
      <pivotArea type="all" dataOnly="0" outline="0" fieldPosition="0"/>
    </format>
    <format dxfId="560">
      <pivotArea outline="0" collapsedLevelsAreSubtotals="1" fieldPosition="0"/>
    </format>
    <format dxfId="559">
      <pivotArea dataOnly="0" labelOnly="1" outline="0" axis="axisValues" fieldPosition="0"/>
    </format>
    <format dxfId="558">
      <pivotArea type="all" dataOnly="0" outline="0" fieldPosition="0"/>
    </format>
    <format dxfId="557">
      <pivotArea outline="0" collapsedLevelsAreSubtotals="1" fieldPosition="0"/>
    </format>
    <format dxfId="55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costs num records" cacheId="6"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CJ48:CJ49" firstHeaderRow="1" firstDataRow="1" firstDataCol="0"/>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dataField="1"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dataFields count="1">
    <dataField name="Number of records:" fld="336" subtotal="count" baseField="0" baseItem="1132920832" numFmtId="1"/>
  </dataFields>
  <formats count="14">
    <format dxfId="579">
      <pivotArea type="all" dataOnly="0" outline="0" fieldPosition="0"/>
    </format>
    <format dxfId="578">
      <pivotArea outline="0" collapsedLevelsAreSubtotals="1" fieldPosition="0"/>
    </format>
    <format dxfId="577">
      <pivotArea dataOnly="0" labelOnly="1" outline="0" axis="axisValues" fieldPosition="0"/>
    </format>
    <format dxfId="576">
      <pivotArea outline="0" fieldPosition="0">
        <references count="1">
          <reference field="4294967294" count="1">
            <x v="0"/>
          </reference>
        </references>
      </pivotArea>
    </format>
    <format dxfId="575">
      <pivotArea type="all" dataOnly="0" outline="0" fieldPosition="0"/>
    </format>
    <format dxfId="574">
      <pivotArea outline="0" collapsedLevelsAreSubtotals="1" fieldPosition="0"/>
    </format>
    <format dxfId="573">
      <pivotArea dataOnly="0" labelOnly="1" outline="0" axis="axisValues" fieldPosition="0"/>
    </format>
    <format dxfId="572">
      <pivotArea dataOnly="0" labelOnly="1" outline="0" axis="axisValues" fieldPosition="0"/>
    </format>
    <format dxfId="571">
      <pivotArea type="all" dataOnly="0" outline="0" fieldPosition="0"/>
    </format>
    <format dxfId="570">
      <pivotArea outline="0" collapsedLevelsAreSubtotals="1" fieldPosition="0"/>
    </format>
    <format dxfId="569">
      <pivotArea dataOnly="0" labelOnly="1" outline="0" axis="axisValues" fieldPosition="0"/>
    </format>
    <format dxfId="568">
      <pivotArea type="all" dataOnly="0" outline="0" fieldPosition="0"/>
    </format>
    <format dxfId="567">
      <pivotArea outline="0" collapsedLevelsAreSubtotals="1" fieldPosition="0"/>
    </format>
    <format dxfId="56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Hourly Costs" cacheId="6" dataOnRows="1" applyNumberFormats="0" applyBorderFormats="0" applyFontFormats="0" applyPatternFormats="0" applyAlignmentFormats="0" applyWidthHeightFormats="1" dataCaption=" " updatedVersion="6" minRefreshableVersion="3" itemPrintTitles="1" createdVersion="6" indent="0" outline="1" outlineData="1" multipleFieldFilters="0" chartFormat="1">
  <location ref="CG4:CH35" firstHeaderRow="1" firstDataRow="1" firstDataCol="1" rowPageCount="1" colPageCount="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axis="axisPage" showAll="0">
      <items count="66">
        <item m="1" x="2"/>
        <item m="1" x="36"/>
        <item m="1" x="60"/>
        <item m="1" x="4"/>
        <item m="1" x="13"/>
        <item m="1" x="37"/>
        <item m="1" x="63"/>
        <item m="1" x="58"/>
        <item m="1" x="47"/>
        <item m="1" x="45"/>
        <item m="1" x="42"/>
        <item m="1" x="31"/>
        <item m="1" x="6"/>
        <item m="1" x="59"/>
        <item m="1" x="48"/>
        <item m="1" x="32"/>
        <item m="1" x="38"/>
        <item m="1" x="14"/>
        <item m="1" x="16"/>
        <item m="1" x="7"/>
        <item m="1" x="12"/>
        <item m="1" x="17"/>
        <item m="1" x="51"/>
        <item m="1" x="9"/>
        <item m="1" x="41"/>
        <item m="1" x="39"/>
        <item m="1" x="21"/>
        <item m="1" x="8"/>
        <item m="1" x="25"/>
        <item m="1" x="64"/>
        <item m="1" x="55"/>
        <item m="1" x="35"/>
        <item m="1" x="26"/>
        <item m="1" x="3"/>
        <item m="1" x="5"/>
        <item m="1" x="62"/>
        <item m="1" x="56"/>
        <item m="1" x="10"/>
        <item m="1" x="52"/>
        <item m="1" x="49"/>
        <item m="1" x="61"/>
        <item m="1" x="43"/>
        <item m="1" x="54"/>
        <item m="1" x="29"/>
        <item m="1" x="28"/>
        <item m="1" x="20"/>
        <item m="1" x="19"/>
        <item m="1" x="23"/>
        <item m="1" x="18"/>
        <item m="1" x="53"/>
        <item m="1" x="11"/>
        <item m="1" x="22"/>
        <item m="1" x="57"/>
        <item m="1" x="30"/>
        <item m="1" x="50"/>
        <item m="1" x="40"/>
        <item m="1" x="15"/>
        <item m="1" x="44"/>
        <item m="1" x="24"/>
        <item m="1" x="27"/>
        <item m="1" x="46"/>
        <item m="1" x="33"/>
        <item m="1" x="34"/>
        <item x="1"/>
        <item x="0"/>
        <item t="default"/>
      </items>
    </pivotField>
    <pivotField showAll="0"/>
    <pivotField showAll="0"/>
    <pivotField showAll="0"/>
    <pivotField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numFmtId="2" showAll="0"/>
    <pivotField dataField="1" numFmtId="2" showAll="0"/>
    <pivotField dataField="1"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31">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rowItems>
  <colItems count="1">
    <i/>
  </colItems>
  <pageFields count="1">
    <pageField fld="299" item="64" hier="-1"/>
  </pageFields>
  <dataFields count="31">
    <dataField name=" Management staff  " fld="304" subtotal="average" baseField="0" baseItem="1364066304"/>
    <dataField name=" Care and Support staff  " fld="305" subtotal="average" baseField="0" baseItem="1364066304"/>
    <dataField name=" Administration  " fld="306" subtotal="average" baseField="0" baseItem="1364066304"/>
    <dataField name=" Other staff  " fld="307" subtotal="average" baseField="0" baseItem="1364066304"/>
    <dataField name=" Agency staff  " fld="308" subtotal="average" baseField="0" baseItem="1364066304"/>
    <dataField name=" Travel Cost  " fld="309" subtotal="average" baseField="0" baseItem="1364066304"/>
    <dataField name=" Travel Time  " fld="310" subtotal="average" baseField="0" baseItem="1364066304"/>
    <dataField name=" Training and development  " fld="311" subtotal="average" baseField="0" baseItem="1364066304"/>
    <dataField name=" Recruitment &amp; advertising (including DBS checks)  " fld="312" subtotal="average" baseField="0" baseItem="1364066304"/>
    <dataField name=" Training expenses (fees, facilities, travel and materials)  " fld="313" subtotal="average" baseField="0" baseItem="1364066304"/>
    <dataField name=" Care consumables &amp; uniforms  " fld="314" subtotal="average" baseField="0" baseItem="1364066304"/>
    <dataField name=" Electronic call monitoring  " fld="315" subtotal="average" baseField="0" baseItem="1364066304"/>
    <dataField name=" IT Equipment &amp; Telephoney  " fld="316" subtotal="average" baseField="0" baseItem="1364066304"/>
    <dataField name=" Non-Staffing Direct Cost: Other  - please specify (amount)  " fld="317" subtotal="average" baseField="0" baseItem="1364066304"/>
    <dataField name=" Non-Staffing Direct Cost: Other  - please specify (amount) 2  " fld="318" subtotal="average" baseField="0" baseItem="1364066304"/>
    <dataField name=" Insurance   " fld="319" subtotal="average" baseField="0" baseItem="1364066304"/>
    <dataField name=" Utilities (gas, oil, electricity, water, internet, rates)  " fld="320" subtotal="average" baseField="0" baseItem="1364066304"/>
    <dataField name=" Repairs and maintenance  " fld="321" subtotal="average" baseField="0" baseItem="1364066304"/>
    <dataField name=" Property cost relating to  rent/mortgage/lease/loan etc  " fld="322" subtotal="average" baseField="0" baseItem="1364066304"/>
    <dataField name=" Registration &amp; Inspection fees   " fld="323" subtotal="average" baseField="0" baseItem="1364066304"/>
    <dataField name=" Subscriptions  " fld="324" subtotal="average" baseField="0" baseItem="1364066304"/>
    <dataField name=" finance " fld="325" subtotal="average" baseField="0" baseItem="1364066304"/>
    <dataField name=" Other non-staff current expenses  " fld="326" subtotal="average" baseField="0" baseItem="1364066304"/>
    <dataField name=" Indirect costs: Other  - please specify (amount) 1  " fld="327" subtotal="average" baseField="0" baseItem="1364066304"/>
    <dataField name=" Indirect costs: Other  - please specify (amount) 2  " fld="328" subtotal="average" baseField="0" baseItem="1132920832"/>
    <dataField name=" Central / Regional Management  " fld="329" subtotal="average" baseField="0" baseItem="1364066304"/>
    <dataField name=" Support Services (finance / HR / Payroll / legal etc.)  " fld="330" subtotal="average" baseField="0" baseItem="1364066304"/>
    <dataField name=" Corporate Overheads: Other  - please specify (amount) 1  " fld="331" subtotal="average" baseField="0" baseItem="1364066304"/>
    <dataField name=" Corporate Overheads: Other  - please specify (amount) 2  " fld="332" subtotal="average" baseField="0" baseItem="1364066304"/>
    <dataField name=" Net Operating Profit" fld="334" subtotal="average" baseField="0" baseItem="1133719472"/>
    <dataField name=" Return on Capital Employed" fld="335" subtotal="average" baseField="0" baseItem="1132920832"/>
  </dataFields>
  <formats count="24">
    <format dxfId="603">
      <pivotArea outline="0" collapsedLevelsAreSubtotals="1" fieldPosition="0"/>
    </format>
    <format dxfId="602">
      <pivotArea dataOnly="0" labelOnly="1" grandCol="1" outline="0" axis="axisCol" fieldPosition="0"/>
    </format>
    <format dxfId="601">
      <pivotArea type="all" dataOnly="0" outline="0" fieldPosition="0"/>
    </format>
    <format dxfId="600">
      <pivotArea outline="0" collapsedLevelsAreSubtotals="1" fieldPosition="0"/>
    </format>
    <format dxfId="599">
      <pivotArea field="-2" type="button" dataOnly="0" labelOnly="1" outline="0" axis="axisRow" fieldPosition="0"/>
    </format>
    <format dxfId="598">
      <pivotArea dataOnly="0" labelOnly="1" outline="0" fieldPosition="0">
        <references count="1">
          <reference field="4294967294" count="31">
            <x v="0"/>
            <x v="1"/>
            <x v="2"/>
            <x v="3"/>
            <x v="4"/>
            <x v="5"/>
            <x v="6"/>
            <x v="7"/>
            <x v="8"/>
            <x v="9"/>
            <x v="10"/>
            <x v="11"/>
            <x v="12"/>
            <x v="13"/>
            <x v="14"/>
            <x v="15"/>
            <x v="16"/>
            <x v="17"/>
            <x v="18"/>
            <x v="19"/>
            <x v="20"/>
            <x v="21"/>
            <x v="22"/>
            <x v="23"/>
            <x v="24"/>
            <x v="25"/>
            <x v="26"/>
            <x v="27"/>
            <x v="28"/>
            <x v="29"/>
            <x v="30"/>
          </reference>
        </references>
      </pivotArea>
    </format>
    <format dxfId="597">
      <pivotArea dataOnly="0" labelOnly="1" grandCol="1" outline="0" axis="axisCol" fieldPosition="0"/>
    </format>
    <format dxfId="596">
      <pivotArea field="299" type="button" dataOnly="0" labelOnly="1" outline="0" axis="axisPage" fieldPosition="0"/>
    </format>
    <format dxfId="595">
      <pivotArea field="-2" type="button" dataOnly="0" labelOnly="1" outline="0" axis="axisRow" fieldPosition="0"/>
    </format>
    <format dxfId="594">
      <pivotArea dataOnly="0" labelOnly="1" outline="0" fieldPosition="0">
        <references count="1">
          <reference field="4294967294" count="31">
            <x v="0"/>
            <x v="1"/>
            <x v="2"/>
            <x v="3"/>
            <x v="4"/>
            <x v="5"/>
            <x v="6"/>
            <x v="7"/>
            <x v="8"/>
            <x v="9"/>
            <x v="10"/>
            <x v="11"/>
            <x v="12"/>
            <x v="13"/>
            <x v="14"/>
            <x v="15"/>
            <x v="16"/>
            <x v="17"/>
            <x v="18"/>
            <x v="19"/>
            <x v="20"/>
            <x v="21"/>
            <x v="22"/>
            <x v="23"/>
            <x v="24"/>
            <x v="25"/>
            <x v="26"/>
            <x v="27"/>
            <x v="28"/>
            <x v="29"/>
            <x v="30"/>
          </reference>
        </references>
      </pivotArea>
    </format>
    <format dxfId="593">
      <pivotArea field="-2" type="button" dataOnly="0" labelOnly="1" outline="0" axis="axisRow" fieldPosition="0"/>
    </format>
    <format dxfId="592">
      <pivotArea dataOnly="0" labelOnly="1" grandCol="1" outline="0" axis="axisCol" fieldPosition="0"/>
    </format>
    <format dxfId="591">
      <pivotArea collapsedLevelsAreSubtotals="1" fieldPosition="0">
        <references count="1">
          <reference field="4294967294" count="2">
            <x v="29"/>
            <x v="30"/>
          </reference>
        </references>
      </pivotArea>
    </format>
    <format dxfId="590">
      <pivotArea dataOnly="0" labelOnly="1" outline="0" fieldPosition="0">
        <references count="1">
          <reference field="4294967294" count="2">
            <x v="29"/>
            <x v="30"/>
          </reference>
        </references>
      </pivotArea>
    </format>
    <format dxfId="589">
      <pivotArea type="all" dataOnly="0" outline="0" fieldPosition="0"/>
    </format>
    <format dxfId="588">
      <pivotArea outline="0" collapsedLevelsAreSubtotals="1" fieldPosition="0"/>
    </format>
    <format dxfId="587">
      <pivotArea field="-2" type="button" dataOnly="0" labelOnly="1" outline="0" axis="axisRow" fieldPosition="0"/>
    </format>
    <format dxfId="586">
      <pivotArea dataOnly="0" labelOnly="1" outline="0" fieldPosition="0">
        <references count="1">
          <reference field="4294967294" count="31">
            <x v="0"/>
            <x v="1"/>
            <x v="2"/>
            <x v="3"/>
            <x v="4"/>
            <x v="5"/>
            <x v="6"/>
            <x v="7"/>
            <x v="8"/>
            <x v="9"/>
            <x v="10"/>
            <x v="11"/>
            <x v="12"/>
            <x v="13"/>
            <x v="14"/>
            <x v="15"/>
            <x v="16"/>
            <x v="17"/>
            <x v="18"/>
            <x v="19"/>
            <x v="20"/>
            <x v="21"/>
            <x v="22"/>
            <x v="23"/>
            <x v="24"/>
            <x v="25"/>
            <x v="26"/>
            <x v="27"/>
            <x v="28"/>
            <x v="29"/>
            <x v="30"/>
          </reference>
        </references>
      </pivotArea>
    </format>
    <format dxfId="585">
      <pivotArea dataOnly="0" labelOnly="1" grandCol="1" outline="0" axis="axisCol" fieldPosition="0"/>
    </format>
    <format dxfId="584">
      <pivotArea type="all" dataOnly="0" outline="0" fieldPosition="0"/>
    </format>
    <format dxfId="583">
      <pivotArea outline="0" collapsedLevelsAreSubtotals="1" fieldPosition="0"/>
    </format>
    <format dxfId="582">
      <pivotArea field="-2" type="button" dataOnly="0" labelOnly="1" outline="0" axis="axisRow" fieldPosition="0"/>
    </format>
    <format dxfId="581">
      <pivotArea dataOnly="0" labelOnly="1" outline="0" fieldPosition="0">
        <references count="1">
          <reference field="4294967294" count="31">
            <x v="0"/>
            <x v="1"/>
            <x v="2"/>
            <x v="3"/>
            <x v="4"/>
            <x v="5"/>
            <x v="6"/>
            <x v="7"/>
            <x v="8"/>
            <x v="9"/>
            <x v="10"/>
            <x v="11"/>
            <x v="12"/>
            <x v="13"/>
            <x v="14"/>
            <x v="15"/>
            <x v="16"/>
            <x v="17"/>
            <x v="18"/>
            <x v="19"/>
            <x v="20"/>
            <x v="21"/>
            <x v="22"/>
            <x v="23"/>
            <x v="24"/>
            <x v="25"/>
            <x v="26"/>
            <x v="27"/>
            <x v="28"/>
            <x v="29"/>
            <x v="30"/>
          </reference>
        </references>
      </pivotArea>
    </format>
    <format dxfId="580">
      <pivotArea dataOnly="0" labelOnly="1" grandCol="1" outline="0" axis="axisCol"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average sl hours" cacheId="6" dataOnRows="1" applyNumberFormats="0" applyBorderFormats="0" applyFontFormats="0" applyPatternFormats="0" applyAlignmentFormats="0" applyWidthHeightFormats="1" dataCaption="Category" updatedVersion="6" minRefreshableVersion="3" itemPrintTitles="1" createdVersion="6" indent="0" outline="1" outlineData="1" multipleFieldFilters="0" chartFormat="2">
  <location ref="AE20:AE21" firstHeaderRow="1" firstDataRow="1" firstDataCol="0" rowPageCount="1" colPageCount="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1" showAll="0"/>
    <pivotField showAll="0">
      <items count="4">
        <item x="0"/>
        <item x="2"/>
        <item x="1"/>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Items count="1">
    <i/>
  </rowItems>
  <colItems count="1">
    <i/>
  </colItems>
  <pageFields count="1">
    <pageField fld="341" item="1" hier="-1"/>
  </pageFields>
  <dataFields count="1">
    <dataField name="Average of Total Supported Living Hours" fld="294" subtotal="average" baseField="0" baseItem="0"/>
  </dataFields>
  <formats count="10">
    <format dxfId="613">
      <pivotArea type="all" dataOnly="0" outline="0" fieldPosition="0"/>
    </format>
    <format dxfId="612">
      <pivotArea outline="0" collapsedLevelsAreSubtotals="1" fieldPosition="0"/>
    </format>
    <format dxfId="611">
      <pivotArea dataOnly="0" labelOnly="1" outline="0" axis="axisValues" fieldPosition="0"/>
    </format>
    <format dxfId="610">
      <pivotArea dataOnly="0" labelOnly="1" outline="0" axis="axisValues" fieldPosition="0"/>
    </format>
    <format dxfId="609">
      <pivotArea type="all" dataOnly="0" outline="0" fieldPosition="0"/>
    </format>
    <format dxfId="608">
      <pivotArea outline="0" collapsedLevelsAreSubtotals="1" fieldPosition="0"/>
    </format>
    <format dxfId="607">
      <pivotArea dataOnly="0" labelOnly="1" outline="0" axis="axisValues" fieldPosition="0"/>
    </format>
    <format dxfId="606">
      <pivotArea type="all" dataOnly="0" outline="0" fieldPosition="0"/>
    </format>
    <format dxfId="605">
      <pivotArea outline="0" collapsedLevelsAreSubtotals="1" fieldPosition="0"/>
    </format>
    <format dxfId="60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average wage per fte 21/22 max" cacheId="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U5:AV20" firstHeaderRow="1" firstDataRow="1" firstDataCol="1"/>
  <pivotFields count="48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0">
        <item x="12"/>
        <item m="1" x="45"/>
        <item m="1" x="48"/>
        <item m="1" x="52"/>
        <item m="1" x="55"/>
        <item m="1" x="58"/>
        <item m="1" x="68"/>
        <item m="1" x="15"/>
        <item m="1" x="64"/>
        <item m="1" x="19"/>
        <item m="1" x="17"/>
        <item m="1" x="22"/>
        <item m="1" x="36"/>
        <item m="1" x="53"/>
        <item m="1" x="65"/>
        <item m="1" x="56"/>
        <item m="1" x="23"/>
        <item m="1" x="18"/>
        <item m="1" x="27"/>
        <item m="1" x="47"/>
        <item m="1" x="29"/>
        <item m="1" x="20"/>
        <item m="1" x="60"/>
        <item m="1" x="30"/>
        <item m="1" x="54"/>
        <item m="1" x="40"/>
        <item m="1" x="51"/>
        <item m="1" x="28"/>
        <item m="1" x="33"/>
        <item m="1" x="24"/>
        <item m="1" x="37"/>
        <item m="1" x="34"/>
        <item m="1" x="62"/>
        <item m="1" x="38"/>
        <item m="1" x="16"/>
        <item m="1" x="49"/>
        <item m="1" x="63"/>
        <item m="1" x="66"/>
        <item m="1" x="39"/>
        <item m="1" x="57"/>
        <item m="1" x="25"/>
        <item m="1" x="41"/>
        <item m="1" x="46"/>
        <item m="1" x="31"/>
        <item m="1" x="26"/>
        <item m="1" x="61"/>
        <item m="1" x="21"/>
        <item m="1" x="59"/>
        <item m="1" x="44"/>
        <item m="1" x="42"/>
        <item m="1" x="35"/>
        <item m="1" x="32"/>
        <item m="1" x="50"/>
        <item m="1" x="67"/>
        <item m="1" x="43"/>
        <item x="0"/>
        <item x="1"/>
        <item x="2"/>
        <item x="5"/>
        <item x="3"/>
        <item x="11"/>
        <item x="4"/>
        <item x="13"/>
        <item x="6"/>
        <item x="14"/>
        <item x="10"/>
        <item x="7"/>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
        <item m="1" x="3"/>
        <item m="1" x="8"/>
        <item m="1" x="45"/>
        <item m="1" x="18"/>
        <item m="1" x="4"/>
        <item m="1" x="30"/>
        <item m="1" x="9"/>
        <item m="1" x="46"/>
        <item m="1" x="22"/>
        <item m="1" x="38"/>
        <item m="1" x="6"/>
        <item m="1" x="25"/>
        <item m="1" x="39"/>
        <item m="1" x="29"/>
        <item m="1" x="5"/>
        <item m="1" x="14"/>
        <item m="1" x="23"/>
        <item m="1" x="48"/>
        <item m="1" x="43"/>
        <item m="1" x="42"/>
        <item m="1" x="12"/>
        <item m="1" x="27"/>
        <item m="1" x="35"/>
        <item m="1" x="34"/>
        <item m="1" x="44"/>
        <item m="1" x="15"/>
        <item m="1" x="49"/>
        <item m="1" x="10"/>
        <item m="1" x="11"/>
        <item m="1" x="26"/>
        <item m="1" x="40"/>
        <item m="1" x="28"/>
        <item m="1" x="36"/>
        <item m="1" x="32"/>
        <item m="1" x="7"/>
        <item m="1" x="47"/>
        <item m="1" x="41"/>
        <item m="1" x="13"/>
        <item m="1" x="17"/>
        <item m="1" x="33"/>
        <item m="1" x="20"/>
        <item m="1" x="50"/>
        <item m="1" x="24"/>
        <item m="1" x="21"/>
        <item m="1" x="16"/>
        <item m="1" x="37"/>
        <item m="1" x="31"/>
        <item m="1" x="19"/>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showAll="0"/>
    <pivotField numFmtId="2" showAll="0"/>
    <pivotField numFmtId="1"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1"/>
        <item x="3"/>
        <item x="2"/>
        <item x="0"/>
        <item t="default"/>
      </items>
    </pivotField>
    <pivotField numFmtId="2" showAll="0"/>
    <pivotField numFmtId="2" showAll="0"/>
    <pivotField numFmtId="2"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dataField="1"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showAll="0"/>
    <pivotField dataField="1" showAll="0"/>
    <pivotField showAll="0"/>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1">
    <field x="-2"/>
  </rowFields>
  <rowItems count="15">
    <i>
      <x/>
    </i>
    <i i="1">
      <x v="1"/>
    </i>
    <i i="2">
      <x v="2"/>
    </i>
    <i i="3">
      <x v="3"/>
    </i>
    <i i="4">
      <x v="4"/>
    </i>
    <i i="5">
      <x v="5"/>
    </i>
    <i i="6">
      <x v="6"/>
    </i>
    <i i="7">
      <x v="7"/>
    </i>
    <i i="8">
      <x v="8"/>
    </i>
    <i i="9">
      <x v="9"/>
    </i>
    <i i="10">
      <x v="10"/>
    </i>
    <i i="11">
      <x v="11"/>
    </i>
    <i i="12">
      <x v="12"/>
    </i>
    <i i="13">
      <x v="13"/>
    </i>
    <i i="14">
      <x v="14"/>
    </i>
  </rowItems>
  <colItems count="1">
    <i/>
  </colItems>
  <dataFields count="15">
    <dataField name="Sum of Registered manager: Current 2021/22 Maximum hourly pay rate ADJUSTED X FTE" fld="410" baseField="0" baseItem="1341521920"/>
    <dataField name="Sum of Deputy manager: Current 2021/22 Maximum hourly pay rate ADJUSTED X FTE" fld="414" baseField="0" baseItem="1341521920"/>
    <dataField name="Sum of Other manager 1: Current 2021/22 Maximum hourly pay rate ADJUSTED X FTE" fld="418" baseField="0" baseItem="1341521920"/>
    <dataField name="Sum of Other manager 2: Current 2021/22 Minimum hourly pay rate ADJUSTED X FTE" fld="421" baseField="0" baseItem="1341521920"/>
    <dataField name="Sum of Other manager 3: Current 2021/22 Maximum hourly pay rate ADJUSTED X FTE" fld="426" baseField="0" baseItem="1341521920"/>
    <dataField name="Sum of Care Assistant 1: Current 2021/22 Maximum hourly pay rate ADJUSTED X FTE" fld="430" baseField="0" baseItem="1341521920"/>
    <dataField name="Sum of Care Assistant 2: Current 2021/22 Maximum hourly pay rate ADJUSTED X FTE" fld="434" baseField="0" baseItem="1341521920"/>
    <dataField name="Sum of Care Assistant 3: Current 2021/22 Maximum hourly pay rate ADJUSTED X FTE" fld="438" baseField="0" baseItem="1341521920"/>
    <dataField name="Sum of Care Assistant 4: Current 2021/22 Maximum hourly pay rate ADJUSTED X FTE" fld="442" baseField="0" baseItem="1341521920"/>
    <dataField name="Sum of Administrative Officer 1: Current 2021/22 Maximum hourly pay rate ADJUSTED X FTE" fld="446" baseField="0" baseItem="1341521920"/>
    <dataField name="Sum of Administrative Officer 2: Current 2021/22 Maximum hourly pay rate ADJUSTED X FTE" fld="450" baseField="0" baseItem="1341521920"/>
    <dataField name="Sum of Administrative Officer 3: Current 2021/22 Maximum hourly pay rate ADJUSTED X FTE" fld="454" baseField="0" baseItem="1341521920"/>
    <dataField name="Sum of Other staff 1: Current 2021/22 Maximum hourly pay rate ADJUSTED X FTE" fld="458" baseField="0" baseItem="1341521920"/>
    <dataField name="Sum of Other staff 2: Current 2021/22 Maximum hourly pay rate ADJUSTED X FTE" fld="462" baseField="0" baseItem="1341521920"/>
    <dataField name="Sum of Other staff 3: Current 2021/22 Maximum hourly pay rate ADJUSTED X FTE" fld="466" baseField="0" baseItem="10915840"/>
  </dataFields>
  <formats count="10">
    <format dxfId="623">
      <pivotArea type="all" dataOnly="0" outline="0" fieldPosition="0"/>
    </format>
    <format dxfId="622">
      <pivotArea outline="0" collapsedLevelsAreSubtotals="1" fieldPosition="0"/>
    </format>
    <format dxfId="621">
      <pivotArea field="-2" type="button" dataOnly="0" labelOnly="1" outline="0" axis="axisRow" fieldPosition="0"/>
    </format>
    <format dxfId="620">
      <pivotArea dataOnly="0" labelOnly="1" outline="0" fieldPosition="0">
        <references count="1">
          <reference field="4294967294" count="15">
            <x v="0"/>
            <x v="1"/>
            <x v="2"/>
            <x v="3"/>
            <x v="4"/>
            <x v="5"/>
            <x v="6"/>
            <x v="7"/>
            <x v="8"/>
            <x v="9"/>
            <x v="10"/>
            <x v="11"/>
            <x v="12"/>
            <x v="13"/>
            <x v="14"/>
          </reference>
        </references>
      </pivotArea>
    </format>
    <format dxfId="619">
      <pivotArea dataOnly="0" labelOnly="1" grandCol="1" outline="0" axis="axisCol" fieldPosition="0"/>
    </format>
    <format dxfId="618">
      <pivotArea type="all" dataOnly="0" outline="0" fieldPosition="0"/>
    </format>
    <format dxfId="617">
      <pivotArea outline="0" collapsedLevelsAreSubtotals="1" fieldPosition="0"/>
    </format>
    <format dxfId="616">
      <pivotArea field="-2" type="button" dataOnly="0" labelOnly="1" outline="0" axis="axisRow" fieldPosition="0"/>
    </format>
    <format dxfId="615">
      <pivotArea dataOnly="0" labelOnly="1" outline="0" fieldPosition="0">
        <references count="1">
          <reference field="4294967294" count="15">
            <x v="0"/>
            <x v="1"/>
            <x v="2"/>
            <x v="3"/>
            <x v="4"/>
            <x v="5"/>
            <x v="6"/>
            <x v="7"/>
            <x v="8"/>
            <x v="9"/>
            <x v="10"/>
            <x v="11"/>
            <x v="12"/>
            <x v="13"/>
            <x v="14"/>
          </reference>
        </references>
      </pivotArea>
    </format>
    <format dxfId="614">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gion" sourceName="Region">
  <pivotTables>
    <pivotTable tabId="19" name="total hs clients"/>
    <pivotTable tabId="19" name="average hs clients"/>
    <pivotTable tabId="19" name="average hs hours"/>
    <pivotTable tabId="19" name="average sl clients"/>
    <pivotTable tabId="19" name="average sl hours"/>
    <pivotTable tabId="19" name="max hs clients"/>
    <pivotTable tabId="19" name="max hs hours"/>
    <pivotTable tabId="19" name="max sl clients"/>
    <pivotTable tabId="19" name="max sl hours"/>
    <pivotTable tabId="19" name="min hs clients"/>
    <pivotTable tabId="19" name="min hs hours"/>
    <pivotTable tabId="19" name="min sl clients"/>
    <pivotTable tabId="19" name="min sl hours"/>
    <pivotTable tabId="19" name="total hs hours"/>
    <pivotTable tabId="19" name="total sl clients"/>
    <pivotTable tabId="19" name="total sl hours"/>
    <pivotTable tabId="19" name="Clients Num Records"/>
  </pivotTables>
  <data>
    <tabular pivotCacheId="1716128351">
      <items count="3">
        <i x="0" s="1"/>
        <i x="2" s="1"/>
        <i x="1"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Region4" sourceName="Region">
  <pivotTables>
    <pivotTable tabId="19" name="Occupancy and Funding"/>
    <pivotTable tabId="19" name="occupancy num records"/>
  </pivotTables>
  <data>
    <tabular pivotCacheId="1716128351">
      <items count="3">
        <i x="0" s="1"/>
        <i x="2" s="1"/>
        <i x="1"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Number_of_clients__banded4" sourceName="Number of clients (banded)">
  <pivotTables>
    <pivotTable tabId="19" name="Occupancy and Funding"/>
    <pivotTable tabId="19" name="occupancy num records"/>
  </pivotTables>
  <data>
    <tabular pivotCacheId="1716128351">
      <items count="69">
        <i x="12" s="1"/>
        <i x="0" s="1"/>
        <i x="1" s="1"/>
        <i x="2" s="1"/>
        <i x="5" s="1"/>
        <i x="3" s="1"/>
        <i x="11" s="1"/>
        <i x="4" s="1"/>
        <i x="13" s="1"/>
        <i x="6" s="1"/>
        <i x="14" s="1"/>
        <i x="10" s="1"/>
        <i x="7" s="1"/>
        <i x="9" s="1"/>
        <i x="8" s="1"/>
        <i x="45" s="1" nd="1"/>
        <i x="48" s="1" nd="1"/>
        <i x="52" s="1" nd="1"/>
        <i x="55" s="1" nd="1"/>
        <i x="58" s="1" nd="1"/>
        <i x="68" s="1" nd="1"/>
        <i x="15" s="1" nd="1"/>
        <i x="64" s="1" nd="1"/>
        <i x="19" s="1" nd="1"/>
        <i x="17" s="1" nd="1"/>
        <i x="22" s="1" nd="1"/>
        <i x="36" s="1" nd="1"/>
        <i x="53" s="1" nd="1"/>
        <i x="65" s="1" nd="1"/>
        <i x="56" s="1" nd="1"/>
        <i x="23" s="1" nd="1"/>
        <i x="18" s="1" nd="1"/>
        <i x="27" s="1" nd="1"/>
        <i x="47" s="1" nd="1"/>
        <i x="29" s="1" nd="1"/>
        <i x="20" s="1" nd="1"/>
        <i x="60" s="1" nd="1"/>
        <i x="30" s="1" nd="1"/>
        <i x="54" s="1" nd="1"/>
        <i x="40" s="1" nd="1"/>
        <i x="51" s="1" nd="1"/>
        <i x="28" s="1" nd="1"/>
        <i x="33" s="1" nd="1"/>
        <i x="24" s="1" nd="1"/>
        <i x="37" s="1" nd="1"/>
        <i x="34" s="1" nd="1"/>
        <i x="62" s="1" nd="1"/>
        <i x="38" s="1" nd="1"/>
        <i x="16" s="1" nd="1"/>
        <i x="49" s="1" nd="1"/>
        <i x="63" s="1" nd="1"/>
        <i x="66" s="1" nd="1"/>
        <i x="39" s="1" nd="1"/>
        <i x="57" s="1" nd="1"/>
        <i x="25" s="1" nd="1"/>
        <i x="41" s="1" nd="1"/>
        <i x="46" s="1" nd="1"/>
        <i x="31" s="1" nd="1"/>
        <i x="26" s="1" nd="1"/>
        <i x="61" s="1" nd="1"/>
        <i x="21" s="1" nd="1"/>
        <i x="59" s="1" nd="1"/>
        <i x="44" s="1" nd="1"/>
        <i x="42" s="1" nd="1"/>
        <i x="35" s="1" nd="1"/>
        <i x="32" s="1" nd="1"/>
        <i x="50" s="1" nd="1"/>
        <i x="67" s="1" nd="1"/>
        <i x="43"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Majority_Service_Type4" sourceName="Majority Service Type">
  <pivotTables>
    <pivotTable tabId="19" name="Occupancy and Funding"/>
    <pivotTable tabId="19" name="occupancy num records"/>
  </pivotTables>
  <data>
    <tabular pivotCacheId="1716128351">
      <items count="51">
        <i x="2" s="1"/>
        <i x="0" s="1"/>
        <i x="1" s="1"/>
        <i x="3" s="1" nd="1"/>
        <i x="8" s="1" nd="1"/>
        <i x="45" s="1" nd="1"/>
        <i x="18" s="1" nd="1"/>
        <i x="4" s="1" nd="1"/>
        <i x="30" s="1" nd="1"/>
        <i x="9" s="1" nd="1"/>
        <i x="46" s="1" nd="1"/>
        <i x="22" s="1" nd="1"/>
        <i x="38" s="1" nd="1"/>
        <i x="6" s="1" nd="1"/>
        <i x="25" s="1" nd="1"/>
        <i x="39" s="1" nd="1"/>
        <i x="29" s="1" nd="1"/>
        <i x="5" s="1" nd="1"/>
        <i x="14" s="1" nd="1"/>
        <i x="23" s="1" nd="1"/>
        <i x="48" s="1" nd="1"/>
        <i x="43" s="1" nd="1"/>
        <i x="42" s="1" nd="1"/>
        <i x="12" s="1" nd="1"/>
        <i x="27" s="1" nd="1"/>
        <i x="35" s="1" nd="1"/>
        <i x="34" s="1" nd="1"/>
        <i x="44" s="1" nd="1"/>
        <i x="15" s="1" nd="1"/>
        <i x="49" s="1" nd="1"/>
        <i x="10" s="1" nd="1"/>
        <i x="11" s="1" nd="1"/>
        <i x="26" s="1" nd="1"/>
        <i x="40" s="1" nd="1"/>
        <i x="28" s="1" nd="1"/>
        <i x="36" s="1" nd="1"/>
        <i x="32" s="1" nd="1"/>
        <i x="7" s="1" nd="1"/>
        <i x="47" s="1" nd="1"/>
        <i x="41" s="1" nd="1"/>
        <i x="13" s="1" nd="1"/>
        <i x="17" s="1" nd="1"/>
        <i x="33" s="1" nd="1"/>
        <i x="20" s="1" nd="1"/>
        <i x="50" s="1" nd="1"/>
        <i x="24" s="1" nd="1"/>
        <i x="21" s="1" nd="1"/>
        <i x="16" s="1" nd="1"/>
        <i x="37" s="1" nd="1"/>
        <i x="31" s="1" nd="1"/>
        <i x="19"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Region5" sourceName="Region">
  <pivotTables>
    <pivotTable tabId="19" name="responses local authorities"/>
    <pivotTable tabId="19" name="responses regions"/>
  </pivotTables>
  <data>
    <tabular pivotCacheId="1716128351">
      <items count="3">
        <i x="0" s="1"/>
        <i x="2" s="1"/>
        <i x="1"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Majority_Service_Type5" sourceName="Majority Service Type">
  <pivotTables>
    <pivotTable tabId="19" name="responses local authorities"/>
    <pivotTable tabId="19" name="responses regions"/>
  </pivotTables>
  <data>
    <tabular pivotCacheId="1716128351">
      <items count="51">
        <i x="2" s="1"/>
        <i x="0" s="1"/>
        <i x="1" s="1"/>
        <i x="3" s="1" nd="1"/>
        <i x="8" s="1" nd="1"/>
        <i x="45" s="1" nd="1"/>
        <i x="18" s="1" nd="1"/>
        <i x="4" s="1" nd="1"/>
        <i x="30" s="1" nd="1"/>
        <i x="9" s="1" nd="1"/>
        <i x="46" s="1" nd="1"/>
        <i x="22" s="1" nd="1"/>
        <i x="38" s="1" nd="1"/>
        <i x="6" s="1" nd="1"/>
        <i x="25" s="1" nd="1"/>
        <i x="39" s="1" nd="1"/>
        <i x="29" s="1" nd="1"/>
        <i x="5" s="1" nd="1"/>
        <i x="14" s="1" nd="1"/>
        <i x="23" s="1" nd="1"/>
        <i x="48" s="1" nd="1"/>
        <i x="43" s="1" nd="1"/>
        <i x="42" s="1" nd="1"/>
        <i x="12" s="1" nd="1"/>
        <i x="27" s="1" nd="1"/>
        <i x="35" s="1" nd="1"/>
        <i x="34" s="1" nd="1"/>
        <i x="44" s="1" nd="1"/>
        <i x="15" s="1" nd="1"/>
        <i x="49" s="1" nd="1"/>
        <i x="10" s="1" nd="1"/>
        <i x="11" s="1" nd="1"/>
        <i x="26" s="1" nd="1"/>
        <i x="40" s="1" nd="1"/>
        <i x="28" s="1" nd="1"/>
        <i x="36" s="1" nd="1"/>
        <i x="32" s="1" nd="1"/>
        <i x="7" s="1" nd="1"/>
        <i x="47" s="1" nd="1"/>
        <i x="41" s="1" nd="1"/>
        <i x="13" s="1" nd="1"/>
        <i x="17" s="1" nd="1"/>
        <i x="33" s="1" nd="1"/>
        <i x="20" s="1" nd="1"/>
        <i x="50" s="1" nd="1"/>
        <i x="24" s="1" nd="1"/>
        <i x="21" s="1" nd="1"/>
        <i x="16" s="1" nd="1"/>
        <i x="37" s="1" nd="1"/>
        <i x="31" s="1" nd="1"/>
        <i x="19"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Number_of_clients__banded5" sourceName="Number of clients (banded)">
  <pivotTables>
    <pivotTable tabId="19" name="responses local authorities"/>
    <pivotTable tabId="19" name="responses regions"/>
  </pivotTables>
  <data>
    <tabular pivotCacheId="1716128351">
      <items count="69">
        <i x="12" s="1"/>
        <i x="14" s="1"/>
        <i x="0" s="1"/>
        <i x="10" s="1"/>
        <i x="1" s="1"/>
        <i x="7" s="1"/>
        <i x="9" s="1"/>
        <i x="8" s="1"/>
        <i x="2" s="1"/>
        <i x="5" s="1"/>
        <i x="3" s="1"/>
        <i x="11" s="1"/>
        <i x="4" s="1"/>
        <i x="13" s="1"/>
        <i x="6" s="1"/>
        <i x="45" s="1" nd="1"/>
        <i x="48" s="1" nd="1"/>
        <i x="52" s="1" nd="1"/>
        <i x="55" s="1" nd="1"/>
        <i x="58" s="1" nd="1"/>
        <i x="68" s="1" nd="1"/>
        <i x="15" s="1" nd="1"/>
        <i x="64" s="1" nd="1"/>
        <i x="19" s="1" nd="1"/>
        <i x="17" s="1" nd="1"/>
        <i x="22" s="1" nd="1"/>
        <i x="36" s="1" nd="1"/>
        <i x="53" s="1" nd="1"/>
        <i x="65" s="1" nd="1"/>
        <i x="56" s="1" nd="1"/>
        <i x="23" s="1" nd="1"/>
        <i x="18" s="1" nd="1"/>
        <i x="27" s="1" nd="1"/>
        <i x="47" s="1" nd="1"/>
        <i x="29" s="1" nd="1"/>
        <i x="20" s="1" nd="1"/>
        <i x="60" s="1" nd="1"/>
        <i x="30" s="1" nd="1"/>
        <i x="54" s="1" nd="1"/>
        <i x="40" s="1" nd="1"/>
        <i x="51" s="1" nd="1"/>
        <i x="28" s="1" nd="1"/>
        <i x="33" s="1" nd="1"/>
        <i x="24" s="1" nd="1"/>
        <i x="37" s="1" nd="1"/>
        <i x="34" s="1" nd="1"/>
        <i x="62" s="1" nd="1"/>
        <i x="38" s="1" nd="1"/>
        <i x="16" s="1" nd="1"/>
        <i x="49" s="1" nd="1"/>
        <i x="63" s="1" nd="1"/>
        <i x="66" s="1" nd="1"/>
        <i x="39" s="1" nd="1"/>
        <i x="57" s="1" nd="1"/>
        <i x="25" s="1" nd="1"/>
        <i x="41" s="1" nd="1"/>
        <i x="46" s="1" nd="1"/>
        <i x="31" s="1" nd="1"/>
        <i x="26" s="1" nd="1"/>
        <i x="61" s="1" nd="1"/>
        <i x="21" s="1" nd="1"/>
        <i x="59" s="1" nd="1"/>
        <i x="44" s="1" nd="1"/>
        <i x="42" s="1" nd="1"/>
        <i x="35" s="1" nd="1"/>
        <i x="32" s="1" nd="1"/>
        <i x="50" s="1" nd="1"/>
        <i x="67" s="1" nd="1"/>
        <i x="43"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Contract_Status" sourceName="Contract Status">
  <pivotTables>
    <pivotTable tabId="19" name="responses local authorities"/>
    <pivotTable tabId="19" name="responses regions"/>
  </pivotTables>
  <data>
    <tabular pivotCacheId="1716128351">
      <items count="4">
        <i x="1" s="1"/>
        <i x="3" s="1"/>
        <i x="2" s="1"/>
        <i x="0"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Contract_Status1" sourceName="Contract Status">
  <pivotTables>
    <pivotTable tabId="19" name="average hs clients"/>
    <pivotTable tabId="19" name="average hs hours"/>
    <pivotTable tabId="19" name="average sl clients"/>
    <pivotTable tabId="19" name="average sl hours"/>
    <pivotTable tabId="19" name="max hs clients"/>
    <pivotTable tabId="19" name="max hs hours"/>
    <pivotTable tabId="19" name="max sl clients"/>
    <pivotTable tabId="19" name="max sl hours"/>
    <pivotTable tabId="19" name="min hs clients"/>
    <pivotTable tabId="19" name="min hs hours"/>
    <pivotTable tabId="19" name="min sl clients"/>
    <pivotTable tabId="19" name="min sl hours"/>
    <pivotTable tabId="19" name="total hs clients"/>
    <pivotTable tabId="19" name="total hs hours"/>
    <pivotTable tabId="19" name="total sl clients"/>
    <pivotTable tabId="19" name="total sl hours"/>
    <pivotTable tabId="19" name="Clients Num Records"/>
  </pivotTables>
  <data>
    <tabular pivotCacheId="1716128351">
      <items count="4">
        <i x="1" s="1"/>
        <i x="3" s="1"/>
        <i x="2" s="1"/>
        <i x="0"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Contract_Status3" sourceName="Contract Status">
  <pivotTables>
    <pivotTable tabId="19" name="FTE staff below NLW"/>
    <pivotTable tabId="19" name="NLW num records"/>
    <pivotTable tabId="19" name="PivotTable3"/>
  </pivotTables>
  <data>
    <tabular pivotCacheId="1716128351">
      <items count="4">
        <i x="1" s="1"/>
        <i x="3" s="1"/>
        <i x="2" s="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Contract_Status4" sourceName="Contract Status">
  <pivotTables>
    <pivotTable tabId="19" name="Employees"/>
    <pivotTable tabId="19" name="employees num records"/>
    <pivotTable tabId="19" name="PivotTable6"/>
    <pivotTable tabId="19" name="PivotTable7"/>
    <pivotTable tabId="19" name="PivotTable8"/>
  </pivotTables>
  <data>
    <tabular pivotCacheId="1716128351">
      <items count="4">
        <i x="1" s="1"/>
        <i x="3" s="1"/>
        <i x="2"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Majority_Service_Type" sourceName="Majority Service Type">
  <pivotTables>
    <pivotTable tabId="19" name="total hs clients"/>
    <pivotTable tabId="19" name="average hs clients"/>
    <pivotTable tabId="19" name="average hs hours"/>
    <pivotTable tabId="19" name="average sl clients"/>
    <pivotTable tabId="19" name="average sl hours"/>
    <pivotTable tabId="19" name="max hs clients"/>
    <pivotTable tabId="19" name="max hs hours"/>
    <pivotTable tabId="19" name="max sl clients"/>
    <pivotTable tabId="19" name="max sl hours"/>
    <pivotTable tabId="19" name="min hs clients"/>
    <pivotTable tabId="19" name="min hs hours"/>
    <pivotTable tabId="19" name="min sl clients"/>
    <pivotTable tabId="19" name="min sl hours"/>
    <pivotTable tabId="19" name="total hs hours"/>
    <pivotTable tabId="19" name="total sl clients"/>
    <pivotTable tabId="19" name="total sl hours"/>
    <pivotTable tabId="19" name="Clients Num Records"/>
  </pivotTables>
  <data>
    <tabular pivotCacheId="1716128351">
      <items count="51">
        <i x="2" s="1"/>
        <i x="0" s="1"/>
        <i x="1" s="1"/>
        <i x="3" s="1" nd="1"/>
        <i x="8" s="1" nd="1"/>
        <i x="45" s="1" nd="1"/>
        <i x="18" s="1" nd="1"/>
        <i x="4" s="1" nd="1"/>
        <i x="30" s="1" nd="1"/>
        <i x="9" s="1" nd="1"/>
        <i x="46" s="1" nd="1"/>
        <i x="22" s="1" nd="1"/>
        <i x="38" s="1" nd="1"/>
        <i x="6" s="1" nd="1"/>
        <i x="25" s="1" nd="1"/>
        <i x="39" s="1" nd="1"/>
        <i x="29" s="1" nd="1"/>
        <i x="5" s="1" nd="1"/>
        <i x="14" s="1" nd="1"/>
        <i x="23" s="1" nd="1"/>
        <i x="48" s="1" nd="1"/>
        <i x="43" s="1" nd="1"/>
        <i x="42" s="1" nd="1"/>
        <i x="12" s="1" nd="1"/>
        <i x="27" s="1" nd="1"/>
        <i x="35" s="1" nd="1"/>
        <i x="34" s="1" nd="1"/>
        <i x="44" s="1" nd="1"/>
        <i x="15" s="1" nd="1"/>
        <i x="49" s="1" nd="1"/>
        <i x="10" s="1" nd="1"/>
        <i x="11" s="1" nd="1"/>
        <i x="26" s="1" nd="1"/>
        <i x="40" s="1" nd="1"/>
        <i x="28" s="1" nd="1"/>
        <i x="36" s="1" nd="1"/>
        <i x="32" s="1" nd="1"/>
        <i x="7" s="1" nd="1"/>
        <i x="47" s="1" nd="1"/>
        <i x="41" s="1" nd="1"/>
        <i x="13" s="1" nd="1"/>
        <i x="17" s="1" nd="1"/>
        <i x="33" s="1" nd="1"/>
        <i x="20" s="1" nd="1"/>
        <i x="50" s="1" nd="1"/>
        <i x="24" s="1" nd="1"/>
        <i x="21" s="1" nd="1"/>
        <i x="16" s="1" nd="1"/>
        <i x="37" s="1" nd="1"/>
        <i x="31" s="1" nd="1"/>
        <i x="19"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Contract_Status5" sourceName="Contract Status">
  <pivotTables>
    <pivotTable tabId="19" name="Occupancy and Funding"/>
    <pivotTable tabId="19" name="occupancy num records"/>
  </pivotTables>
  <data>
    <tabular pivotCacheId="1716128351">
      <items count="4">
        <i x="1" s="1"/>
        <i x="3" s="1"/>
        <i x="2" s="1"/>
        <i x="0"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Region6" sourceName="Region">
  <pivotTables>
    <pivotTable tabId="19" name="Hourly Costs"/>
    <pivotTable tabId="19" name="costs num records"/>
    <pivotTable tabId="19" name="average net operating profit"/>
    <pivotTable tabId="19" name="average original amount of capital employed"/>
    <pivotTable tabId="19" name="average return on capital employed"/>
    <pivotTable tabId="19" name="cost categories"/>
  </pivotTables>
  <data>
    <tabular pivotCacheId="1716128351">
      <items count="3">
        <i x="0" s="1"/>
        <i x="2" s="1"/>
        <i x="1"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Majority_Service_Type6" sourceName="Majority Service Type">
  <pivotTables>
    <pivotTable tabId="19" name="Hourly Costs"/>
    <pivotTable tabId="19" name="costs num records"/>
    <pivotTable tabId="19" name="average net operating profit"/>
    <pivotTable tabId="19" name="average original amount of capital employed"/>
    <pivotTable tabId="19" name="average return on capital employed"/>
    <pivotTable tabId="19" name="cost categories"/>
  </pivotTables>
  <data>
    <tabular pivotCacheId="1716128351">
      <items count="51">
        <i x="2" s="1"/>
        <i x="0" s="1"/>
        <i x="1" s="1"/>
        <i x="3" s="1" nd="1"/>
        <i x="8" s="1" nd="1"/>
        <i x="45" s="1" nd="1"/>
        <i x="18" s="1" nd="1"/>
        <i x="4" s="1" nd="1"/>
        <i x="30" s="1" nd="1"/>
        <i x="9" s="1" nd="1"/>
        <i x="46" s="1" nd="1"/>
        <i x="22" s="1" nd="1"/>
        <i x="38" s="1" nd="1"/>
        <i x="6" s="1" nd="1"/>
        <i x="25" s="1" nd="1"/>
        <i x="39" s="1" nd="1"/>
        <i x="29" s="1" nd="1"/>
        <i x="5" s="1" nd="1"/>
        <i x="14" s="1" nd="1"/>
        <i x="23" s="1" nd="1"/>
        <i x="48" s="1" nd="1"/>
        <i x="43" s="1" nd="1"/>
        <i x="42" s="1" nd="1"/>
        <i x="12" s="1" nd="1"/>
        <i x="27" s="1" nd="1"/>
        <i x="35" s="1" nd="1"/>
        <i x="34" s="1" nd="1"/>
        <i x="44" s="1" nd="1"/>
        <i x="15" s="1" nd="1"/>
        <i x="49" s="1" nd="1"/>
        <i x="10" s="1" nd="1"/>
        <i x="11" s="1" nd="1"/>
        <i x="26" s="1" nd="1"/>
        <i x="40" s="1" nd="1"/>
        <i x="28" s="1" nd="1"/>
        <i x="36" s="1" nd="1"/>
        <i x="32" s="1" nd="1"/>
        <i x="7" s="1" nd="1"/>
        <i x="47" s="1" nd="1"/>
        <i x="41" s="1" nd="1"/>
        <i x="13" s="1" nd="1"/>
        <i x="17" s="1" nd="1"/>
        <i x="33" s="1" nd="1"/>
        <i x="20" s="1" nd="1"/>
        <i x="50" s="1" nd="1"/>
        <i x="24" s="1" nd="1"/>
        <i x="21" s="1" nd="1"/>
        <i x="16" s="1" nd="1"/>
        <i x="37" s="1" nd="1"/>
        <i x="31" s="1" nd="1"/>
        <i x="19"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Number_of_clients__banded6" sourceName="Number of clients (banded)">
  <pivotTables>
    <pivotTable tabId="19" name="Hourly Costs"/>
    <pivotTable tabId="19" name="costs num records"/>
    <pivotTable tabId="19" name="average net operating profit"/>
    <pivotTable tabId="19" name="average original amount of capital employed"/>
    <pivotTable tabId="19" name="average return on capital employed"/>
    <pivotTable tabId="19" name="cost categories"/>
  </pivotTables>
  <data>
    <tabular pivotCacheId="1716128351">
      <items count="69">
        <i x="12" s="1"/>
        <i x="0" s="1"/>
        <i x="1" s="1"/>
        <i x="2" s="1"/>
        <i x="5" s="1"/>
        <i x="3" s="1"/>
        <i x="11" s="1"/>
        <i x="4" s="1"/>
        <i x="13" s="1"/>
        <i x="6" s="1"/>
        <i x="14" s="1"/>
        <i x="10" s="1"/>
        <i x="7" s="1"/>
        <i x="9" s="1"/>
        <i x="8" s="1"/>
        <i x="45" s="1" nd="1"/>
        <i x="48" s="1" nd="1"/>
        <i x="52" s="1" nd="1"/>
        <i x="55" s="1" nd="1"/>
        <i x="58" s="1" nd="1"/>
        <i x="68" s="1" nd="1"/>
        <i x="15" s="1" nd="1"/>
        <i x="64" s="1" nd="1"/>
        <i x="19" s="1" nd="1"/>
        <i x="17" s="1" nd="1"/>
        <i x="22" s="1" nd="1"/>
        <i x="36" s="1" nd="1"/>
        <i x="53" s="1" nd="1"/>
        <i x="65" s="1" nd="1"/>
        <i x="56" s="1" nd="1"/>
        <i x="23" s="1" nd="1"/>
        <i x="18" s="1" nd="1"/>
        <i x="27" s="1" nd="1"/>
        <i x="47" s="1" nd="1"/>
        <i x="29" s="1" nd="1"/>
        <i x="20" s="1" nd="1"/>
        <i x="60" s="1" nd="1"/>
        <i x="30" s="1" nd="1"/>
        <i x="54" s="1" nd="1"/>
        <i x="40" s="1" nd="1"/>
        <i x="51" s="1" nd="1"/>
        <i x="28" s="1" nd="1"/>
        <i x="33" s="1" nd="1"/>
        <i x="24" s="1" nd="1"/>
        <i x="37" s="1" nd="1"/>
        <i x="34" s="1" nd="1"/>
        <i x="62" s="1" nd="1"/>
        <i x="38" s="1" nd="1"/>
        <i x="16" s="1" nd="1"/>
        <i x="49" s="1" nd="1"/>
        <i x="63" s="1" nd="1"/>
        <i x="66" s="1" nd="1"/>
        <i x="39" s="1" nd="1"/>
        <i x="57" s="1" nd="1"/>
        <i x="25" s="1" nd="1"/>
        <i x="41" s="1" nd="1"/>
        <i x="46" s="1" nd="1"/>
        <i x="31" s="1" nd="1"/>
        <i x="26" s="1" nd="1"/>
        <i x="61" s="1" nd="1"/>
        <i x="21" s="1" nd="1"/>
        <i x="59" s="1" nd="1"/>
        <i x="44" s="1" nd="1"/>
        <i x="42" s="1" nd="1"/>
        <i x="35" s="1" nd="1"/>
        <i x="32" s="1" nd="1"/>
        <i x="50" s="1" nd="1"/>
        <i x="67" s="1" nd="1"/>
        <i x="43"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Contract_Status6" sourceName="Contract Status">
  <pivotTables>
    <pivotTable tabId="19" name="Hourly Costs"/>
    <pivotTable tabId="19" name="costs num records"/>
    <pivotTable tabId="19" name="average net operating profit"/>
    <pivotTable tabId="19" name="average original amount of capital employed"/>
    <pivotTable tabId="19" name="average return on capital employed"/>
    <pivotTable tabId="19" name="cost categories"/>
  </pivotTables>
  <data>
    <tabular pivotCacheId="1716128351">
      <items count="4">
        <i x="1" s="1"/>
        <i x="3" s="1"/>
        <i x="2" s="1"/>
        <i x="0"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Region7" sourceName="Region">
  <pivotTables>
    <pivotTable tabId="19" name="Average charges to other organisations"/>
    <pivotTable tabId="19" name="PivotTable1"/>
  </pivotTables>
  <data>
    <tabular pivotCacheId="1716128351">
      <items count="3">
        <i x="0" s="1"/>
        <i x="2" s="1"/>
        <i x="1"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Majority_Service_Type7" sourceName="Majority Service Type">
  <pivotTables>
    <pivotTable tabId="19" name="Average charges to other organisations"/>
    <pivotTable tabId="19" name="PivotTable1"/>
  </pivotTables>
  <data>
    <tabular pivotCacheId="1716128351">
      <items count="51">
        <i x="2" s="1"/>
        <i x="0" s="1"/>
        <i x="1" s="1"/>
        <i x="3" s="1" nd="1"/>
        <i x="8" s="1" nd="1"/>
        <i x="45" s="1" nd="1"/>
        <i x="18" s="1" nd="1"/>
        <i x="4" s="1" nd="1"/>
        <i x="30" s="1" nd="1"/>
        <i x="9" s="1" nd="1"/>
        <i x="46" s="1" nd="1"/>
        <i x="22" s="1" nd="1"/>
        <i x="38" s="1" nd="1"/>
        <i x="6" s="1" nd="1"/>
        <i x="25" s="1" nd="1"/>
        <i x="39" s="1" nd="1"/>
        <i x="29" s="1" nd="1"/>
        <i x="5" s="1" nd="1"/>
        <i x="14" s="1" nd="1"/>
        <i x="23" s="1" nd="1"/>
        <i x="48" s="1" nd="1"/>
        <i x="43" s="1" nd="1"/>
        <i x="42" s="1" nd="1"/>
        <i x="12" s="1" nd="1"/>
        <i x="27" s="1" nd="1"/>
        <i x="35" s="1" nd="1"/>
        <i x="34" s="1" nd="1"/>
        <i x="44" s="1" nd="1"/>
        <i x="15" s="1" nd="1"/>
        <i x="49" s="1" nd="1"/>
        <i x="10" s="1" nd="1"/>
        <i x="11" s="1" nd="1"/>
        <i x="26" s="1" nd="1"/>
        <i x="40" s="1" nd="1"/>
        <i x="28" s="1" nd="1"/>
        <i x="36" s="1" nd="1"/>
        <i x="32" s="1" nd="1"/>
        <i x="7" s="1" nd="1"/>
        <i x="47" s="1" nd="1"/>
        <i x="41" s="1" nd="1"/>
        <i x="13" s="1" nd="1"/>
        <i x="17" s="1" nd="1"/>
        <i x="33" s="1" nd="1"/>
        <i x="20" s="1" nd="1"/>
        <i x="50" s="1" nd="1"/>
        <i x="24" s="1" nd="1"/>
        <i x="21" s="1" nd="1"/>
        <i x="16" s="1" nd="1"/>
        <i x="37" s="1" nd="1"/>
        <i x="31" s="1" nd="1"/>
        <i x="19" s="1" nd="1"/>
      </items>
    </tabular>
  </data>
  <extLst>
    <x:ext xmlns:x15="http://schemas.microsoft.com/office/spreadsheetml/2010/11/main" uri="{470722E0-AACD-4C17-9CDC-17EF765DBC7E}">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Number_of_clients__banded7" sourceName="Number of clients (banded)">
  <pivotTables>
    <pivotTable tabId="19" name="Average charges to other organisations"/>
    <pivotTable tabId="19" name="PivotTable1"/>
  </pivotTables>
  <data>
    <tabular pivotCacheId="1716128351">
      <items count="69">
        <i x="12" s="1"/>
        <i x="0" s="1"/>
        <i x="1" s="1"/>
        <i x="2" s="1"/>
        <i x="5" s="1"/>
        <i x="3" s="1"/>
        <i x="11" s="1"/>
        <i x="4" s="1"/>
        <i x="13" s="1"/>
        <i x="6" s="1"/>
        <i x="14" s="1"/>
        <i x="10" s="1"/>
        <i x="7" s="1"/>
        <i x="9" s="1"/>
        <i x="8" s="1"/>
        <i x="45" s="1" nd="1"/>
        <i x="48" s="1" nd="1"/>
        <i x="52" s="1" nd="1"/>
        <i x="55" s="1" nd="1"/>
        <i x="58" s="1" nd="1"/>
        <i x="68" s="1" nd="1"/>
        <i x="15" s="1" nd="1"/>
        <i x="64" s="1" nd="1"/>
        <i x="19" s="1" nd="1"/>
        <i x="17" s="1" nd="1"/>
        <i x="22" s="1" nd="1"/>
        <i x="36" s="1" nd="1"/>
        <i x="53" s="1" nd="1"/>
        <i x="65" s="1" nd="1"/>
        <i x="56" s="1" nd="1"/>
        <i x="23" s="1" nd="1"/>
        <i x="18" s="1" nd="1"/>
        <i x="27" s="1" nd="1"/>
        <i x="47" s="1" nd="1"/>
        <i x="29" s="1" nd="1"/>
        <i x="20" s="1" nd="1"/>
        <i x="60" s="1" nd="1"/>
        <i x="30" s="1" nd="1"/>
        <i x="54" s="1" nd="1"/>
        <i x="40" s="1" nd="1"/>
        <i x="51" s="1" nd="1"/>
        <i x="28" s="1" nd="1"/>
        <i x="33" s="1" nd="1"/>
        <i x="24" s="1" nd="1"/>
        <i x="37" s="1" nd="1"/>
        <i x="34" s="1" nd="1"/>
        <i x="62" s="1" nd="1"/>
        <i x="38" s="1" nd="1"/>
        <i x="16" s="1" nd="1"/>
        <i x="49" s="1" nd="1"/>
        <i x="63" s="1" nd="1"/>
        <i x="66" s="1" nd="1"/>
        <i x="39" s="1" nd="1"/>
        <i x="57" s="1" nd="1"/>
        <i x="25" s="1" nd="1"/>
        <i x="41" s="1" nd="1"/>
        <i x="46" s="1" nd="1"/>
        <i x="31" s="1" nd="1"/>
        <i x="26" s="1" nd="1"/>
        <i x="61" s="1" nd="1"/>
        <i x="21" s="1" nd="1"/>
        <i x="59" s="1" nd="1"/>
        <i x="44" s="1" nd="1"/>
        <i x="42" s="1" nd="1"/>
        <i x="35" s="1" nd="1"/>
        <i x="32" s="1" nd="1"/>
        <i x="50" s="1" nd="1"/>
        <i x="67" s="1" nd="1"/>
        <i x="43" s="1" nd="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Contract_Status7" sourceName="Contract Status">
  <pivotTables>
    <pivotTable tabId="19" name="Average charges to other organisations"/>
    <pivotTable tabId="19" name="PivotTable1"/>
  </pivotTables>
  <data>
    <tabular pivotCacheId="1716128351">
      <items count="4">
        <i x="1" s="1"/>
        <i x="3" s="1"/>
        <i x="2" s="1"/>
        <i x="0"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Region8" sourceName="Region">
  <pivotTables>
    <pivotTable tabId="19" name="average wage per fte 20/21 min"/>
    <pivotTable tabId="19" name="average wage per fte 20/21 max"/>
    <pivotTable tabId="19" name="average wage per fte 21/22 max"/>
    <pivotTable tabId="19" name="average wage per fte 21/22 min"/>
    <pivotTable tabId="19" name="average rates per fte num records"/>
    <pivotTable tabId="19" name="average wage per fte 21/22 number of fte"/>
  </pivotTables>
  <data>
    <tabular pivotCacheId="1716128351">
      <items count="3">
        <i x="0" s="1"/>
        <i x="2"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Number_of_clients__banded" sourceName="Number of clients (banded)">
  <pivotTables>
    <pivotTable tabId="19" name="total hs clients"/>
    <pivotTable tabId="19" name="average hs clients"/>
    <pivotTable tabId="19" name="average hs hours"/>
    <pivotTable tabId="19" name="average sl clients"/>
    <pivotTable tabId="19" name="average sl hours"/>
    <pivotTable tabId="19" name="max hs clients"/>
    <pivotTable tabId="19" name="max hs hours"/>
    <pivotTable tabId="19" name="max sl clients"/>
    <pivotTable tabId="19" name="max sl hours"/>
    <pivotTable tabId="19" name="min hs clients"/>
    <pivotTable tabId="19" name="min hs hours"/>
    <pivotTable tabId="19" name="min sl clients"/>
    <pivotTable tabId="19" name="min sl hours"/>
    <pivotTable tabId="19" name="total hs hours"/>
    <pivotTable tabId="19" name="total sl clients"/>
    <pivotTable tabId="19" name="total sl hours"/>
    <pivotTable tabId="19" name="Clients Num Records"/>
  </pivotTables>
  <data>
    <tabular pivotCacheId="1716128351">
      <items count="69">
        <i x="12" s="1"/>
        <i x="0" s="1"/>
        <i x="1" s="1"/>
        <i x="2" s="1"/>
        <i x="5" s="1"/>
        <i x="3" s="1"/>
        <i x="11" s="1"/>
        <i x="4" s="1"/>
        <i x="13" s="1"/>
        <i x="6" s="1"/>
        <i x="14" s="1"/>
        <i x="10" s="1"/>
        <i x="7" s="1"/>
        <i x="9" s="1"/>
        <i x="8" s="1"/>
        <i x="45" s="1" nd="1"/>
        <i x="48" s="1" nd="1"/>
        <i x="52" s="1" nd="1"/>
        <i x="55" s="1" nd="1"/>
        <i x="58" s="1" nd="1"/>
        <i x="68" s="1" nd="1"/>
        <i x="15" s="1" nd="1"/>
        <i x="64" s="1" nd="1"/>
        <i x="19" s="1" nd="1"/>
        <i x="17" s="1" nd="1"/>
        <i x="22" s="1" nd="1"/>
        <i x="36" s="1" nd="1"/>
        <i x="53" s="1" nd="1"/>
        <i x="65" s="1" nd="1"/>
        <i x="56" s="1" nd="1"/>
        <i x="23" s="1" nd="1"/>
        <i x="18" s="1" nd="1"/>
        <i x="27" s="1" nd="1"/>
        <i x="47" s="1" nd="1"/>
        <i x="29" s="1" nd="1"/>
        <i x="20" s="1" nd="1"/>
        <i x="60" s="1" nd="1"/>
        <i x="30" s="1" nd="1"/>
        <i x="54" s="1" nd="1"/>
        <i x="40" s="1" nd="1"/>
        <i x="51" s="1" nd="1"/>
        <i x="28" s="1" nd="1"/>
        <i x="33" s="1" nd="1"/>
        <i x="24" s="1" nd="1"/>
        <i x="37" s="1" nd="1"/>
        <i x="34" s="1" nd="1"/>
        <i x="62" s="1" nd="1"/>
        <i x="38" s="1" nd="1"/>
        <i x="16" s="1" nd="1"/>
        <i x="49" s="1" nd="1"/>
        <i x="63" s="1" nd="1"/>
        <i x="66" s="1" nd="1"/>
        <i x="39" s="1" nd="1"/>
        <i x="57" s="1" nd="1"/>
        <i x="25" s="1" nd="1"/>
        <i x="41" s="1" nd="1"/>
        <i x="46" s="1" nd="1"/>
        <i x="31" s="1" nd="1"/>
        <i x="26" s="1" nd="1"/>
        <i x="61" s="1" nd="1"/>
        <i x="21" s="1" nd="1"/>
        <i x="59" s="1" nd="1"/>
        <i x="44" s="1" nd="1"/>
        <i x="42" s="1" nd="1"/>
        <i x="35" s="1" nd="1"/>
        <i x="32" s="1" nd="1"/>
        <i x="50" s="1" nd="1"/>
        <i x="67" s="1" nd="1"/>
        <i x="43" s="1" nd="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Majority_Service_Type8" sourceName="Majority Service Type">
  <pivotTables>
    <pivotTable tabId="19" name="average wage per fte 20/21 min"/>
    <pivotTable tabId="19" name="average wage per fte 20/21 max"/>
    <pivotTable tabId="19" name="average wage per fte 21/22 max"/>
    <pivotTable tabId="19" name="average wage per fte 21/22 min"/>
    <pivotTable tabId="19" name="average rates per fte num records"/>
    <pivotTable tabId="19" name="average wage per fte 21/22 number of fte"/>
  </pivotTables>
  <data>
    <tabular pivotCacheId="1716128351">
      <items count="51">
        <i x="2" s="1"/>
        <i x="0" s="1"/>
        <i x="1" s="1"/>
        <i x="3" s="1" nd="1"/>
        <i x="8" s="1" nd="1"/>
        <i x="45" s="1" nd="1"/>
        <i x="18" s="1" nd="1"/>
        <i x="4" s="1" nd="1"/>
        <i x="30" s="1" nd="1"/>
        <i x="9" s="1" nd="1"/>
        <i x="46" s="1" nd="1"/>
        <i x="22" s="1" nd="1"/>
        <i x="38" s="1" nd="1"/>
        <i x="6" s="1" nd="1"/>
        <i x="25" s="1" nd="1"/>
        <i x="39" s="1" nd="1"/>
        <i x="29" s="1" nd="1"/>
        <i x="5" s="1" nd="1"/>
        <i x="14" s="1" nd="1"/>
        <i x="23" s="1" nd="1"/>
        <i x="48" s="1" nd="1"/>
        <i x="43" s="1" nd="1"/>
        <i x="42" s="1" nd="1"/>
        <i x="12" s="1" nd="1"/>
        <i x="27" s="1" nd="1"/>
        <i x="35" s="1" nd="1"/>
        <i x="34" s="1" nd="1"/>
        <i x="44" s="1" nd="1"/>
        <i x="15" s="1" nd="1"/>
        <i x="49" s="1" nd="1"/>
        <i x="10" s="1" nd="1"/>
        <i x="11" s="1" nd="1"/>
        <i x="26" s="1" nd="1"/>
        <i x="40" s="1" nd="1"/>
        <i x="28" s="1" nd="1"/>
        <i x="36" s="1" nd="1"/>
        <i x="32" s="1" nd="1"/>
        <i x="7" s="1" nd="1"/>
        <i x="47" s="1" nd="1"/>
        <i x="41" s="1" nd="1"/>
        <i x="13" s="1" nd="1"/>
        <i x="17" s="1" nd="1"/>
        <i x="33" s="1" nd="1"/>
        <i x="20" s="1" nd="1"/>
        <i x="50" s="1" nd="1"/>
        <i x="24" s="1" nd="1"/>
        <i x="21" s="1" nd="1"/>
        <i x="16" s="1" nd="1"/>
        <i x="37" s="1" nd="1"/>
        <i x="31" s="1" nd="1"/>
        <i x="19" s="1" nd="1"/>
      </items>
    </tabular>
  </data>
  <extLst>
    <x:ext xmlns:x15="http://schemas.microsoft.com/office/spreadsheetml/2010/11/main" uri="{470722E0-AACD-4C17-9CDC-17EF765DBC7E}">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Number_of_clients__banded8" sourceName="Number of clients (banded)">
  <pivotTables>
    <pivotTable tabId="19" name="average wage per fte 20/21 min"/>
    <pivotTable tabId="19" name="average wage per fte 20/21 max"/>
    <pivotTable tabId="19" name="average wage per fte 21/22 max"/>
    <pivotTable tabId="19" name="average wage per fte 21/22 min"/>
    <pivotTable tabId="19" name="average rates per fte num records"/>
    <pivotTable tabId="19" name="average wage per fte 21/22 number of fte"/>
  </pivotTables>
  <data>
    <tabular pivotCacheId="1716128351">
      <items count="69">
        <i x="12" s="1"/>
        <i x="0" s="1"/>
        <i x="1" s="1"/>
        <i x="2" s="1"/>
        <i x="5" s="1"/>
        <i x="3" s="1"/>
        <i x="11" s="1"/>
        <i x="4" s="1"/>
        <i x="13" s="1"/>
        <i x="6" s="1"/>
        <i x="14" s="1"/>
        <i x="10" s="1"/>
        <i x="7" s="1"/>
        <i x="9" s="1"/>
        <i x="8" s="1"/>
        <i x="45" s="1" nd="1"/>
        <i x="48" s="1" nd="1"/>
        <i x="52" s="1" nd="1"/>
        <i x="55" s="1" nd="1"/>
        <i x="58" s="1" nd="1"/>
        <i x="68" s="1" nd="1"/>
        <i x="15" s="1" nd="1"/>
        <i x="64" s="1" nd="1"/>
        <i x="19" s="1" nd="1"/>
        <i x="17" s="1" nd="1"/>
        <i x="22" s="1" nd="1"/>
        <i x="36" s="1" nd="1"/>
        <i x="53" s="1" nd="1"/>
        <i x="65" s="1" nd="1"/>
        <i x="56" s="1" nd="1"/>
        <i x="23" s="1" nd="1"/>
        <i x="18" s="1" nd="1"/>
        <i x="27" s="1" nd="1"/>
        <i x="47" s="1" nd="1"/>
        <i x="29" s="1" nd="1"/>
        <i x="20" s="1" nd="1"/>
        <i x="60" s="1" nd="1"/>
        <i x="30" s="1" nd="1"/>
        <i x="54" s="1" nd="1"/>
        <i x="40" s="1" nd="1"/>
        <i x="51" s="1" nd="1"/>
        <i x="28" s="1" nd="1"/>
        <i x="33" s="1" nd="1"/>
        <i x="24" s="1" nd="1"/>
        <i x="37" s="1" nd="1"/>
        <i x="34" s="1" nd="1"/>
        <i x="62" s="1" nd="1"/>
        <i x="38" s="1" nd="1"/>
        <i x="16" s="1" nd="1"/>
        <i x="49" s="1" nd="1"/>
        <i x="63" s="1" nd="1"/>
        <i x="66" s="1" nd="1"/>
        <i x="39" s="1" nd="1"/>
        <i x="57" s="1" nd="1"/>
        <i x="25" s="1" nd="1"/>
        <i x="41" s="1" nd="1"/>
        <i x="46" s="1" nd="1"/>
        <i x="31" s="1" nd="1"/>
        <i x="26" s="1" nd="1"/>
        <i x="61" s="1" nd="1"/>
        <i x="21" s="1" nd="1"/>
        <i x="59" s="1" nd="1"/>
        <i x="44" s="1" nd="1"/>
        <i x="42" s="1" nd="1"/>
        <i x="35" s="1" nd="1"/>
        <i x="32" s="1" nd="1"/>
        <i x="50" s="1" nd="1"/>
        <i x="67" s="1" nd="1"/>
        <i x="43" s="1" nd="1"/>
      </items>
    </tabular>
  </data>
  <extLst>
    <x:ext xmlns:x15="http://schemas.microsoft.com/office/spreadsheetml/2010/11/main" uri="{470722E0-AACD-4C17-9CDC-17EF765DBC7E}">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Contract_Status8" sourceName="Contract Status">
  <pivotTables>
    <pivotTable tabId="19" name="average wage per fte 20/21 min"/>
    <pivotTable tabId="19" name="average wage per fte 20/21 max"/>
    <pivotTable tabId="19" name="average wage per fte 21/22 max"/>
    <pivotTable tabId="19" name="average wage per fte 21/22 min"/>
    <pivotTable tabId="19" name="average rates per fte num records"/>
    <pivotTable tabId="19" name="average wage per fte 21/22 number of fte"/>
  </pivotTables>
  <data>
    <tabular pivotCacheId="1716128351">
      <items count="4">
        <i x="1" s="1"/>
        <i x="3" s="1"/>
        <i x="2"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gion2" sourceName="Region">
  <pivotTables>
    <pivotTable tabId="19" name="FTE staff below NLW"/>
    <pivotTable tabId="19" name="Total amount below NLW"/>
    <pivotTable tabId="19" name="NLW num records"/>
    <pivotTable tabId="19" name="PivotTable2"/>
    <pivotTable tabId="19" name="PivotTable3"/>
  </pivotTables>
  <data>
    <tabular pivotCacheId="1716128351">
      <items count="3">
        <i x="0" s="1"/>
        <i x="2"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Majority_Service_Type2" sourceName="Majority Service Type">
  <pivotTables>
    <pivotTable tabId="19" name="FTE staff below NLW"/>
    <pivotTable tabId="19" name="Total amount below NLW"/>
    <pivotTable tabId="19" name="NLW num records"/>
    <pivotTable tabId="19" name="PivotTable2"/>
    <pivotTable tabId="19" name="PivotTable3"/>
  </pivotTables>
  <data>
    <tabular pivotCacheId="1716128351">
      <items count="51">
        <i x="2" s="1"/>
        <i x="0" s="1"/>
        <i x="1" s="1"/>
        <i x="3" s="1" nd="1"/>
        <i x="8" s="1" nd="1"/>
        <i x="45" s="1" nd="1"/>
        <i x="18" s="1" nd="1"/>
        <i x="4" s="1" nd="1"/>
        <i x="30" s="1" nd="1"/>
        <i x="9" s="1" nd="1"/>
        <i x="46" s="1" nd="1"/>
        <i x="22" s="1" nd="1"/>
        <i x="38" s="1" nd="1"/>
        <i x="6" s="1" nd="1"/>
        <i x="25" s="1" nd="1"/>
        <i x="39" s="1" nd="1"/>
        <i x="29" s="1" nd="1"/>
        <i x="5" s="1" nd="1"/>
        <i x="14" s="1" nd="1"/>
        <i x="23" s="1" nd="1"/>
        <i x="48" s="1" nd="1"/>
        <i x="43" s="1" nd="1"/>
        <i x="42" s="1" nd="1"/>
        <i x="12" s="1" nd="1"/>
        <i x="27" s="1" nd="1"/>
        <i x="35" s="1" nd="1"/>
        <i x="34" s="1" nd="1"/>
        <i x="44" s="1" nd="1"/>
        <i x="15" s="1" nd="1"/>
        <i x="49" s="1" nd="1"/>
        <i x="10" s="1" nd="1"/>
        <i x="11" s="1" nd="1"/>
        <i x="26" s="1" nd="1"/>
        <i x="40" s="1" nd="1"/>
        <i x="28" s="1" nd="1"/>
        <i x="36" s="1" nd="1"/>
        <i x="32" s="1" nd="1"/>
        <i x="7" s="1" nd="1"/>
        <i x="47" s="1" nd="1"/>
        <i x="41" s="1" nd="1"/>
        <i x="13" s="1" nd="1"/>
        <i x="17" s="1" nd="1"/>
        <i x="33" s="1" nd="1"/>
        <i x="20" s="1" nd="1"/>
        <i x="50" s="1" nd="1"/>
        <i x="24" s="1" nd="1"/>
        <i x="21" s="1" nd="1"/>
        <i x="16" s="1" nd="1"/>
        <i x="37" s="1" nd="1"/>
        <i x="31" s="1" nd="1"/>
        <i x="1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Number_of_clients__banded2" sourceName="Number of clients (banded)">
  <pivotTables>
    <pivotTable tabId="19" name="FTE staff below NLW"/>
    <pivotTable tabId="19" name="Total amount below NLW"/>
    <pivotTable tabId="19" name="NLW num records"/>
    <pivotTable tabId="19" name="PivotTable2"/>
    <pivotTable tabId="19" name="PivotTable3"/>
  </pivotTables>
  <data>
    <tabular pivotCacheId="1716128351">
      <items count="69">
        <i x="12" s="1"/>
        <i x="0" s="1"/>
        <i x="1" s="1"/>
        <i x="2" s="1"/>
        <i x="5" s="1"/>
        <i x="3" s="1"/>
        <i x="11" s="1"/>
        <i x="4" s="1"/>
        <i x="13" s="1"/>
        <i x="6" s="1"/>
        <i x="14" s="1"/>
        <i x="10" s="1"/>
        <i x="7" s="1"/>
        <i x="9" s="1"/>
        <i x="8" s="1"/>
        <i x="45" s="1" nd="1"/>
        <i x="48" s="1" nd="1"/>
        <i x="52" s="1" nd="1"/>
        <i x="55" s="1" nd="1"/>
        <i x="58" s="1" nd="1"/>
        <i x="68" s="1" nd="1"/>
        <i x="15" s="1" nd="1"/>
        <i x="64" s="1" nd="1"/>
        <i x="19" s="1" nd="1"/>
        <i x="17" s="1" nd="1"/>
        <i x="22" s="1" nd="1"/>
        <i x="36" s="1" nd="1"/>
        <i x="53" s="1" nd="1"/>
        <i x="65" s="1" nd="1"/>
        <i x="56" s="1" nd="1"/>
        <i x="23" s="1" nd="1"/>
        <i x="18" s="1" nd="1"/>
        <i x="27" s="1" nd="1"/>
        <i x="47" s="1" nd="1"/>
        <i x="29" s="1" nd="1"/>
        <i x="20" s="1" nd="1"/>
        <i x="60" s="1" nd="1"/>
        <i x="30" s="1" nd="1"/>
        <i x="54" s="1" nd="1"/>
        <i x="40" s="1" nd="1"/>
        <i x="51" s="1" nd="1"/>
        <i x="28" s="1" nd="1"/>
        <i x="33" s="1" nd="1"/>
        <i x="24" s="1" nd="1"/>
        <i x="37" s="1" nd="1"/>
        <i x="34" s="1" nd="1"/>
        <i x="62" s="1" nd="1"/>
        <i x="38" s="1" nd="1"/>
        <i x="16" s="1" nd="1"/>
        <i x="49" s="1" nd="1"/>
        <i x="63" s="1" nd="1"/>
        <i x="66" s="1" nd="1"/>
        <i x="39" s="1" nd="1"/>
        <i x="57" s="1" nd="1"/>
        <i x="25" s="1" nd="1"/>
        <i x="41" s="1" nd="1"/>
        <i x="46" s="1" nd="1"/>
        <i x="31" s="1" nd="1"/>
        <i x="26" s="1" nd="1"/>
        <i x="61" s="1" nd="1"/>
        <i x="21" s="1" nd="1"/>
        <i x="59" s="1" nd="1"/>
        <i x="44" s="1" nd="1"/>
        <i x="42" s="1" nd="1"/>
        <i x="35" s="1" nd="1"/>
        <i x="32" s="1" nd="1"/>
        <i x="50" s="1" nd="1"/>
        <i x="67" s="1" nd="1"/>
        <i x="4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Region3" sourceName="Region">
  <pivotTables>
    <pivotTable tabId="19" name="Employees"/>
    <pivotTable tabId="19" name="employees num records"/>
    <pivotTable tabId="19" name="PivotTable6"/>
    <pivotTable tabId="19" name="PivotTable7"/>
    <pivotTable tabId="19" name="PivotTable8"/>
  </pivotTables>
  <data>
    <tabular pivotCacheId="1716128351">
      <items count="3">
        <i x="0" s="1"/>
        <i x="2" s="1"/>
        <i x="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Majority_Service_Type3" sourceName="Majority Service Type">
  <pivotTables>
    <pivotTable tabId="19" name="Employees"/>
    <pivotTable tabId="19" name="employees num records"/>
    <pivotTable tabId="19" name="PivotTable6"/>
    <pivotTable tabId="19" name="PivotTable7"/>
    <pivotTable tabId="19" name="PivotTable8"/>
  </pivotTables>
  <data>
    <tabular pivotCacheId="1716128351">
      <items count="51">
        <i x="2" s="1"/>
        <i x="0" s="1"/>
        <i x="1" s="1"/>
        <i x="3" s="1" nd="1"/>
        <i x="8" s="1" nd="1"/>
        <i x="45" s="1" nd="1"/>
        <i x="18" s="1" nd="1"/>
        <i x="4" s="1" nd="1"/>
        <i x="30" s="1" nd="1"/>
        <i x="9" s="1" nd="1"/>
        <i x="46" s="1" nd="1"/>
        <i x="22" s="1" nd="1"/>
        <i x="38" s="1" nd="1"/>
        <i x="6" s="1" nd="1"/>
        <i x="25" s="1" nd="1"/>
        <i x="39" s="1" nd="1"/>
        <i x="29" s="1" nd="1"/>
        <i x="5" s="1" nd="1"/>
        <i x="14" s="1" nd="1"/>
        <i x="23" s="1" nd="1"/>
        <i x="48" s="1" nd="1"/>
        <i x="43" s="1" nd="1"/>
        <i x="42" s="1" nd="1"/>
        <i x="12" s="1" nd="1"/>
        <i x="27" s="1" nd="1"/>
        <i x="35" s="1" nd="1"/>
        <i x="34" s="1" nd="1"/>
        <i x="44" s="1" nd="1"/>
        <i x="15" s="1" nd="1"/>
        <i x="49" s="1" nd="1"/>
        <i x="10" s="1" nd="1"/>
        <i x="11" s="1" nd="1"/>
        <i x="26" s="1" nd="1"/>
        <i x="40" s="1" nd="1"/>
        <i x="28" s="1" nd="1"/>
        <i x="36" s="1" nd="1"/>
        <i x="32" s="1" nd="1"/>
        <i x="7" s="1" nd="1"/>
        <i x="47" s="1" nd="1"/>
        <i x="41" s="1" nd="1"/>
        <i x="13" s="1" nd="1"/>
        <i x="17" s="1" nd="1"/>
        <i x="33" s="1" nd="1"/>
        <i x="20" s="1" nd="1"/>
        <i x="50" s="1" nd="1"/>
        <i x="24" s="1" nd="1"/>
        <i x="21" s="1" nd="1"/>
        <i x="16" s="1" nd="1"/>
        <i x="37" s="1" nd="1"/>
        <i x="31" s="1" nd="1"/>
        <i x="1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Number_of_clients__banded3" sourceName="Number of clients (banded)">
  <pivotTables>
    <pivotTable tabId="19" name="Employees"/>
    <pivotTable tabId="19" name="employees num records"/>
    <pivotTable tabId="19" name="PivotTable6"/>
    <pivotTable tabId="19" name="PivotTable7"/>
    <pivotTable tabId="19" name="PivotTable8"/>
  </pivotTables>
  <data>
    <tabular pivotCacheId="1716128351">
      <items count="69">
        <i x="12" s="1"/>
        <i x="0" s="1"/>
        <i x="1" s="1"/>
        <i x="2" s="1"/>
        <i x="5" s="1"/>
        <i x="3" s="1"/>
        <i x="11" s="1"/>
        <i x="4" s="1"/>
        <i x="13" s="1"/>
        <i x="6" s="1"/>
        <i x="14" s="1"/>
        <i x="10" s="1"/>
        <i x="7" s="1"/>
        <i x="9" s="1"/>
        <i x="8" s="1"/>
        <i x="45" s="1" nd="1"/>
        <i x="48" s="1" nd="1"/>
        <i x="52" s="1" nd="1"/>
        <i x="55" s="1" nd="1"/>
        <i x="58" s="1" nd="1"/>
        <i x="68" s="1" nd="1"/>
        <i x="15" s="1" nd="1"/>
        <i x="64" s="1" nd="1"/>
        <i x="19" s="1" nd="1"/>
        <i x="17" s="1" nd="1"/>
        <i x="22" s="1" nd="1"/>
        <i x="36" s="1" nd="1"/>
        <i x="53" s="1" nd="1"/>
        <i x="65" s="1" nd="1"/>
        <i x="56" s="1" nd="1"/>
        <i x="23" s="1" nd="1"/>
        <i x="18" s="1" nd="1"/>
        <i x="27" s="1" nd="1"/>
        <i x="47" s="1" nd="1"/>
        <i x="29" s="1" nd="1"/>
        <i x="20" s="1" nd="1"/>
        <i x="60" s="1" nd="1"/>
        <i x="30" s="1" nd="1"/>
        <i x="54" s="1" nd="1"/>
        <i x="40" s="1" nd="1"/>
        <i x="51" s="1" nd="1"/>
        <i x="28" s="1" nd="1"/>
        <i x="33" s="1" nd="1"/>
        <i x="24" s="1" nd="1"/>
        <i x="37" s="1" nd="1"/>
        <i x="34" s="1" nd="1"/>
        <i x="62" s="1" nd="1"/>
        <i x="38" s="1" nd="1"/>
        <i x="16" s="1" nd="1"/>
        <i x="49" s="1" nd="1"/>
        <i x="63" s="1" nd="1"/>
        <i x="66" s="1" nd="1"/>
        <i x="39" s="1" nd="1"/>
        <i x="57" s="1" nd="1"/>
        <i x="25" s="1" nd="1"/>
        <i x="41" s="1" nd="1"/>
        <i x="46" s="1" nd="1"/>
        <i x="31" s="1" nd="1"/>
        <i x="26" s="1" nd="1"/>
        <i x="61" s="1" nd="1"/>
        <i x="21" s="1" nd="1"/>
        <i x="59" s="1" nd="1"/>
        <i x="44" s="1" nd="1"/>
        <i x="42" s="1" nd="1"/>
        <i x="35" s="1" nd="1"/>
        <i x="32" s="1" nd="1"/>
        <i x="50" s="1" nd="1"/>
        <i x="67" s="1" nd="1"/>
        <i x="4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gion Clients and Hours" cache="Slicer_Region" caption="Region" style="SlicerStyleLight1 2 2" lockedPosition="1" rowHeight="241300"/>
  <slicer name="Majority Service Type Clients and Hours" cache="Slicer_Majority_Service_Type" caption="Majority Service Type" style="SlicerStyleLight1 2 2" lockedPosition="1" rowHeight="241300"/>
  <slicer name="Number of clients Clients and Hours" cache="Slicer_Number_of_clients__banded" caption="Number of clients" style="SlicerStyleLight1 2 2" lockedPosition="1" rowHeight="241300"/>
  <slicer name="Region NLW" cache="Slicer_Region2" caption="Region" style="SlicerStyleLight1 2 2" lockedPosition="1" rowHeight="241300"/>
  <slicer name="Majority Service Type NLW" cache="Slicer_Majority_Service_Type2" caption="Majority Service Type" style="SlicerStyleLight1 2 2" lockedPosition="1" rowHeight="241300"/>
  <slicer name="Number of clients NLW" cache="Slicer_Number_of_clients__banded2" caption="Number of clients" style="SlicerStyleLight1 2 2" lockedPosition="1" rowHeight="241300"/>
  <slicer name="Region Employees" cache="Slicer_Region3" caption="Region" style="SlicerStyleLight1 2" lockedPosition="1" rowHeight="241300"/>
  <slicer name="Majority Service Type Employees" cache="Slicer_Majority_Service_Type3" caption="Majority Service Type" style="SlicerStyleLight1 2" lockedPosition="1" rowHeight="241300"/>
  <slicer name="Number of clients Employees" cache="Slicer_Number_of_clients__banded3" caption="Number of clients" style="SlicerStyleLight1 2" lockedPosition="1" rowHeight="241300"/>
  <slicer name="Region" cache="Slicer_Region4" caption="Region" style="SlicerStyleLight1 2 2" lockedPosition="1" rowHeight="241300"/>
  <slicer name="Occupancy Number of Cleints" cache="Slicer_Number_of_clients__banded4" caption="Number of clients" style="SlicerStyleLight1 2 2" lockedPosition="1" rowHeight="241300"/>
  <slicer name="Majority Service Type Occupancy" cache="Slicer_Majority_Service_Type4" caption="Majority Service Type" style="SlicerStyleLight1 2 2" lockedPosition="1" rowHeight="241300"/>
  <slicer name="Region 1" cache="Slicer_Region5" caption="Region" style="SlicerStyleLight1 2" rowHeight="241300"/>
  <slicer name="Majority Service Type" cache="Slicer_Majority_Service_Type5" caption="Majority Service Type" style="SlicerStyleLight1 2" rowHeight="241300"/>
  <slicer name="Number of clients (banded)" cache="Slicer_Number_of_clients__banded5" caption="Number of clients" style="SlicerStyleLight1 2" rowHeight="241300"/>
  <slicer name="Contract Status" cache="Slicer_Contract_Status" caption="Contract Status" style="SlicerStyleLight1 2" rowHeight="241300"/>
  <slicer name="Contract Status 1" cache="Slicer_Contract_Status1" caption="Contract Status" style="SlicerStyleLight1 2 2" lockedPosition="1" rowHeight="241300"/>
  <slicer name="Contract Status 3" cache="Slicer_Contract_Status3" caption="Contract Status" style="SlicerStyleLight1 2 2" lockedPosition="1" rowHeight="241300"/>
  <slicer name="Contract Status 4" cache="Slicer_Contract_Status4" caption="Contract Status" style="SlicerStyleLight1 2" lockedPosition="1" rowHeight="241300"/>
  <slicer name="Contract Status 5" cache="Slicer_Contract_Status5" caption="Contract Status" style="SlicerStyleLight1 2 2" lockedPosition="1" rowHeight="241300"/>
  <slicer name="Region 3" cache="Slicer_Region6" caption="Region" style="SlicerStyleLight1 2 2" lockedPosition="1" rowHeight="241300"/>
  <slicer name="Majority Service Type Hourly Costs" cache="Slicer_Majority_Service_Type6" caption="Majority Service Type" style="SlicerStyleLight1 2 2" lockedPosition="1" rowHeight="241300"/>
  <slicer name="Number of clients costs" cache="Slicer_Number_of_clients__banded6" caption="Number of clients" style="SlicerStyleLight1 2 2" lockedPosition="1" rowHeight="241300"/>
  <slicer name="Contract Status 6" cache="Slicer_Contract_Status6" caption="Contract Status" style="SlicerStyleLight1 2 2" lockedPosition="1" rowHeight="241300"/>
  <slicer name="Region 4" cache="Slicer_Region7" caption="Region" style="SlicerStyleLight1 2" lockedPosition="1" rowHeight="241300"/>
  <slicer name="Majority Service Type average charges" cache="Slicer_Majority_Service_Type7" caption="Majority Service Type" style="SlicerStyleLight1 2" lockedPosition="1" rowHeight="241300"/>
  <slicer name="Number of clients average charges" cache="Slicer_Number_of_clients__banded7" caption="Number of clients" style="SlicerStyleLight1 2" lockedPosition="1" rowHeight="241300"/>
  <slicer name="Contract Status 7" cache="Slicer_Contract_Status7" caption="Contract Status" style="SlicerStyleLight1 2" lockedPosition="1" rowHeight="241300"/>
  <slicer name="average wage per fte region" cache="Slicer_Region8" caption="Region" style="SlicerStyleLight1 2 3" lockedPosition="1" rowHeight="241300"/>
  <slicer name="average wage per fte Majority Service Type" cache="Slicer_Majority_Service_Type8" caption="Majority Service Type" style="SlicerStyleLight1 2 3" lockedPosition="1" rowHeight="241300"/>
  <slicer name="average wage per fte Number of clients (banded)" cache="Slicer_Number_of_clients__banded8" caption="Number of clients" style="SlicerStyleLight1 2 3" lockedPosition="1" rowHeight="241300"/>
  <slicer name="average wage per fte Contract Status" cache="Slicer_Contract_Status8" caption="Contract Status" style="SlicerStyleLight1 2 3" lockedPosition="1" rowHeight="241300"/>
</slicers>
</file>

<file path=xl/tables/table1.xml><?xml version="1.0" encoding="utf-8"?>
<table xmlns="http://schemas.openxmlformats.org/spreadsheetml/2006/main" id="1" name="DATA" displayName="DATA" ref="A6:RP88" totalsRowShown="0" headerRowDxfId="489" dataDxfId="488">
  <autoFilter ref="A6:RP88"/>
  <tableColumns count="484">
    <tableColumn id="1" name="CQC Registered Provider name:" dataDxfId="487"/>
    <tableColumn id="2" name="CQC Registered Location name:" dataDxfId="486"/>
    <tableColumn id="3" name="CQC Registered Location Address:" dataDxfId="485"/>
    <tableColumn id="127" name="CQC Registered Location Address Line 2" dataDxfId="484"/>
    <tableColumn id="125" name="CQC Registered Location Address Line 3" dataDxfId="483"/>
    <tableColumn id="4" name="Postcode:" dataDxfId="482"/>
    <tableColumn id="5" name="CQC Location ID:" dataDxfId="481"/>
    <tableColumn id="6" name="Number of Home support clients:" dataDxfId="480"/>
    <tableColumn id="7" name="Number of supported living clients:" dataDxfId="479"/>
    <tableColumn id="8" name="Home Support service split percentage (Expenditure):" dataDxfId="478"/>
    <tableColumn id="203" name="Supported Living service split percentage (Expenditure):" dataDxfId="477"/>
    <tableColumn id="202" name="Registered Location Office Accommodation tenure:" dataDxfId="476"/>
    <tableColumn id="201" name="Central / Headquarters Office Accommodation tenure:" dataDxfId="475"/>
    <tableColumn id="9" name="Name of person completing this form:" dataDxfId="474"/>
    <tableColumn id="10" name="Role of person completing this form:" dataDxfId="473"/>
    <tableColumn id="272" name="Email address:" dataDxfId="472"/>
    <tableColumn id="11" name="Telephone number:" dataDxfId="471"/>
    <tableColumn id="12" name="Registered manager: Current 2021/22 Minimum hourly pay rate" dataDxfId="470"/>
    <tableColumn id="13" name="Registered manager: Current 2021/22 Maximum hourly pay rate" dataDxfId="469"/>
    <tableColumn id="14" name="Registered manager: Previous 2020/21 Minimum hourly pay rate" dataDxfId="468"/>
    <tableColumn id="15" name="Registered manager: Previous 2020/21 Maximum hourly pay rate" dataDxfId="467"/>
    <tableColumn id="16" name="Registered manager: Numbers employed (Full Time Equivalent)" dataDxfId="466"/>
    <tableColumn id="17" name="Deputy manager: Current 2021/22 Minimum hourly pay rate" dataDxfId="465"/>
    <tableColumn id="18" name="Deputy manager: Current 2021/22 Maximum hourly pay rate" dataDxfId="464"/>
    <tableColumn id="19" name="Deputy manager: Previous 2020/21 Minimum hourly pay rate" dataDxfId="463"/>
    <tableColumn id="20" name="Deputy manager: Previous 2020/21 Maximum hourly pay rate" dataDxfId="462"/>
    <tableColumn id="21" name="Deputy manager: Numbers employed (Full Time Equivalent)" dataDxfId="461"/>
    <tableColumn id="22" name="Other manager 1: Job Role" dataDxfId="460"/>
    <tableColumn id="23" name="Other manager 1: Current 2021/22 Minimum hourly pay rate" dataDxfId="459"/>
    <tableColumn id="191" name="Other manager 1: Current 2021/22 Maximum hourly pay rate" dataDxfId="458"/>
    <tableColumn id="24" name="Other manager 1: Previous 2020/21 Minimum hourly pay rate" dataDxfId="457"/>
    <tableColumn id="25" name="Other manager 1: Previous 2020/21 Maximum hourly pay rate" dataDxfId="456"/>
    <tableColumn id="26" name="Other manager 1: Numbers employed (Full Time Equivalent)" dataDxfId="455"/>
    <tableColumn id="27" name="Other manager 2: Job Role" dataDxfId="454"/>
    <tableColumn id="28" name="Other manager 2: Current 2021/22 Minimum hourly pay rate" dataDxfId="453"/>
    <tableColumn id="190" name="Other manager 2: Current 2021/22 Maximum hourly pay rate" dataDxfId="452"/>
    <tableColumn id="29" name="Other manager 2: Previous 2020/21 Minimum hourly pay rate" dataDxfId="451"/>
    <tableColumn id="30" name="Other manager 2: Previous 2020/21 Maximum hourly pay rate" dataDxfId="450"/>
    <tableColumn id="31" name="Other manager 2: Numbers employed (Full Time Equivalent)" dataDxfId="449"/>
    <tableColumn id="32" name="Other manager 3: Job Role" dataDxfId="448"/>
    <tableColumn id="33" name="Other manager 3: Current 2021/22 Minimum hourly pay rate" dataDxfId="447"/>
    <tableColumn id="189" name="Other manager 3: Current 2021/22 Maximum hourly pay rate" dataDxfId="446"/>
    <tableColumn id="34" name="Other manager 3: Previous 2020/21 Minimum hourly pay rate" dataDxfId="445"/>
    <tableColumn id="35" name="Other manager 3: Previous 2020/21 Maximum hourly pay rate" dataDxfId="444"/>
    <tableColumn id="36" name="Other manager 3: Numbers employed (Full Time Equivalent)" dataDxfId="443"/>
    <tableColumn id="37" name="Care Assistant 1: Job Role" dataDxfId="442"/>
    <tableColumn id="38" name="Care Assistant 1: Current 2021/22 Minimum hourly pay rate" dataDxfId="441"/>
    <tableColumn id="188" name="Care Assistant 1: Current 2021/22 Maximum hourly pay rate" dataDxfId="440"/>
    <tableColumn id="39" name="Care Assistant 1: Previous 2020/21 Minimum hourly pay rate" dataDxfId="439"/>
    <tableColumn id="40" name="Care Assistant 1: Previous 2020/21 Maximum hourly pay rate" dataDxfId="438"/>
    <tableColumn id="41" name="Care Assistant 1: Numbers employed (Full Time Equivalent)" dataDxfId="437"/>
    <tableColumn id="42" name="Care Assistant 2: Job Role" dataDxfId="436"/>
    <tableColumn id="43" name="Care Assistant 2: Current 2021/22 Minimum hourly pay rate" dataDxfId="435"/>
    <tableColumn id="187" name="Care Assistant 2: Current 2021/22 Maximum hourly pay rate" dataDxfId="434"/>
    <tableColumn id="44" name="Care Assistant 2: Previous 2020/21 Minimum hourly pay rate" dataDxfId="433"/>
    <tableColumn id="45" name="Care Assistant 2: Previous 2020/21 Maximum hourly pay rate" dataDxfId="432"/>
    <tableColumn id="46" name="Care Assistant 2: Numbers employed (Full Time Equivalent)" dataDxfId="431"/>
    <tableColumn id="47" name="Care Assistant 3: Job Role" dataDxfId="430"/>
    <tableColumn id="48" name="Care Assistant 3: Current 2021/22 Minimum hourly pay rate" dataDxfId="429"/>
    <tableColumn id="186" name="Care Assistant 3: Current 2021/22 Maximum hourly pay rate" dataDxfId="428"/>
    <tableColumn id="49" name="Care Assistant 3: Previous 2020/21 Minimum hourly pay rate" dataDxfId="427"/>
    <tableColumn id="50" name="Care Assistant 3: Previous 2020/21 Maximum hourly pay rate" dataDxfId="426"/>
    <tableColumn id="51" name="Care Assistant 3: Numbers employed (Full Time Equivalent)" dataDxfId="425"/>
    <tableColumn id="52" name="Care Assistant 4: Job Role" dataDxfId="424"/>
    <tableColumn id="197" name="Care Assistant 4: Current 2021/22 Minimum hourly pay rate" dataDxfId="423"/>
    <tableColumn id="196" name="Care Assistant 4: Current 2021/22 Maximum hourly pay rate" dataDxfId="422"/>
    <tableColumn id="195" name="Care Assistant 4: Previous 2020/21 Minimum hourly pay rate" dataDxfId="421"/>
    <tableColumn id="194" name="Care Assistant 4: Previous 2020/21 Maximum hourly pay rate" dataDxfId="420"/>
    <tableColumn id="193" name="Care Assistant 4: Numbers employed (Full Time Equivalent)" dataDxfId="419"/>
    <tableColumn id="192" name="Administrative Officer 1: Job Role" dataDxfId="418"/>
    <tableColumn id="68" name="Administrative Officer 1: Current 2021/22 Minimum hourly pay rate" dataDxfId="417"/>
    <tableColumn id="182" name="Administrative Officer 1: Current 2021/22 Maximum hourly pay rate" dataDxfId="416"/>
    <tableColumn id="69" name="Administrative Officer 1: Previous 2020/21 Minimum hourly pay rate" dataDxfId="415"/>
    <tableColumn id="70" name="Administrative Officer 1: Previous 2020/21 Maximum hourly pay rate" dataDxfId="414"/>
    <tableColumn id="71" name="Administrative Officer 1: Numbers employed (Full Time Equivalent)" dataDxfId="413"/>
    <tableColumn id="72" name="Administrative Officer 2: Job Role" dataDxfId="412"/>
    <tableColumn id="73" name="Administrative Officer 2: Current 2021/22 Minimum hourly pay rate" dataDxfId="411"/>
    <tableColumn id="181" name="Administrative Officer 2: Current 2021/22 Maximum hourly pay rate" dataDxfId="410"/>
    <tableColumn id="74" name="Administrative Officer 2: Previous 2020/21 Minimum hourly pay rate" dataDxfId="409"/>
    <tableColumn id="75" name="Administrative Officer 2: Previous 2020/21 Maximum hourly pay rate" dataDxfId="408"/>
    <tableColumn id="76" name="Administrative Officer 2: Numbers employed (Full Time Equivalent)" dataDxfId="407"/>
    <tableColumn id="77" name="Administrative Officer 3: Job Role" dataDxfId="406"/>
    <tableColumn id="209" name="Administrative Officer 3: Current 2021/22 Minimum hourly pay rate" dataDxfId="405"/>
    <tableColumn id="208" name="Administrative Officer 3: Current 2021/22 Maximum hourly pay rate" dataDxfId="404"/>
    <tableColumn id="207" name="Administrative Officer 3: Previous 2020/21 Minimum hourly pay rate" dataDxfId="403"/>
    <tableColumn id="206" name="Administrative Officer 3: Previous 2020/21 Maximum hourly pay rate" dataDxfId="402"/>
    <tableColumn id="205" name="Administrative Officer 3: Numbers employed (Full Time Equivalent)" dataDxfId="401"/>
    <tableColumn id="204" name="Other staff 1: Job Role" dataDxfId="400"/>
    <tableColumn id="93" name="Other staff 1: Current 2021/22 Minimum hourly pay rate" dataDxfId="399"/>
    <tableColumn id="178" name="Other staff 1: Current 2021/22 Maximum hourly pay rate" dataDxfId="398"/>
    <tableColumn id="94" name="Other staff 1: Previous 2020/21 Minimum hourly pay rate" dataDxfId="397"/>
    <tableColumn id="95" name="Other staff 1: Previous 2020/21 Maximum hourly pay rate" dataDxfId="396"/>
    <tableColumn id="96" name="Other staff 1: Numbers employed (Full Time Equivalent)" dataDxfId="395"/>
    <tableColumn id="97" name="Other staff 2: Job Role" dataDxfId="394"/>
    <tableColumn id="98" name="Other staff 2: Current 2021/22 Minimum hourly pay rate" dataDxfId="393"/>
    <tableColumn id="179" name="Other staff 2: Current 2021/22 Maximum hourly pay rate" dataDxfId="392"/>
    <tableColumn id="99" name="Other staff 2: Previous 2020/21 Minimum hourly pay rate" dataDxfId="391"/>
    <tableColumn id="100" name="Other staff 2: Previous 2020/21 Maximum hourly pay rate" dataDxfId="390"/>
    <tableColumn id="101" name="Other staff 2: Numbers employed (Full Time Equivalent)" dataDxfId="389"/>
    <tableColumn id="102" name="Other staff 3: Job Role" dataDxfId="388"/>
    <tableColumn id="103" name="Other staff 3: Current 2021/22 Minimum hourly pay rate" dataDxfId="387"/>
    <tableColumn id="180" name="Other staff 3: Current 2021/22 Maximum hourly pay rate" dataDxfId="386"/>
    <tableColumn id="104" name="Other staff 3: Previous 2020/21 Minimum hourly pay rate" dataDxfId="385"/>
    <tableColumn id="105" name="Other staff 3: Previous 2020/21 Maximum hourly pay rate" dataDxfId="384"/>
    <tableColumn id="106" name="Other staff 3: Numbers employed (Full Time Equivalent)" dataDxfId="383"/>
    <tableColumn id="107" name="2021/22 Employer pension contribution rate" dataDxfId="382"/>
    <tableColumn id="116" name="Home Support: Birmingham City Council" dataDxfId="381"/>
    <tableColumn id="118" name="Home Support: Other Local Authority" dataDxfId="380"/>
    <tableColumn id="119" name="Home Support: NHS" dataDxfId="379"/>
    <tableColumn id="120" name="Home Support: Joint funded (Local Authority and NHS)" dataDxfId="378"/>
    <tableColumn id="121" name="Home Support: Direct Payment or Personal Health Budget" dataDxfId="377"/>
    <tableColumn id="122" name="Home Support: Self-funded" dataDxfId="376"/>
    <tableColumn id="123" name="Supported Living: Birmingham City Council" dataDxfId="375"/>
    <tableColumn id="124" name="Supported Living: Other Local Authority" dataDxfId="374"/>
    <tableColumn id="126" name="Supported Living: NHS" dataDxfId="373"/>
    <tableColumn id="128" name="Supported Living: Joint funded (Local Authority and NHS)" dataDxfId="372"/>
    <tableColumn id="129" name="Supported Living: Direct Payment or Personal Health Budget" dataDxfId="371"/>
    <tableColumn id="130" name="Supported Living: Self-funded" dataDxfId="370"/>
    <tableColumn id="131" name="Average hourly charge to other local authorities" dataDxfId="369"/>
    <tableColumn id="132" name="Average hourly charge to self-funders" dataDxfId="368"/>
    <tableColumn id="133" name="Average hourly charge to NHS" dataDxfId="367"/>
    <tableColumn id="134" name="Start of last full accounting year" dataDxfId="366"/>
    <tableColumn id="138" name="End of last full accounting year" dataDxfId="365"/>
    <tableColumn id="139" name="Number of hours of care charged for in last full accounting year" dataDxfId="364"/>
    <tableColumn id="140" name="Total annual expenditure: Management staff" dataDxfId="363"/>
    <tableColumn id="198" name="Total annual expenditure: Care and Support staff" dataDxfId="362"/>
    <tableColumn id="142" name="Total annual expenditure: Administration" dataDxfId="361"/>
    <tableColumn id="143" name="Total annual expenditure: Other staff" dataDxfId="360"/>
    <tableColumn id="144" name="Total annual expenditure: Agency staff" dataDxfId="359"/>
    <tableColumn id="145" name="Total annual expenditure: Travel Cost" dataDxfId="358"/>
    <tableColumn id="146" name="Total annual expenditure: Travel Time" dataDxfId="357"/>
    <tableColumn id="147" name="Total annual expenditure: Training and development" dataDxfId="356"/>
    <tableColumn id="148" name="Recruitment &amp; advertising (including DBS checks)" dataDxfId="355"/>
    <tableColumn id="149" name="Training expenses (fees, facilities, travel and materials)" dataDxfId="354"/>
    <tableColumn id="150" name="Care consumables &amp; uniforms" dataDxfId="353"/>
    <tableColumn id="151" name="Electronic call monitoring" dataDxfId="352"/>
    <tableColumn id="152" name="IT Equipment &amp; Telephoney" dataDxfId="351"/>
    <tableColumn id="153" name="Non-Staffing Direct Cost: Other  - please specify (category)" dataDxfId="350"/>
    <tableColumn id="167" name="Non-Staffing Direct Cost: Other  - please specify (amount)" dataDxfId="349"/>
    <tableColumn id="199" name="Non-Staffing Direct Cost: Other  - please specify (category) 2" dataDxfId="348"/>
    <tableColumn id="168" name="Non-Staffing Direct Cost: Other  - please specify (amount) 2" dataDxfId="347"/>
    <tableColumn id="200" name="Insurance " dataDxfId="346"/>
    <tableColumn id="169" name="Utilities (gas, oil, electricity, water, internet, rates)" dataDxfId="345"/>
    <tableColumn id="170" name="Repairs and maintenance" dataDxfId="344"/>
    <tableColumn id="171" name="Property cost relating to  rent/mortgage/lease/loan etc" dataDxfId="343"/>
    <tableColumn id="176" name="Registration &amp; Inspection fees " dataDxfId="342"/>
    <tableColumn id="172" name="Subscriptions" dataDxfId="341"/>
    <tableColumn id="58" name="Cost of finance" dataDxfId="340"/>
    <tableColumn id="57" name="Other non-staff current expenses" dataDxfId="339"/>
    <tableColumn id="56" name="Indirect costs: Other 1 - please specify (category)" dataDxfId="338"/>
    <tableColumn id="55" name="Indirect costs: Other 1 - please specify (amount)" dataDxfId="337"/>
    <tableColumn id="54" name="Indirect costs: Other 2 - please specify (category)" dataDxfId="336"/>
    <tableColumn id="53" name="Indirect costs: Other 2 - please specify (amount)" dataDxfId="335"/>
    <tableColumn id="60" name="Central / Regional Management" dataDxfId="334"/>
    <tableColumn id="64" name="Support Services (finance / HR / Payroll / legal etc.)" dataDxfId="333"/>
    <tableColumn id="63" name="Indirect costs: Other  - please specify (category) 1" dataDxfId="332"/>
    <tableColumn id="62" name="Corporate Overheads: Other  - please specify (amount) 1" dataDxfId="331"/>
    <tableColumn id="61" name="Corporate Overheads: Other  - please specify (category) 1" dataDxfId="330"/>
    <tableColumn id="177" name="Corporate Overheads: Other  - please specify (amount) 2" dataDxfId="329"/>
    <tableColumn id="65" name="Net Operating Profit" dataDxfId="328"/>
    <tableColumn id="173" name="Return on Capital employed" dataDxfId="327"/>
    <tableColumn id="174" name="Original amount of Capital employed" dataDxfId="326"/>
    <tableColumn id="175" name="Filename" dataDxfId="325"/>
    <tableColumn id="59" name="Date of import" dataDxfId="324"/>
    <tableColumn id="66" name="Local Authority" dataDxfId="323"/>
    <tableColumn id="278" name="Total number of clients" dataDxfId="322">
      <calculatedColumnFormula>SUM(DATA[[#This Row],[Number of Home support clients:]],DATA[[#This Row],[Number of supported living clients:]])</calculatedColumnFormula>
    </tableColumn>
    <tableColumn id="67" name="Number of clients (banded)" dataDxfId="321">
      <calculatedColumnFormula>IF(DATA[[#This Row],[Total number of clients]]=0,0,IF(DATA[[#This Row],[Total number of clients]]&gt;200,"201+",10*MATCH(DATA[[#This Row],[Total number of clients]],{1,11,21,31,41,51,61,71,81,91,101,111,121,131,141,151,161,171,181,191},1)-9 &amp;"-"&amp;10*MATCH(DATA[[#This Row],[Total number of clients]],{1,11,21,31,41,51,61,71,81,91,101,111,121,131,141,151,161,171,181,191},1)))</calculatedColumnFormula>
    </tableColumn>
    <tableColumn id="78" name="Registered manager: Current 2021/22 Minimum hourly pay rate ADJUSTED" dataDxfId="320">
      <calculatedColumnFormula>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calculatedColumnFormula>
    </tableColumn>
    <tableColumn id="79" name="Registered manager: Current 2021/22 Maximum hourly pay rate ADJUSTED" dataDxfId="319">
      <calculatedColumnFormula>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calculatedColumnFormula>
    </tableColumn>
    <tableColumn id="80" name="Registered manager: Previous 2020/21 Minimum hourly pay rate ADJUSTED" dataDxfId="318">
      <calculatedColumnFormula>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calculatedColumnFormula>
    </tableColumn>
    <tableColumn id="81" name="Registered manager: Previous 2020/21 Maximum hourly pay rate ADJUSTED" dataDxfId="317">
      <calculatedColumnFormula>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calculatedColumnFormula>
    </tableColumn>
    <tableColumn id="82" name="Deputy manager: Current 2021/22 Minimum hourly pay rate ADJUSTED" dataDxfId="316">
      <calculatedColumnFormula>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calculatedColumnFormula>
    </tableColumn>
    <tableColumn id="84" name="Deputy manager: Current 2021/22 Maximum hourly pay rate ADJUSTED" dataDxfId="315">
      <calculatedColumnFormula>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calculatedColumnFormula>
    </tableColumn>
    <tableColumn id="85" name="Deputy manager: Previous 2020/21 Minimum hourly pay rate ADJUSTED" dataDxfId="314">
      <calculatedColumnFormula>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calculatedColumnFormula>
    </tableColumn>
    <tableColumn id="86" name="Deputy manager: Previous 2020/21 Maximum hourly pay rate ADJUSTED" dataDxfId="313">
      <calculatedColumnFormula>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calculatedColumnFormula>
    </tableColumn>
    <tableColumn id="87" name="Other manager 1: Current 2021/22 Minimum hourly pay rate ADJUSTED" dataDxfId="312">
      <calculatedColumnFormula>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calculatedColumnFormula>
    </tableColumn>
    <tableColumn id="90" name="Other manager 1: Current 2021/22 Maximum hourly pay rate ADJUSTED" dataDxfId="311">
      <calculatedColumnFormula>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calculatedColumnFormula>
    </tableColumn>
    <tableColumn id="91" name="Other manager 1: Previous 2020/21 Minimum hourly pay rate ADJUSTED" dataDxfId="310">
      <calculatedColumnFormula>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calculatedColumnFormula>
    </tableColumn>
    <tableColumn id="92" name="Other manager 1: Previous 2020/21 Maximum hourly pay rate ADJUSTED" dataDxfId="309">
      <calculatedColumnFormula>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calculatedColumnFormula>
    </tableColumn>
    <tableColumn id="108" name="Other manager 2: Current 2021/22 Minimum hourly pay rate ADJUSTED" dataDxfId="308">
      <calculatedColumnFormula>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calculatedColumnFormula>
    </tableColumn>
    <tableColumn id="111" name="Other manager 2: Current 2021/22 Maximum hourly pay rate ADJUSTED" dataDxfId="307">
      <calculatedColumnFormula>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calculatedColumnFormula>
    </tableColumn>
    <tableColumn id="112" name="Other manager 2: Previous 2020/21 Minimum hourly pay rate ADJUSTED" dataDxfId="306">
      <calculatedColumnFormula>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calculatedColumnFormula>
    </tableColumn>
    <tableColumn id="113" name="Other manager 2: Previous 2020/21 Maximum hourly pay rate ADJUSTED" dataDxfId="305">
      <calculatedColumnFormula>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calculatedColumnFormula>
    </tableColumn>
    <tableColumn id="114" name="Other manager 3: Current 2021/22 Minimum hourly pay rate ADJUSTED" dataDxfId="304">
      <calculatedColumnFormula>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calculatedColumnFormula>
    </tableColumn>
    <tableColumn id="135" name="Other manager 3: Current 2021/22 Maximum hourly pay rate ADJUSTED" dataDxfId="303">
      <calculatedColumnFormula>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calculatedColumnFormula>
    </tableColumn>
    <tableColumn id="136" name="Other manager 3: Previous 2020/21 Minimum hourly pay rate ADJUSTED" dataDxfId="302">
      <calculatedColumnFormula>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calculatedColumnFormula>
    </tableColumn>
    <tableColumn id="137" name="Other manager 3: Previous 2020/21 Maximum hourly pay rate ADJUSTED" dataDxfId="301">
      <calculatedColumnFormula>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calculatedColumnFormula>
    </tableColumn>
    <tableColumn id="141" name="Care Assistant 1: Current 2021/22 Minimum hourly pay rate ADJUSTED" dataDxfId="300">
      <calculatedColumnFormula>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calculatedColumnFormula>
    </tableColumn>
    <tableColumn id="156" name="Care Assistant 1: Current 2021/22 Maximum hourly pay rate ADJUSTED" dataDxfId="299">
      <calculatedColumnFormula>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calculatedColumnFormula>
    </tableColumn>
    <tableColumn id="157" name="Care Assistant 1: Previous 2020/21 Minimum hourly pay rate ADJUSTED" dataDxfId="298">
      <calculatedColumnFormula>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calculatedColumnFormula>
    </tableColumn>
    <tableColumn id="158" name="Care Assistant 1: Previous 2020/21 Maximum hourly pay rate ADJUSTED" dataDxfId="297">
      <calculatedColumnFormula>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calculatedColumnFormula>
    </tableColumn>
    <tableColumn id="159" name="Care Assistant 2: Current 2021/22 Minimum hourly pay rate ADJUSTED" dataDxfId="296">
      <calculatedColumnFormula>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calculatedColumnFormula>
    </tableColumn>
    <tableColumn id="162" name="Care Assistant 2: Current 2021/22 Maximum hourly pay rate ADJUSTED" dataDxfId="295">
      <calculatedColumnFormula>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calculatedColumnFormula>
    </tableColumn>
    <tableColumn id="163" name="Care Assistant 2: Previous 2020/21 Minimum hourly pay rate ADJUSTED" dataDxfId="294">
      <calculatedColumnFormula>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calculatedColumnFormula>
    </tableColumn>
    <tableColumn id="164" name="Care Assistant 2: Previous 2020/21 Maximum hourly pay rate ADJUSTED" dataDxfId="293">
      <calculatedColumnFormula>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calculatedColumnFormula>
    </tableColumn>
    <tableColumn id="165" name="Care Assistant 3: Current 2021/22 Minimum hourly pay rate ADJUSTED" dataDxfId="292">
      <calculatedColumnFormula>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calculatedColumnFormula>
    </tableColumn>
    <tableColumn id="184" name="Care Assistant 3: Current 2021/22 Maximum hourly pay rate ADJUSTED" dataDxfId="291">
      <calculatedColumnFormula>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calculatedColumnFormula>
    </tableColumn>
    <tableColumn id="185" name="Care Assistant 3: Previous 2020/21 Minimum hourly pay rate ADJUSTED" dataDxfId="290">
      <calculatedColumnFormula>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calculatedColumnFormula>
    </tableColumn>
    <tableColumn id="210" name="Care Assistant 3: Previous 2020/21 Maximum hourly pay rate ADJUSTED" dataDxfId="289">
      <calculatedColumnFormula>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calculatedColumnFormula>
    </tableColumn>
    <tableColumn id="211" name="Care Assistant 4: Current 2021/22 Minimum hourly pay rate ADJUSTED" dataDxfId="288">
      <calculatedColumnFormula>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calculatedColumnFormula>
    </tableColumn>
    <tableColumn id="214" name="Care Assistant 4: Current 2021/22 Maximum hourly pay rate ADJUSTED" dataDxfId="287">
      <calculatedColumnFormula>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calculatedColumnFormula>
    </tableColumn>
    <tableColumn id="215" name="Care Assistant 4: Previous 2020/21 Minimum hourly pay rate ADJUSTED" dataDxfId="286">
      <calculatedColumnFormula>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calculatedColumnFormula>
    </tableColumn>
    <tableColumn id="216" name="Care Assistant 4: Previous 2020/21 Maximum hourly pay rate ADJUSTED" dataDxfId="285">
      <calculatedColumnFormula>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calculatedColumnFormula>
    </tableColumn>
    <tableColumn id="217" name="Administrative Officer 1: Current 2021/22 Minimum hourly pay rate ADJUSTED" dataDxfId="284">
      <calculatedColumnFormula>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calculatedColumnFormula>
    </tableColumn>
    <tableColumn id="220" name="Administrative Officer 1: Current 2021/22 Maximum hourly pay rate ADJUSTED" dataDxfId="283">
      <calculatedColumnFormula>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calculatedColumnFormula>
    </tableColumn>
    <tableColumn id="221" name="Administrative Officer 1: Previous 2020/21 Minimum hourly pay rate ADJUSTED" dataDxfId="282">
      <calculatedColumnFormula>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calculatedColumnFormula>
    </tableColumn>
    <tableColumn id="222" name="Administrative Officer 1: Previous 2020/21 Maximum hourly pay rate ADJUSTED" dataDxfId="281">
      <calculatedColumnFormula>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calculatedColumnFormula>
    </tableColumn>
    <tableColumn id="223" name="Administrative Officer 2: Current 2021/22 Minimum hourly pay rate ADJUSTED" dataDxfId="280">
      <calculatedColumnFormula>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calculatedColumnFormula>
    </tableColumn>
    <tableColumn id="226" name="Administrative Officer 2: Current 2021/22 Maximum hourly pay rate ADJUSTED" dataDxfId="279">
      <calculatedColumnFormula>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calculatedColumnFormula>
    </tableColumn>
    <tableColumn id="227" name="Administrative Officer 2: Previous 2020/21 Minimum hourly pay rate ADJUSTED" dataDxfId="278">
      <calculatedColumnFormula>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calculatedColumnFormula>
    </tableColumn>
    <tableColumn id="228" name="Administrative Officer 2: Previous 2020/21 Maximum hourly pay rate ADJUSTED" dataDxfId="277">
      <calculatedColumnFormula>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calculatedColumnFormula>
    </tableColumn>
    <tableColumn id="229" name="Administrative Officer 3: Current 2021/22 Minimum hourly pay rate ADJUSTED" dataDxfId="276">
      <calculatedColumnFormula>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calculatedColumnFormula>
    </tableColumn>
    <tableColumn id="232" name="Administrative Officer 3: Current 2021/22 Maximum hourly pay rate ADJUSTED" dataDxfId="275">
      <calculatedColumnFormula>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calculatedColumnFormula>
    </tableColumn>
    <tableColumn id="233" name="Administrative Officer 3: Previous 2020/21 Minimum hourly pay rate ADJUSTED" dataDxfId="274">
      <calculatedColumnFormula>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calculatedColumnFormula>
    </tableColumn>
    <tableColumn id="234" name="Administrative Officer 3: Previous 2020/21 Maximum hourly pay rate ADJUSTED" dataDxfId="273">
      <calculatedColumnFormula>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calculatedColumnFormula>
    </tableColumn>
    <tableColumn id="235" name="Other staff 1: Current 2021/22 Minimum hourly pay rate ADJUSTED" dataDxfId="272">
      <calculatedColumnFormula>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calculatedColumnFormula>
    </tableColumn>
    <tableColumn id="238" name="Other staff 1: Current 2021/22 Maximum hourly pay rate ADJUSTED" dataDxfId="271">
      <calculatedColumnFormula>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calculatedColumnFormula>
    </tableColumn>
    <tableColumn id="239" name="Other staff 1: Previous 2020/21 Minimum hourly pay rate ADJUSTED" dataDxfId="270">
      <calculatedColumnFormula>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calculatedColumnFormula>
    </tableColumn>
    <tableColumn id="240" name="Other staff 1: Previous 2020/21 Maximum hourly pay rate ADJUSTED" dataDxfId="269">
      <calculatedColumnFormula>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calculatedColumnFormula>
    </tableColumn>
    <tableColumn id="241" name="Other staff 2: Current 2021/22 Minimum hourly pay rate ADJUSTED" dataDxfId="268">
      <calculatedColumnFormula>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calculatedColumnFormula>
    </tableColumn>
    <tableColumn id="244" name="Other staff 2: Current 2021/22 Maximum hourly pay rate ADJUSTED" dataDxfId="267">
      <calculatedColumnFormula>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calculatedColumnFormula>
    </tableColumn>
    <tableColumn id="245" name="Other staff 2: Previous 2020/21 Minimum hourly pay rate ADJUSTED" dataDxfId="266">
      <calculatedColumnFormula>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calculatedColumnFormula>
    </tableColumn>
    <tableColumn id="246" name="Other staff 2: Previous 2020/21 Maximum hourly pay rate ADJUSTED" dataDxfId="265">
      <calculatedColumnFormula>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calculatedColumnFormula>
    </tableColumn>
    <tableColumn id="247" name="Other staff 3: Current 2021/22 Minimum hourly pay rate ADJUSTED" dataDxfId="264">
      <calculatedColumnFormula>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calculatedColumnFormula>
    </tableColumn>
    <tableColumn id="250" name="Other staff 3: Current 2021/22 Maximum hourly pay rate ADJUSTED" dataDxfId="263">
      <calculatedColumnFormula>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calculatedColumnFormula>
    </tableColumn>
    <tableColumn id="251" name="Other staff 3: Previous 2020/21 Minimum hourly pay rate ADJUSTED" dataDxfId="262">
      <calculatedColumnFormula>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calculatedColumnFormula>
    </tableColumn>
    <tableColumn id="252" name="Other staff 3: Previous 2020/21 Maximum hourly pay rate ADJUSTED" dataDxfId="261">
      <calculatedColumnFormula>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calculatedColumnFormula>
    </tableColumn>
    <tableColumn id="480" name="Registered manager: Current 2021/22 Minimum hourly pay rate ADJUSTED 2" dataDxfId="260">
      <calculatedColumnFormula>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calculatedColumnFormula>
    </tableColumn>
    <tableColumn id="481" name="Registered manager: Current 2021/22 Maximum hourly pay rate ADJUSTED 2" dataDxfId="259">
      <calculatedColumnFormula>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calculatedColumnFormula>
    </tableColumn>
    <tableColumn id="482" name="Registered manager: Previous 2020/21 Minimum hourly pay rate ADJUSTED 2" dataDxfId="258">
      <calculatedColumnFormula>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calculatedColumnFormula>
    </tableColumn>
    <tableColumn id="483" name="Registered manager: Previous 2020/21 Maximum hourly pay rate ADJUSTED 2" dataDxfId="257">
      <calculatedColumnFormula>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calculatedColumnFormula>
    </tableColumn>
    <tableColumn id="484" name="Deputy manager: Current 2021/22 Minimum hourly pay rate ADJUSTED 2" dataDxfId="256">
      <calculatedColumnFormula>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calculatedColumnFormula>
    </tableColumn>
    <tableColumn id="485" name="Deputy manager: Current 2021/22 Maximum hourly pay rate ADJUSTED 2" dataDxfId="255">
      <calculatedColumnFormula>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calculatedColumnFormula>
    </tableColumn>
    <tableColumn id="486" name="Deputy manager: Previous 2020/21 Minimum hourly pay rate ADJUSTED 2" dataDxfId="254">
      <calculatedColumnFormula>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calculatedColumnFormula>
    </tableColumn>
    <tableColumn id="487" name="Deputy manager: Previous 2020/21 Maximum hourly pay rate ADJUSTED 2" dataDxfId="253">
      <calculatedColumnFormula>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calculatedColumnFormula>
    </tableColumn>
    <tableColumn id="488" name="Other manager 1: Current 2021/22 Minimum hourly pay rate ADJUSTED 2" dataDxfId="252">
      <calculatedColumnFormula>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calculatedColumnFormula>
    </tableColumn>
    <tableColumn id="489" name="Other manager 1: Current 2021/22 Maximum hourly pay rate ADJUSTED 2" dataDxfId="251">
      <calculatedColumnFormula>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calculatedColumnFormula>
    </tableColumn>
    <tableColumn id="470" name="Other manager 1: Previous 2020/21 Minimum hourly pay rate ADJUSTED 2" dataDxfId="250">
      <calculatedColumnFormula>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calculatedColumnFormula>
    </tableColumn>
    <tableColumn id="471" name="Other manager 1: Previous 2020/21 Maximum hourly pay rate ADJUSTED 2" dataDxfId="249">
      <calculatedColumnFormula>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calculatedColumnFormula>
    </tableColumn>
    <tableColumn id="472" name="Other manager 2: Current 2021/22 Minimum hourly pay rate ADJUSTED 2" dataDxfId="248">
      <calculatedColumnFormula>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calculatedColumnFormula>
    </tableColumn>
    <tableColumn id="473" name="Other manager 2: Current 2021/22 Maximum hourly pay rate ADJUSTED 2" dataDxfId="247">
      <calculatedColumnFormula>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calculatedColumnFormula>
    </tableColumn>
    <tableColumn id="474" name="Other manager 2: Previous 2020/21 Minimum hourly pay rate ADJUSTED 2" dataDxfId="246">
      <calculatedColumnFormula>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calculatedColumnFormula>
    </tableColumn>
    <tableColumn id="475" name="Other manager 2: Previous 2020/21 Maximum hourly pay rate ADJUSTED 2" dataDxfId="245">
      <calculatedColumnFormula>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calculatedColumnFormula>
    </tableColumn>
    <tableColumn id="476" name="Other manager 3: Current 2021/22 Minimum hourly pay rate ADJUSTED 2" dataDxfId="244">
      <calculatedColumnFormula>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calculatedColumnFormula>
    </tableColumn>
    <tableColumn id="477" name="Other manager 3: Current 2021/22 Maximum hourly pay rate ADJUSTED 2" dataDxfId="243">
      <calculatedColumnFormula>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calculatedColumnFormula>
    </tableColumn>
    <tableColumn id="478" name="Other manager 3: Previous 2020/21 Minimum hourly pay rate ADJUSTED 2" dataDxfId="242">
      <calculatedColumnFormula>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calculatedColumnFormula>
    </tableColumn>
    <tableColumn id="479" name="Other manager 3: Previous 2020/21 Maximum hourly pay rate ADJUSTED 2" dataDxfId="241">
      <calculatedColumnFormula>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calculatedColumnFormula>
    </tableColumn>
    <tableColumn id="460" name="Care Assistant 1: Current 2021/22 Minimum hourly pay rate ADJUSTED 2" dataDxfId="240">
      <calculatedColumnFormula>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calculatedColumnFormula>
    </tableColumn>
    <tableColumn id="461" name="Care Assistant 1: Current 2021/22 Maximum hourly pay rate ADJUSTED 2" dataDxfId="239">
      <calculatedColumnFormula>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calculatedColumnFormula>
    </tableColumn>
    <tableColumn id="462" name="Care Assistant 1: Previous 2020/21 Minimum hourly pay rate ADJUSTED 2" dataDxfId="238">
      <calculatedColumnFormula>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calculatedColumnFormula>
    </tableColumn>
    <tableColumn id="463" name="Care Assistant 1: Previous 2020/21 Maximum hourly pay rate ADJUSTED 2" dataDxfId="237">
      <calculatedColumnFormula>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calculatedColumnFormula>
    </tableColumn>
    <tableColumn id="464" name="Care Assistant 2: Current 2021/22 Minimum hourly pay rate ADJUSTED 2" dataDxfId="236">
      <calculatedColumnFormula>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calculatedColumnFormula>
    </tableColumn>
    <tableColumn id="465" name="Care Assistant 2: Current 2021/22 Maximum hourly pay rate ADJUSTED 2" dataDxfId="235">
      <calculatedColumnFormula>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calculatedColumnFormula>
    </tableColumn>
    <tableColumn id="466" name="Care Assistant 2: Previous 2020/21 Minimum hourly pay rate ADJUSTED 2" dataDxfId="234">
      <calculatedColumnFormula>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calculatedColumnFormula>
    </tableColumn>
    <tableColumn id="467" name="Care Assistant 2: Previous 2020/21 Maximum hourly pay rate ADJUSTED 2" dataDxfId="233">
      <calculatedColumnFormula>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calculatedColumnFormula>
    </tableColumn>
    <tableColumn id="468" name="Care Assistant 3: Current 2021/22 Minimum hourly pay rate ADJUSTED 2" dataDxfId="232">
      <calculatedColumnFormula>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calculatedColumnFormula>
    </tableColumn>
    <tableColumn id="469" name="Care Assistant 3: Current 2021/22 Maximum hourly pay rate ADJUSTED 2" dataDxfId="231">
      <calculatedColumnFormula>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calculatedColumnFormula>
    </tableColumn>
    <tableColumn id="450" name="Care Assistant 3: Previous 2020/21 Minimum hourly pay rate ADJUSTED 2" dataDxfId="230">
      <calculatedColumnFormula>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calculatedColumnFormula>
    </tableColumn>
    <tableColumn id="451" name="Care Assistant 3: Previous 2020/21 Maximum hourly pay rate ADJUSTED 2" dataDxfId="229">
      <calculatedColumnFormula>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calculatedColumnFormula>
    </tableColumn>
    <tableColumn id="452" name="Care Assistant 4: Current 2021/22 Minimum hourly pay rate ADJUSTED 2" dataDxfId="228">
      <calculatedColumnFormula>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calculatedColumnFormula>
    </tableColumn>
    <tableColumn id="453" name="Care Assistant 4: Current 2021/22 Maximum hourly pay rate ADJUSTED 2" dataDxfId="227">
      <calculatedColumnFormula>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calculatedColumnFormula>
    </tableColumn>
    <tableColumn id="454" name="Care Assistant 4: Previous 2020/21 Minimum hourly pay rate ADJUSTED 2" dataDxfId="226">
      <calculatedColumnFormula>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calculatedColumnFormula>
    </tableColumn>
    <tableColumn id="455" name="Care Assistant 4: Previous 2020/21 Maximum hourly pay rate ADJUSTED 2" dataDxfId="225">
      <calculatedColumnFormula>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calculatedColumnFormula>
    </tableColumn>
    <tableColumn id="456" name="Administrative Officer 1: Current 2021/22 Minimum hourly pay rate ADJUSTED 2" dataDxfId="224">
      <calculatedColumnFormula>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calculatedColumnFormula>
    </tableColumn>
    <tableColumn id="457" name="Administrative Officer 1: Current 2021/22 Maximum hourly pay rate ADJUSTED 2" dataDxfId="223">
      <calculatedColumnFormula>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calculatedColumnFormula>
    </tableColumn>
    <tableColumn id="458" name="Administrative Officer 1: Previous 2020/21 Minimum hourly pay rate ADJUSTED 2" dataDxfId="222">
      <calculatedColumnFormula>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calculatedColumnFormula>
    </tableColumn>
    <tableColumn id="459" name="Administrative Officer 1: Previous 2020/21 Maximum hourly pay rate ADJUSTED 2" dataDxfId="221">
      <calculatedColumnFormula>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calculatedColumnFormula>
    </tableColumn>
    <tableColumn id="440" name="Administrative Officer 2: Current 2021/22 Minimum hourly pay rate ADJUSTED 2" dataDxfId="220">
      <calculatedColumnFormula>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calculatedColumnFormula>
    </tableColumn>
    <tableColumn id="441" name="Administrative Officer 2: Current 2021/22 Maximum hourly pay rate ADJUSTED 2" dataDxfId="219">
      <calculatedColumnFormula>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calculatedColumnFormula>
    </tableColumn>
    <tableColumn id="442" name="Administrative Officer 2: Previous 2020/21 Minimum hourly pay rate ADJUSTED 2" dataDxfId="218">
      <calculatedColumnFormula>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calculatedColumnFormula>
    </tableColumn>
    <tableColumn id="443" name="Administrative Officer 2: Previous 2020/21 Maximum hourly pay rate ADJUSTED 2" dataDxfId="217">
      <calculatedColumnFormula>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calculatedColumnFormula>
    </tableColumn>
    <tableColumn id="444" name="Administrative Officer 3: Current 2021/22 Minimum hourly pay rate ADJUSTED 2" dataDxfId="216">
      <calculatedColumnFormula>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calculatedColumnFormula>
    </tableColumn>
    <tableColumn id="445" name="Administrative Officer 3: Current 2021/22 Maximum hourly pay rate ADJUSTED 2" dataDxfId="215">
      <calculatedColumnFormula>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calculatedColumnFormula>
    </tableColumn>
    <tableColumn id="446" name="Administrative Officer 3: Previous 2020/21 Minimum hourly pay rate ADJUSTED 2" dataDxfId="214">
      <calculatedColumnFormula>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calculatedColumnFormula>
    </tableColumn>
    <tableColumn id="447" name="Administrative Officer 3: Previous 2020/21 Maximum hourly pay rate ADJUSTED 2" dataDxfId="213">
      <calculatedColumnFormula>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calculatedColumnFormula>
    </tableColumn>
    <tableColumn id="448" name="Other staff 1: Current 2021/22 Minimum hourly pay rate ADJUSTED 2" dataDxfId="212">
      <calculatedColumnFormula>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calculatedColumnFormula>
    </tableColumn>
    <tableColumn id="449" name="Other staff 1: Current 2021/22 Maximum hourly pay rate ADJUSTED 2" dataDxfId="211">
      <calculatedColumnFormula>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calculatedColumnFormula>
    </tableColumn>
    <tableColumn id="430" name="Other staff 1: Previous 2020/21 Minimum hourly pay rate ADJUSTED 2" dataDxfId="210">
      <calculatedColumnFormula>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calculatedColumnFormula>
    </tableColumn>
    <tableColumn id="431" name="Other staff 1: Previous 2020/21 Maximum hourly pay rate ADJUSTED 2" dataDxfId="209">
      <calculatedColumnFormula>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calculatedColumnFormula>
    </tableColumn>
    <tableColumn id="432" name="Other staff 2: Current 2021/22 Minimum hourly pay rate ADJUSTED 2" dataDxfId="208">
      <calculatedColumnFormula>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calculatedColumnFormula>
    </tableColumn>
    <tableColumn id="433" name="Other staff 2: Current 2021/22 Maximum hourly pay rate ADJUSTED 2" dataDxfId="207">
      <calculatedColumnFormula>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calculatedColumnFormula>
    </tableColumn>
    <tableColumn id="434" name="Other staff 2: Previous 2020/21 Minimum hourly pay rate ADJUSTED 2" dataDxfId="206">
      <calculatedColumnFormula>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calculatedColumnFormula>
    </tableColumn>
    <tableColumn id="435" name="Other staff 2: Previous 2020/21 Maximum hourly pay rate ADJUSTED 2" dataDxfId="205">
      <calculatedColumnFormula>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calculatedColumnFormula>
    </tableColumn>
    <tableColumn id="436" name="Other staff 3: Current 2021/22 Minimum hourly pay rate ADJUSTED 2" dataDxfId="204">
      <calculatedColumnFormula>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calculatedColumnFormula>
    </tableColumn>
    <tableColumn id="437" name="Other staff 3: Current 2021/22 Maximum hourly pay rate ADJUSTED 2" dataDxfId="203">
      <calculatedColumnFormula>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calculatedColumnFormula>
    </tableColumn>
    <tableColumn id="438" name="Other staff 3: Previous 2020/21 Minimum hourly pay rate ADJUSTED 2" dataDxfId="202">
      <calculatedColumnFormula>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calculatedColumnFormula>
    </tableColumn>
    <tableColumn id="439" name="Other staff 3: Previous 2020/21 Maximum hourly pay rate ADJUSTED 2" dataDxfId="201">
      <calculatedColumnFormula>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calculatedColumnFormula>
    </tableColumn>
    <tableColumn id="253" name="Total FTE Management Employees" dataDxfId="200">
      <calculatedColumnFormula>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calculatedColumnFormula>
    </tableColumn>
    <tableColumn id="255" name="Total FTE Care Employees" dataDxfId="199">
      <calculatedColumnFormula>SUM(DATA[[#This Row],[Care Assistant 1: Numbers employed (Full Time Equivalent)]],DATA[[#This Row],[Care Assistant 2: Numbers employed (Full Time Equivalent)]],DATA[[#This Row],[Care Assistant 3: Numbers employed (Full Time Equivalent)]],DATA[[#This Row],[Care Assistant 4: Numbers employed (Full Time Equivalent)]])</calculatedColumnFormula>
    </tableColumn>
    <tableColumn id="256" name="Total FTE Admin Employees" dataDxfId="198">
      <calculatedColumnFormula>SUM(DATA[[#This Row],[Administrative Officer 1: Numbers employed (Full Time Equivalent)]],DATA[[#This Row],[Administrative Officer 2: Numbers employed (Full Time Equivalent)]])</calculatedColumnFormula>
    </tableColumn>
    <tableColumn id="258" name="Total FTE Other Employees" dataDxfId="197">
      <calculatedColumnFormula>SUM(DATA[[#This Row],[Other staff 1: Numbers employed (Full Time Equivalent)]],DATA[[#This Row],[Other staff 2: Numbers employed (Full Time Equivalent)]],DATA[[#This Row],[Other staff 3: Numbers employed (Full Time Equivalent)]])</calculatedColumnFormula>
    </tableColumn>
    <tableColumn id="260" name="Total FTE employees" dataDxfId="196">
      <calculatedColumnFormula>SUM(DATA[[#This Row],[Total FTE Management Employees]:[Total FTE Other Employees]])</calculatedColumnFormula>
    </tableColumn>
    <tableColumn id="261" name="Majority Service Type" dataDxfId="195">
      <calculatedColumnFormula>IF(SUM(DATA[[#This Row],[Home Support service split percentage (Expenditure):]],DATA[[#This Row],[Supported Living service split percentage (Expenditure):]])&gt;0, IF(DATA[[#This Row],[Home Support service split percentage (Expenditure):]]&gt;0.5,"Home Support","Supported Living"), "Unknown")</calculatedColumnFormula>
    </tableColumn>
    <tableColumn id="262" name="Total Home Support Hours" dataDxfId="194">
      <calculatedColumnFormula>SUM(DATA[[#This Row],[Home Support: Birmingham City Council]:[Home Support: Self-funded]])</calculatedColumnFormula>
    </tableColumn>
    <tableColumn id="263" name="Total Supported Living Hours" dataDxfId="193">
      <calculatedColumnFormula>SUM(DATA[[#This Row],[Supported Living: Birmingham City Council]:[Supported Living: Self-funded]])</calculatedColumnFormula>
    </tableColumn>
    <tableColumn id="264" name="All Managers total hourly pay Previous 2020/21 Minimum" dataDxfId="192">
      <calculatedColumnFormula>SUM((DATA[[#This Row],[Registered manager: Previous 2020/21 Minimum hourly pay rate]]*DATA[[#This Row],[Registered manager: Numbers employed (Full Time Equivalent)]]),(DATA[[#This Row],[Deputy manager: Previous 2020/21 Minimum hourly pay rate]]*DATA[[#This Row],[Deputy manager: Numbers employed (Full Time Equivalent)]]),(DATA[[#This Row],[Other manager 1: Previous 2020/21 Minimum hourly pay rate]]*DATA[[#This Row],[Other manager 1: Numbers employed (Full Time Equivalent)]]),(DATA[[#This Row],[Other manager 2: Previous 2020/21 Minimum hourly pay rate]]*DATA[[#This Row],[Other manager 2: Numbers employed (Full Time Equivalent)]]),(DATA[[#This Row],[Other manager 3: Previous 2020/21 Minimum hourly pay rate]]*DATA[[#This Row],[Other manager 3: Numbers employed (Full Time Equivalent)]]))</calculatedColumnFormula>
    </tableColumn>
    <tableColumn id="83" name="All Managers total hourly pay Previous 2020/21 Maximum" dataDxfId="191">
      <calculatedColumnFormula>SUM((DATA[[#This Row],[Registered manager: Previous 2020/21 Minimum hourly pay rate]]*DATA[[#This Row],[Registered manager: Numbers employed (Full Time Equivalent)]]),(DATA[[#This Row],[Deputy manager: Previous 2020/21 Minimum hourly pay rate]]*DATA[[#This Row],[Deputy manager: Numbers employed (Full Time Equivalent)]]),(DATA[[#This Row],[Other manager 1: Previous 2020/21 Minimum hourly pay rate]]*DATA[[#This Row],[Other manager 1: Numbers employed (Full Time Equivalent)]]),(DATA[[#This Row],[Other manager 2: Previous 2020/21 Minimum hourly pay rate]]*DATA[[#This Row],[Other manager 2: Numbers employed (Full Time Equivalent)]]),(DATA[[#This Row],[Other manager 3: Previous 2020/21 Minimum hourly pay rate]]*DATA[[#This Row],[Other manager 3: Numbers employed (Full Time Equivalent)]]))</calculatedColumnFormula>
    </tableColumn>
    <tableColumn id="88" name="All Managers total hourly pay Current 2021/22 Minimum" dataDxfId="190">
      <calculatedColumnFormula>SUM((DATA[[#This Row],[Registered manager: Previous 2020/21 Minimum hourly pay rate]]*DATA[[#This Row],[Registered manager: Numbers employed (Full Time Equivalent)]]),(DATA[[#This Row],[Deputy manager: Previous 2020/21 Minimum hourly pay rate]]*DATA[[#This Row],[Deputy manager: Numbers employed (Full Time Equivalent)]]),(DATA[[#This Row],[Other manager 1: Previous 2020/21 Minimum hourly pay rate]]*DATA[[#This Row],[Other manager 1: Numbers employed (Full Time Equivalent)]]),(DATA[[#This Row],[Other manager 2: Previous 2020/21 Minimum hourly pay rate]]*DATA[[#This Row],[Other manager 2: Numbers employed (Full Time Equivalent)]]),(DATA[[#This Row],[Other manager 3: Previous 2020/21 Minimum hourly pay rate]]*DATA[[#This Row],[Other manager 3: Numbers employed (Full Time Equivalent)]]))</calculatedColumnFormula>
    </tableColumn>
    <tableColumn id="89" name="All Managers total hourly pay Current 2021/22 Maximum" dataDxfId="189">
      <calculatedColumnFormula>SUM((DATA[[#This Row],[Registered manager: Current 2021/22 Minimum hourly pay rate]]*DATA[[#This Row],[Registered manager: Numbers employed (Full Time Equivalent)]]),(DATA[[#This Row],[Deputy manager: Current 2021/22 Minimum hourly pay rate]]*DATA[[#This Row],[Deputy manager: Numbers employed (Full Time Equivalent)]]),(DATA[[#This Row],[Other manager 1: Current 2021/22 Minimum hourly pay rate]]*DATA[[#This Row],[Other manager 1: Numbers employed (Full Time Equivalent)]]),(DATA[[#This Row],[Other manager 2: Current 2021/22 Minimum hourly pay rate]]*DATA[[#This Row],[Other manager 2: Numbers employed (Full Time Equivalent)]]),(DATA[[#This Row],[Other manager 3: Current 2021/22 Minimum hourly pay rate]]*DATA[[#This Row],[Other manager 3: Numbers employed (Full Time Equivalent)]]))</calculatedColumnFormula>
    </tableColumn>
    <tableColumn id="109" name="Any costs entered?" dataDxfId="188">
      <calculatedColumnFormula>SUM(DATA[[#This Row],[Number of hours of care charged for in last full accounting year]:[Corporate Overheads: Other  - please specify (category) 1]])&gt;0</calculatedColumnFormula>
    </tableColumn>
    <tableColumn id="270" name="Total Direct Staffing Costs" dataDxfId="187">
      <calculatedColumnFormula>SUM(DATA[[#This Row],[Total annual expenditure: Management staff]:[Total annual expenditure: Training and development]])</calculatedColumnFormula>
    </tableColumn>
    <tableColumn id="266" name="Total Non-direct staffing costs" dataDxfId="186">
      <calculatedColumnFormula>SUM(DATA[[#This Row],[Recruitment &amp; advertising (including DBS checks)]:[Non-Staffing Direct Cost: Other  - please specify (amount) 2]])</calculatedColumnFormula>
    </tableColumn>
    <tableColumn id="259" name="Total Indirect Costs" dataDxfId="185">
      <calculatedColumnFormula>SUM(DATA[[#This Row],[Insurance ]:[Indirect costs: Other 2 - please specify (amount)]])</calculatedColumnFormula>
    </tableColumn>
    <tableColumn id="273" name="Total Overheads" dataDxfId="184">
      <calculatedColumnFormula>SUM(DATA[[#This Row],[Central / Regional Management]],DATA[[#This Row],[Support Services (finance / HR / Payroll / legal etc.)]],DATA[[#This Row],[Corporate Overheads: Other  - please specify (amount) 1]],DATA[[#This Row],[Corporate Overheads: Other  - please specify (amount) 2]])</calculatedColumnFormula>
    </tableColumn>
    <tableColumn id="110" name="Management staff HOURLY RATE" dataDxfId="183">
      <calculatedColumnFormula>IF(OR(NOT(DATA[[#This Row],[Total annual expenditure: Management staff]]&gt;0),NOT(DATA[[#This Row],[Number of hours of care charged for in last full accounting year]]&gt;0)),0,DATA[[#This Row],[Total annual expenditure: Management staff]]/DATA[[#This Row],[Number of hours of care charged for in last full accounting year]])</calculatedColumnFormula>
    </tableColumn>
    <tableColumn id="115" name="Care and Support staff HOURLY RATE" dataDxfId="182">
      <calculatedColumnFormula>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calculatedColumnFormula>
    </tableColumn>
    <tableColumn id="117" name="Administration HOURLY RATE" dataDxfId="181">
      <calculatedColumnFormula>IF(OR(NOT(DATA[[#This Row],[Total annual expenditure: Administration]]&gt;0),NOT(DATA[[#This Row],[Number of hours of care charged for in last full accounting year]]&gt;0)),0,DATA[[#This Row],[Total annual expenditure: Administration]]/DATA[[#This Row],[Number of hours of care charged for in last full accounting year]])</calculatedColumnFormula>
    </tableColumn>
    <tableColumn id="154" name="Other staff HOURLY RATE" dataDxfId="180">
      <calculatedColumnFormula>IF(OR(NOT(DATA[[#This Row],[Total annual expenditure: Other staff]]&gt;0),NOT(DATA[[#This Row],[Number of hours of care charged for in last full accounting year]]&gt;0)),0,DATA[[#This Row],[Total annual expenditure: Other staff]]/DATA[[#This Row],[Number of hours of care charged for in last full accounting year]])</calculatedColumnFormula>
    </tableColumn>
    <tableColumn id="155" name="Agency staff HOURLY RATE" dataDxfId="179">
      <calculatedColumnFormula>IF(OR(NOT(DATA[[#This Row],[Total annual expenditure: Agency staff]]&gt;0),NOT(DATA[[#This Row],[Number of hours of care charged for in last full accounting year]]&gt;0)),0,DATA[[#This Row],[Total annual expenditure: Agency staff]]/DATA[[#This Row],[Number of hours of care charged for in last full accounting year]])</calculatedColumnFormula>
    </tableColumn>
    <tableColumn id="160" name="Travel Cost HOURLY RATE" dataDxfId="178">
      <calculatedColumnFormula>IF(OR(NOT(DATA[[#This Row],[Total annual expenditure: Travel Cost]]&gt;0),NOT(DATA[[#This Row],[Number of hours of care charged for in last full accounting year]]&gt;0)),0,DATA[[#This Row],[Total annual expenditure: Travel Cost]]/DATA[[#This Row],[Number of hours of care charged for in last full accounting year]])</calculatedColumnFormula>
    </tableColumn>
    <tableColumn id="161" name="Travel Time HOURLY RATE" dataDxfId="177">
      <calculatedColumnFormula>IF(OR(NOT(DATA[[#This Row],[Total annual expenditure: Travel Time]]&gt;0),NOT(DATA[[#This Row],[Number of hours of care charged for in last full accounting year]]&gt;0)),0,DATA[[#This Row],[Total annual expenditure: Travel Time]]/DATA[[#This Row],[Number of hours of care charged for in last full accounting year]])</calculatedColumnFormula>
    </tableColumn>
    <tableColumn id="166" name="Training and development HOURLY RATE" dataDxfId="176">
      <calculatedColumnFormula>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calculatedColumnFormula>
    </tableColumn>
    <tableColumn id="183" name="Recruitment &amp; advertising (including DBS checks) HOURLY RATE" dataDxfId="175">
      <calculatedColumnFormula>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calculatedColumnFormula>
    </tableColumn>
    <tableColumn id="212" name="Training expenses (fees, facilities, travel and materials) HOURLY RATE" dataDxfId="174">
      <calculatedColumnFormula>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calculatedColumnFormula>
    </tableColumn>
    <tableColumn id="213" name="Care consumables &amp; uniforms HOURLY RATE" dataDxfId="173">
      <calculatedColumnFormula>IF(OR(NOT(DATA[[#This Row],[Care consumables &amp; uniforms]]&gt;0),NOT(DATA[[#This Row],[Number of hours of care charged for in last full accounting year]]&gt;0)),0,DATA[[#This Row],[Care consumables &amp; uniforms]]/DATA[[#This Row],[Number of hours of care charged for in last full accounting year]])</calculatedColumnFormula>
    </tableColumn>
    <tableColumn id="218" name="Electronic call monitoring HOURLY RATE" dataDxfId="172">
      <calculatedColumnFormula>IF(OR(NOT(DATA[[#This Row],[Electronic call monitoring]]&gt;0),NOT(DATA[[#This Row],[Number of hours of care charged for in last full accounting year]]&gt;0)),0,DATA[[#This Row],[Electronic call monitoring]]/DATA[[#This Row],[Number of hours of care charged for in last full accounting year]])</calculatedColumnFormula>
    </tableColumn>
    <tableColumn id="219" name="IT Equipment &amp; Telephoney HOURLY RATE" dataDxfId="171">
      <calculatedColumnFormula>IF(OR(NOT(DATA[[#This Row],[IT Equipment &amp; Telephoney]]&gt;0),NOT(DATA[[#This Row],[Number of hours of care charged for in last full accounting year]]&gt;0)),0,DATA[[#This Row],[IT Equipment &amp; Telephoney]]/DATA[[#This Row],[Number of hours of care charged for in last full accounting year]])</calculatedColumnFormula>
    </tableColumn>
    <tableColumn id="225" name="Non-Staffing Direct Cost: Other  - please specify (amount) HOURLY RATE" dataDxfId="170">
      <calculatedColumnFormula>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calculatedColumnFormula>
    </tableColumn>
    <tableColumn id="231" name="Non-Staffing Direct Cost: Other  - please specify (amount) 2 HOURLY RATE" dataDxfId="169">
      <calculatedColumnFormula>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calculatedColumnFormula>
    </tableColumn>
    <tableColumn id="236" name="Insurance  HOURLY RATE" dataDxfId="168">
      <calculatedColumnFormula>IF(OR(NOT(DATA[[#This Row],[Insurance ]]&gt;0),NOT(DATA[[#This Row],[Number of hours of care charged for in last full accounting year]]&gt;0)),0,DATA[[#This Row],[Insurance ]]/DATA[[#This Row],[Number of hours of care charged for in last full accounting year]])</calculatedColumnFormula>
    </tableColumn>
    <tableColumn id="237" name="Utilities (gas, oil, electricity, water, internet, rates) HOURLY RATE" dataDxfId="167">
      <calculatedColumnFormula>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calculatedColumnFormula>
    </tableColumn>
    <tableColumn id="242" name="Repairs and maintenance HOURLY RATE" dataDxfId="166">
      <calculatedColumnFormula>IF(OR(NOT(DATA[[#This Row],[Repairs and maintenance]]&gt;0),NOT(DATA[[#This Row],[Number of hours of care charged for in last full accounting year]]&gt;0)),0,DATA[[#This Row],[Repairs and maintenance]]/DATA[[#This Row],[Number of hours of care charged for in last full accounting year]])</calculatedColumnFormula>
    </tableColumn>
    <tableColumn id="243" name="Property cost relating to  rent/mortgage/lease/loan etc HOURLY RATE" dataDxfId="165">
      <calculatedColumnFormula>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calculatedColumnFormula>
    </tableColumn>
    <tableColumn id="248" name="Registration &amp; Inspection fees  HOURLY RATE" dataDxfId="164">
      <calculatedColumnFormula>IF(OR(NOT(DATA[[#This Row],[Registration &amp; Inspection fees ]]&gt;0),NOT(DATA[[#This Row],[Number of hours of care charged for in last full accounting year]]&gt;0)),0,DATA[[#This Row],[Registration &amp; Inspection fees ]]/DATA[[#This Row],[Number of hours of care charged for in last full accounting year]])</calculatedColumnFormula>
    </tableColumn>
    <tableColumn id="249" name="Subscriptions HOURLY RATE" dataDxfId="163">
      <calculatedColumnFormula>IF(OR(NOT(DATA[[#This Row],[Subscriptions]]&gt;0),NOT(DATA[[#This Row],[Number of hours of care charged for in last full accounting year]]&gt;0)),0,DATA[[#This Row],[Subscriptions]]/DATA[[#This Row],[Number of hours of care charged for in last full accounting year]])</calculatedColumnFormula>
    </tableColumn>
    <tableColumn id="254" name="Cost of finance HOURLY RATE" dataDxfId="162">
      <calculatedColumnFormula>IF(OR(NOT(DATA[[#This Row],[Cost of finance]]&gt;0),NOT(DATA[[#This Row],[Number of hours of care charged for in last full accounting year]]&gt;0)),0,DATA[[#This Row],[Cost of finance]]/DATA[[#This Row],[Number of hours of care charged for in last full accounting year]])</calculatedColumnFormula>
    </tableColumn>
    <tableColumn id="257" name="Other non-staff current expenses HOURLY RATE" dataDxfId="161">
      <calculatedColumnFormula>IF(OR(NOT(DATA[[#This Row],[Other non-staff current expenses]]&gt;0),NOT(DATA[[#This Row],[Number of hours of care charged for in last full accounting year]]&gt;0)),0,DATA[[#This Row],[Other non-staff current expenses]]/DATA[[#This Row],[Number of hours of care charged for in last full accounting year]])</calculatedColumnFormula>
    </tableColumn>
    <tableColumn id="265" name="Indirect costs: Other  - please specify (amount) 1 HOURLY RATE" dataDxfId="160">
      <calculatedColumnFormula>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calculatedColumnFormula>
    </tableColumn>
    <tableColumn id="267" name="Indirect costs: Other  - please specify (amount) 2 HOURLY RATE" dataDxfId="159">
      <calculatedColumnFormula>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calculatedColumnFormula>
    </tableColumn>
    <tableColumn id="268" name="Central / Regional Management HOURLY RATE" dataDxfId="158">
      <calculatedColumnFormula>IF(OR(NOT(DATA[[#This Row],[Central / Regional Management]]&gt;0),NOT(DATA[[#This Row],[Number of hours of care charged for in last full accounting year]]&gt;0)),0,DATA[[#This Row],[Central / Regional Management]]/DATA[[#This Row],[Number of hours of care charged for in last full accounting year]])</calculatedColumnFormula>
    </tableColumn>
    <tableColumn id="269" name="Support Services (finance / HR / Payroll / legal etc.) HOURLY RATE" dataDxfId="157">
      <calculatedColumnFormula>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calculatedColumnFormula>
    </tableColumn>
    <tableColumn id="271" name="Corporate Overheads: Other  - please specify (amount) 1 HOURLY RATE" dataDxfId="156">
      <calculatedColumnFormula>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calculatedColumnFormula>
    </tableColumn>
    <tableColumn id="274" name="Corporate Overheads: Other  - please specify (amount) 2 HOURLY RATE" dataDxfId="155">
      <calculatedColumnFormula>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calculatedColumnFormula>
    </tableColumn>
    <tableColumn id="321" name="Total Costs HOURLY RATE" dataDxfId="154">
      <calculatedColumnFormula>SUM(DATA[[#This Row],[Management staff HOURLY RATE]:[Corporate Overheads: Other  - please specify (amount) 2 HOURLY RATE]])</calculatedColumnFormula>
    </tableColumn>
    <tableColumn id="224" name="Net Operating Profit HOURLY RATE" dataDxfId="153">
      <calculatedColumnFormula>IF(OR(NOT(DATA[[#This Row],[Net Operating Profit]]&gt;0),NOT(DATA[[#This Row],[Number of hours of care charged for in last full accounting year]]&gt;0)),"",DATA[[#This Row],[Net Operating Profit]]/DATA[[#This Row],[Number of hours of care charged for in last full accounting year]])</calculatedColumnFormula>
    </tableColumn>
    <tableColumn id="230" name="Return on Capital Employed HOURLY RATE" dataDxfId="152">
      <calculatedColumnFormula>IF(OR(NOT(DATA[[#This Row],[Return on Capital employed]]&gt;0),NOT(DATA[[#This Row],[Number of hours of care charged for in last full accounting year]]&gt;0)),0,DATA[[#This Row],[Return on Capital employed]]/DATA[[#This Row],[Number of hours of care charged for in last full accounting year]])</calculatedColumnFormula>
    </tableColumn>
    <tableColumn id="275" name="Reference Number" dataDxfId="151"/>
    <tableColumn id="276" name="Region" dataDxfId="150"/>
    <tableColumn id="279" name="Any home support clients?" dataDxfId="149">
      <calculatedColumnFormula>DATA[[#This Row],[Number of Home support clients:]]&gt;0</calculatedColumnFormula>
    </tableColumn>
    <tableColumn id="280" name="Any supported living clients?" dataDxfId="148">
      <calculatedColumnFormula>DATA[[#This Row],[Number of supported living clients:]]&gt;0</calculatedColumnFormula>
    </tableColumn>
    <tableColumn id="281" name="Any home support hours?" dataDxfId="147">
      <calculatedColumnFormula>DATA[[#This Row],[Total Home Support Hours]]&gt;0</calculatedColumnFormula>
    </tableColumn>
    <tableColumn id="282" name="Any supported living hours?" dataDxfId="146">
      <calculatedColumnFormula>DATA[[#This Row],[Total Supported Living Hours]]&gt;0</calculatedColumnFormula>
    </tableColumn>
    <tableColumn id="283" name="Service type" dataDxfId="145">
      <calculatedColumnFormula>DATA[[#This Row],[Home Support service split percentage (Expenditure):]]&gt;0.5</calculatedColumnFormula>
    </tableColumn>
    <tableColumn id="277" name="Average rate paid for agency is zero?" dataDxfId="144">
      <calculatedColumnFormula>DATA[[#This Row],[Agency staff HOURLY RATE]]=0</calculatedColumnFormula>
    </tableColumn>
    <tableColumn id="285" name="Registered Manager FTE earning less than NLW 23yrs 2022/23" dataDxfId="143">
      <calculatedColumnFormula>IFERROR(IF(AVERAGE(DATA[[#This Row],[Registered manager: Current 2021/22 Minimum hourly pay rate ADJUSTED]],DATA[[#This Row],[Registered manager: Current 2021/22 Maximum hourly pay rate ADJUSTED]])&lt;LIVING_WAGE_22_23,DATA[[#This Row],[Registered manager: Numbers employed (Full Time Equivalent)]],0),"")</calculatedColumnFormula>
    </tableColumn>
    <tableColumn id="286" name="Deputy Manager FTE earning less than NLW 23yrs 2022/23" dataDxfId="142">
      <calculatedColumnFormula>IFERROR(IF(AVERAGE(DATA[[#This Row],[Deputy manager: Current 2021/22 Minimum hourly pay rate ADJUSTED]],DATA[[#This Row],[Deputy manager: Current 2021/22 Maximum hourly pay rate ADJUSTED]])&lt;LIVING_WAGE_22_23,DATA[[#This Row],[Deputy manager: Numbers employed (Full Time Equivalent)]],0),"")</calculatedColumnFormula>
    </tableColumn>
    <tableColumn id="287" name="Other Manager 1 FTE earning less than NLW 23yrs 2022/23" dataDxfId="141">
      <calculatedColumnFormula>IFERROR(IF(AVERAGE(DATA[[#This Row],[Other manager 1: Current 2021/22 Minimum hourly pay rate ADJUSTED]],DATA[[#This Row],[Other manager 1: Current 2021/22 Maximum hourly pay rate ADJUSTED]])&lt;LIVING_WAGE_22_23,DATA[[#This Row],[Other manager 1: Numbers employed (Full Time Equivalent)]],0),"")</calculatedColumnFormula>
    </tableColumn>
    <tableColumn id="288" name="Other Manager 2 FTE earning less than NLW 23yrs 2022/23" dataDxfId="140">
      <calculatedColumnFormula>IFERROR(IF(AVERAGE(DATA[[#This Row],[Other manager 2: Current 2021/22 Minimum hourly pay rate ADJUSTED]],DATA[[#This Row],[Other manager 2: Current 2021/22 Maximum hourly pay rate ADJUSTED]])&lt;LIVING_WAGE_22_23,DATA[[#This Row],[Other manager 2: Numbers employed (Full Time Equivalent)]],0),"")</calculatedColumnFormula>
    </tableColumn>
    <tableColumn id="289" name="Other Manager 3 FTE earning less than NLW 23yrs 2022/23" dataDxfId="139">
      <calculatedColumnFormula>IFERROR(IF(AVERAGE(DATA[[#This Row],[Other manager 3: Current 2021/22 Minimum hourly pay rate ADJUSTED]],DATA[[#This Row],[Other manager 3: Current 2021/22 Maximum hourly pay rate ADJUSTED]])&lt;LIVING_WAGE_22_23,DATA[[#This Row],[Other manager 3: Numbers employed (Full Time Equivalent)]],0),"")</calculatedColumnFormula>
    </tableColumn>
    <tableColumn id="290" name="Care Assistant 1 FTE earning less than NLW 23yrs 2022/23" dataDxfId="138">
      <calculatedColumnFormula>IFERROR(IF(AVERAGE(DATA[[#This Row],[Care Assistant 1: Current 2021/22 Minimum hourly pay rate ADJUSTED]],DATA[[#This Row],[Care Assistant 1: Current 2021/22 Maximum hourly pay rate ADJUSTED]])&lt;LIVING_WAGE_22_23,DATA[[#This Row],[Care Assistant 1: Numbers employed (Full Time Equivalent)]],0),"")</calculatedColumnFormula>
    </tableColumn>
    <tableColumn id="291" name="Care Assistant 2 FTE earning less than NLW 23yrs 2022/23" dataDxfId="137">
      <calculatedColumnFormula>IFERROR(IF(AVERAGE(DATA[[#This Row],[Care Assistant 2: Current 2021/22 Minimum hourly pay rate ADJUSTED]],DATA[[#This Row],[Care Assistant 2: Current 2021/22 Maximum hourly pay rate ADJUSTED]])&lt;LIVING_WAGE_22_23,DATA[[#This Row],[Care Assistant 2: Numbers employed (Full Time Equivalent)]],0),"")</calculatedColumnFormula>
    </tableColumn>
    <tableColumn id="292" name="Care Assistant 3 FTE earning less than NLW 23yrs 2022/23" dataDxfId="136">
      <calculatedColumnFormula>IFERROR(IF(AVERAGE(DATA[[#This Row],[Care Assistant 3: Current 2021/22 Minimum hourly pay rate ADJUSTED]],DATA[[#This Row],[Care Assistant 3: Current 2021/22 Maximum hourly pay rate ADJUSTED]])&lt;LIVING_WAGE_22_23,DATA[[#This Row],[Care Assistant 3: Numbers employed (Full Time Equivalent)]],0),"")</calculatedColumnFormula>
    </tableColumn>
    <tableColumn id="293" name="Care Assistant 4 FTE earning less than NLW 23yrs 2022/23" dataDxfId="135">
      <calculatedColumnFormula>IFERROR(IF(AVERAGE(DATA[[#This Row],[Care Assistant 4: Current 2021/22 Minimum hourly pay rate ADJUSTED]],DATA[[#This Row],[Care Assistant 4: Current 2021/22 Maximum hourly pay rate ADJUSTED]])&lt;LIVING_WAGE_22_23,DATA[[#This Row],[Care Assistant 4: Numbers employed (Full Time Equivalent)]],0),"")</calculatedColumnFormula>
    </tableColumn>
    <tableColumn id="297" name="Administrative Officer 1 FTE earning less than NLW 23yrs 2022/23" dataDxfId="134">
      <calculatedColumnFormula>IFERROR(IF(AVERAGE(DATA[[#This Row],[Administrative Officer 1: Current 2021/22 Minimum hourly pay rate ADJUSTED]],DATA[[#This Row],[Administrative Officer 1: Current 2021/22 Maximum hourly pay rate ADJUSTED]])&lt;LIVING_WAGE_22_23,DATA[[#This Row],[Administrative Officer 1: Numbers employed (Full Time Equivalent)]],0),"")</calculatedColumnFormula>
    </tableColumn>
    <tableColumn id="298" name="Administrative Officer 2 FTE earning less than NLW 23yrs 2022/23" dataDxfId="133">
      <calculatedColumnFormula>IFERROR(IF(AVERAGE(DATA[[#This Row],[Administrative Officer 2: Current 2021/22 Minimum hourly pay rate ADJUSTED]],DATA[[#This Row],[Administrative Officer 2: Current 2021/22 Maximum hourly pay rate ADJUSTED]])&lt;LIVING_WAGE_22_23,DATA[[#This Row],[Administrative Officer 2: Numbers employed (Full Time Equivalent)]],0),"")</calculatedColumnFormula>
    </tableColumn>
    <tableColumn id="302" name="Other staff 1 FTE earning less than NLW 23yrs 2022/23" dataDxfId="132">
      <calculatedColumnFormula>IFERROR(IF(AVERAGE(DATA[[#This Row],[Other staff 1: Current 2021/22 Minimum hourly pay rate ADJUSTED]],DATA[[#This Row],[Other staff 1: Current 2021/22 Maximum hourly pay rate ADJUSTED]])&lt;LIVING_WAGE_22_23,DATA[[#This Row],[Other staff 1: Numbers employed (Full Time Equivalent)]],0),"")</calculatedColumnFormula>
    </tableColumn>
    <tableColumn id="303" name="Other staff 2 FTE earning less than NLW 23yrs 2022/23" dataDxfId="131">
      <calculatedColumnFormula>IFERROR(IF(AVERAGE(DATA[[#This Row],[Other staff 2: Current 2021/22 Minimum hourly pay rate ADJUSTED]],DATA[[#This Row],[Other staff 2: Current 2021/22 Maximum hourly pay rate ADJUSTED]])&lt;LIVING_WAGE_22_23,DATA[[#This Row],[Other staff 2: Numbers employed (Full Time Equivalent)]],0),"")</calculatedColumnFormula>
    </tableColumn>
    <tableColumn id="304" name="Other staff 3 FTE earning less than NLW 23yrs 2022/23" dataDxfId="130">
      <calculatedColumnFormula>IFERROR(IF(AVERAGE(DATA[[#This Row],[Other staff 3: Current 2021/22 Minimum hourly pay rate ADJUSTED]],DATA[[#This Row],[Other staff 3: Current 2021/22 Maximum hourly pay rate ADJUSTED]])&lt;LIVING_WAGE_22_23,DATA[[#This Row],[Other staff 3: Numbers employed (Full Time Equivalent)]],0),"")</calculatedColumnFormula>
    </tableColumn>
    <tableColumn id="305" name="Total Staff FTE earning less than NLW 23yrs 2022/23" dataDxfId="129">
      <calculatedColumnFormula>SUM(DATA[[#This Row],[Registered Manager FTE earning less than NLW 23yrs 2022/23]:[Other staff 3 FTE earning less than NLW 23yrs 2022/23]])</calculatedColumnFormula>
    </tableColumn>
    <tableColumn id="306" name="Registered Manager amount less less than NLW 23yrs 2022/23" dataDxfId="128">
      <calculatedColumnFormula>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calculatedColumnFormula>
    </tableColumn>
    <tableColumn id="307" name="Deputy Manager amount less less than NLW 23yrs 2022/23" dataDxfId="127">
      <calculatedColumnFormula>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calculatedColumnFormula>
    </tableColumn>
    <tableColumn id="308" name="Other Manager 1 amount less less than NLW 23yrs 2022/23" dataDxfId="126">
      <calculatedColumnFormula>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calculatedColumnFormula>
    </tableColumn>
    <tableColumn id="309" name="Other Manager 2 amount less less than NLW 23yrs 2022/23" dataDxfId="125">
      <calculatedColumnFormula>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calculatedColumnFormula>
    </tableColumn>
    <tableColumn id="310" name="Other Manager 3 amount less less than NLW 23yrs 2022/23" dataDxfId="124">
      <calculatedColumnFormula>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calculatedColumnFormula>
    </tableColumn>
    <tableColumn id="311" name="Care Assistant 1 amount less less than NLW 23yrs 2022/23" dataDxfId="123">
      <calculatedColumnFormula>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calculatedColumnFormula>
    </tableColumn>
    <tableColumn id="312" name="Care Assistant 2 amount less less than NLW 23yrs 2022/23" dataDxfId="122">
      <calculatedColumnFormula>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calculatedColumnFormula>
    </tableColumn>
    <tableColumn id="313" name="Care Assistant 3 amount less less than NLW 23yrs 2022/23" dataDxfId="121">
      <calculatedColumnFormula>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calculatedColumnFormula>
    </tableColumn>
    <tableColumn id="314" name="Care Assistant 4 amount less less than NLW 23yrs 2022/23" dataDxfId="120">
      <calculatedColumnFormula>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calculatedColumnFormula>
    </tableColumn>
    <tableColumn id="318" name="Administrative Officer 1 amount less less than NLW 23yrs 2022/23" dataDxfId="119">
      <calculatedColumnFormula>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calculatedColumnFormula>
    </tableColumn>
    <tableColumn id="319" name="Administrative Officer 2 amount less less than NLW 23yrs 2022/23" dataDxfId="118">
      <calculatedColumnFormula>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calculatedColumnFormula>
    </tableColumn>
    <tableColumn id="323" name="Other staff 1 amount less less than NLW 23yrs 2022/23" dataDxfId="117">
      <calculatedColumnFormula>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calculatedColumnFormula>
    </tableColumn>
    <tableColumn id="324" name="Other staff 2 amount less less than NLW 23yrs 2022/23" dataDxfId="116">
      <calculatedColumnFormula>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calculatedColumnFormula>
    </tableColumn>
    <tableColumn id="325" name="Other staff 3 amount less less than NLW 23yrs 2022/23" dataDxfId="115">
      <calculatedColumnFormula>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calculatedColumnFormula>
    </tableColumn>
    <tableColumn id="284" name="Bsol CCG contract?" dataDxfId="114"/>
    <tableColumn id="294" name="BCC Contract?" dataDxfId="113"/>
    <tableColumn id="295" name="Contract Status" dataDxfId="112"/>
    <tableColumn id="301" name="Hourly Total Direct Staffing Costs" dataDxfId="111">
      <calculatedColumnFormula>SUM(DATA[[#This Row],[Management staff HOURLY RATE]:[Training and development HOURLY RATE]])</calculatedColumnFormula>
    </tableColumn>
    <tableColumn id="315" name="Hourly Total Non-direct staffing costs" dataDxfId="110">
      <calculatedColumnFormula>SUM(DATA[[#This Row],[Recruitment &amp; advertising (including DBS checks) HOURLY RATE]:[Non-Staffing Direct Cost: Other  - please specify (amount) 2 HOURLY RATE]])</calculatedColumnFormula>
    </tableColumn>
    <tableColumn id="316" name="Hourly Total Indirect Costs" dataDxfId="109">
      <calculatedColumnFormula>SUM(DATA[[#This Row],[Insurance  HOURLY RATE]:[Indirect costs: Other  - please specify (amount) 2 HOURLY RATE]])</calculatedColumnFormula>
    </tableColumn>
    <tableColumn id="317" name="Hourly Total Overheads" dataDxfId="108">
      <calculatedColumnFormula>SUM(DATA[[#This Row],[Central / Regional Management HOURLY RATE]:[Corporate Overheads: Other  - please specify (amount) 2 HOURLY RATE]])</calculatedColumnFormula>
    </tableColumn>
    <tableColumn id="296" name="Registered Manager FTE earning less than RLW 23yrs 2022/23" dataDxfId="107">
      <calculatedColumnFormula>IFERROR(IF(AVERAGE(DATA[[#This Row],[Registered manager: Current 2021/22 Minimum hourly pay rate ADJUSTED]],DATA[[#This Row],[Registered manager: Current 2021/22 Maximum hourly pay rate ADJUSTED]])&lt;REAL_LIVING_WAGE_22_23,DATA[[#This Row],[Registered manager: Numbers employed (Full Time Equivalent)]],0),"")</calculatedColumnFormula>
    </tableColumn>
    <tableColumn id="299" name="Deputy Manager FTE earning less than RLW 23yrs 2022/23" dataDxfId="106">
      <calculatedColumnFormula>IFERROR(IF(AVERAGE(DATA[[#This Row],[Deputy manager: Current 2021/22 Minimum hourly pay rate ADJUSTED]],DATA[[#This Row],[Deputy manager: Current 2021/22 Maximum hourly pay rate ADJUSTED]])&lt;REAL_LIVING_WAGE_22_23,DATA[[#This Row],[Deputy manager: Numbers employed (Full Time Equivalent)]],0),"")</calculatedColumnFormula>
    </tableColumn>
    <tableColumn id="300" name="Other Manager 1 FTE earning less than RLW 23yrs 2022/23" dataDxfId="105">
      <calculatedColumnFormula>IFERROR(IF(AVERAGE(DATA[[#This Row],[Other manager 1: Current 2021/22 Minimum hourly pay rate ADJUSTED]],DATA[[#This Row],[Other manager 1: Current 2021/22 Maximum hourly pay rate ADJUSTED]])&lt;REAL_LIVING_WAGE_22_23,DATA[[#This Row],[Other manager 1: Numbers employed (Full Time Equivalent)]],0),"")</calculatedColumnFormula>
    </tableColumn>
    <tableColumn id="320" name="Other Manager 2 FTE earning less than RLW 23yrs 2022/23" dataDxfId="104">
      <calculatedColumnFormula>IFERROR(IF(AVERAGE(DATA[[#This Row],[Other manager 2: Current 2021/22 Minimum hourly pay rate ADJUSTED]],DATA[[#This Row],[Other manager 2: Current 2021/22 Maximum hourly pay rate ADJUSTED]])&lt;REAL_LIVING_WAGE_22_23,DATA[[#This Row],[Other manager 2: Numbers employed (Full Time Equivalent)]],0),"")</calculatedColumnFormula>
    </tableColumn>
    <tableColumn id="322" name="Other Manager 3 FTE earning less than RLW 23yrs 2022/23" dataDxfId="103">
      <calculatedColumnFormula>IFERROR(IF(AVERAGE(DATA[[#This Row],[Other manager 3: Current 2021/22 Minimum hourly pay rate ADJUSTED]],DATA[[#This Row],[Other manager 3: Current 2021/22 Maximum hourly pay rate ADJUSTED]])&lt;REAL_LIVING_WAGE_22_23,DATA[[#This Row],[Other manager 3: Numbers employed (Full Time Equivalent)]],0),"")</calculatedColumnFormula>
    </tableColumn>
    <tableColumn id="326" name="Care Assistant 1 FTE earning less than RLW 23yrs 2022/23" dataDxfId="102">
      <calculatedColumnFormula>IFERROR(IF(AVERAGE(DATA[[#This Row],[Care Assistant 1: Current 2021/22 Minimum hourly pay rate ADJUSTED]],DATA[[#This Row],[Care Assistant 1: Current 2021/22 Maximum hourly pay rate ADJUSTED]])&lt;REAL_LIVING_WAGE_22_23,DATA[[#This Row],[Care Assistant 1: Numbers employed (Full Time Equivalent)]],0),"")</calculatedColumnFormula>
    </tableColumn>
    <tableColumn id="327" name="Care Assistant 2 FTE earning less than RLW 23yrs 2022/23" dataDxfId="101">
      <calculatedColumnFormula>IFERROR(IF(AVERAGE(DATA[[#This Row],[Care Assistant 2: Current 2021/22 Minimum hourly pay rate ADJUSTED]],DATA[[#This Row],[Care Assistant 2: Current 2021/22 Maximum hourly pay rate ADJUSTED]])&lt;REAL_LIVING_WAGE_22_23,DATA[[#This Row],[Care Assistant 2: Numbers employed (Full Time Equivalent)]],0),"")</calculatedColumnFormula>
    </tableColumn>
    <tableColumn id="328" name="Care Assistant 3 FTE earning less than RLW 23yrs 2022/23" dataDxfId="100">
      <calculatedColumnFormula>IFERROR(IF(AVERAGE(DATA[[#This Row],[Care Assistant 3: Current 2021/22 Minimum hourly pay rate ADJUSTED]],DATA[[#This Row],[Care Assistant 3: Current 2021/22 Maximum hourly pay rate ADJUSTED]])&lt;REAL_LIVING_WAGE_22_23,DATA[[#This Row],[Care Assistant 3: Numbers employed (Full Time Equivalent)]],0),"")</calculatedColumnFormula>
    </tableColumn>
    <tableColumn id="329" name="Care Assistant 4 FTE earning less than RLW 23yrs 2022/23" dataDxfId="99">
      <calculatedColumnFormula>IFERROR(IF(AVERAGE(DATA[[#This Row],[Care Assistant 4: Current 2021/22 Minimum hourly pay rate ADJUSTED]],DATA[[#This Row],[Care Assistant 4: Current 2021/22 Maximum hourly pay rate ADJUSTED]])&lt;REAL_LIVING_WAGE_22_23,DATA[[#This Row],[Care Assistant 4: Numbers employed (Full Time Equivalent)]],0),"")</calculatedColumnFormula>
    </tableColumn>
    <tableColumn id="330" name="Administrative Officer 1 FTE earning less than RLW 23yrs 2022/23" dataDxfId="98">
      <calculatedColumnFormula>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calculatedColumnFormula>
    </tableColumn>
    <tableColumn id="331" name="Administrative Officer 2 FTE earning less than RLW 23yrs 2022/23" dataDxfId="97">
      <calculatedColumnFormula>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calculatedColumnFormula>
    </tableColumn>
    <tableColumn id="332" name="Other staff 1 FTE earning less than RLW 23yrs 2022/23" dataDxfId="96">
      <calculatedColumnFormula>IFERROR(IF(AVERAGE(DATA[[#This Row],[Other staff 1: Current 2021/22 Minimum hourly pay rate ADJUSTED]],DATA[[#This Row],[Other staff 1: Current 2021/22 Maximum hourly pay rate ADJUSTED]])&lt;REAL_LIVING_WAGE_22_23,DATA[[#This Row],[Other staff 1: Numbers employed (Full Time Equivalent)]],0),"")</calculatedColumnFormula>
    </tableColumn>
    <tableColumn id="333" name="Other staff 2 FTE earning less than RLW 23yrs 2022/23" dataDxfId="95">
      <calculatedColumnFormula>IFERROR(IF(AVERAGE(DATA[[#This Row],[Other staff 2: Current 2021/22 Minimum hourly pay rate ADJUSTED]],DATA[[#This Row],[Other staff 2: Current 2021/22 Maximum hourly pay rate ADJUSTED]])&lt;REAL_LIVING_WAGE_22_23,DATA[[#This Row],[Other staff 2: Numbers employed (Full Time Equivalent)]],0),"")</calculatedColumnFormula>
    </tableColumn>
    <tableColumn id="334" name="Other staff 3 FTE earning less than RLW 23yrs 2022/23" dataDxfId="94">
      <calculatedColumnFormula>IFERROR(IF(AVERAGE(DATA[[#This Row],[Other staff 3: Current 2021/22 Minimum hourly pay rate ADJUSTED]],DATA[[#This Row],[Other staff 3: Current 2021/22 Maximum hourly pay rate ADJUSTED]])&lt;REAL_LIVING_WAGE_22_23,DATA[[#This Row],[Other staff 3: Numbers employed (Full Time Equivalent)]],0),"")</calculatedColumnFormula>
    </tableColumn>
    <tableColumn id="335" name="Total Staff FTE earning less than RLW 23yrs 2022/23" dataDxfId="93">
      <calculatedColumnFormula>SUM(DATA[[#This Row],[Registered Manager FTE earning less than RLW 23yrs 2022/23]:[Other staff 3 FTE earning less than RLW 23yrs 2022/23]])</calculatedColumnFormula>
    </tableColumn>
    <tableColumn id="336" name="Registered Manager amount less less than RLW 23yrs 2022/23" dataDxfId="92">
      <calculatedColumnFormula>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calculatedColumnFormula>
    </tableColumn>
    <tableColumn id="337" name="Deputy Manager amount less less than RLW 23yrs 2022/23" dataDxfId="91">
      <calculatedColumnFormula>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calculatedColumnFormula>
    </tableColumn>
    <tableColumn id="338" name="Other Manager 1 amount less less than RLW 23yrs 2022/23" dataDxfId="90">
      <calculatedColumnFormula>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calculatedColumnFormula>
    </tableColumn>
    <tableColumn id="339" name="Other Manager 2 amount less less than RLW 23yrs 2022/23" dataDxfId="89">
      <calculatedColumnFormula>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calculatedColumnFormula>
    </tableColumn>
    <tableColumn id="340" name="Other Manager 3 amount less less than RLW 23yrs 2022/23" dataDxfId="88">
      <calculatedColumnFormula>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calculatedColumnFormula>
    </tableColumn>
    <tableColumn id="341" name="Care Assistant 1 amount less less than RLW 23yrs 2022/23" dataDxfId="87">
      <calculatedColumnFormula>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calculatedColumnFormula>
    </tableColumn>
    <tableColumn id="342" name="Care Assistant 2 amount less less than RLW 23yrs 2022/23" dataDxfId="86">
      <calculatedColumnFormula>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calculatedColumnFormula>
    </tableColumn>
    <tableColumn id="343" name="Care Assistant 3 amount less less than RLW 23yrs 2022/23" dataDxfId="85">
      <calculatedColumnFormula>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calculatedColumnFormula>
    </tableColumn>
    <tableColumn id="344" name="Care Assistant 4 amount less less than RLW 23yrs 2022/23" dataDxfId="84">
      <calculatedColumnFormula>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calculatedColumnFormula>
    </tableColumn>
    <tableColumn id="345" name="Administrative Officer 1 amount less less than RLW 23yrs 2022/23" dataDxfId="83">
      <calculatedColumnFormula>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calculatedColumnFormula>
    </tableColumn>
    <tableColumn id="346" name="Administrative Officer 2 amount less less than RLW 23yrs 2022/23" dataDxfId="82">
      <calculatedColumnFormula>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calculatedColumnFormula>
    </tableColumn>
    <tableColumn id="347" name="Other staff 1 amount less less than RLW 23yrs 2022/23" dataDxfId="81">
      <calculatedColumnFormula>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calculatedColumnFormula>
    </tableColumn>
    <tableColumn id="348" name="Other staff 2 amount less less than RLW 23yrs 2022/23" dataDxfId="80">
      <calculatedColumnFormula>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calculatedColumnFormula>
    </tableColumn>
    <tableColumn id="349" name="Other staff 3 amount less less than RLW 23yrs 2022/23" dataDxfId="79">
      <calculatedColumnFormula>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calculatedColumnFormula>
    </tableColumn>
    <tableColumn id="350" name="Registered manager: Current 2021/22 Minimum hourly pay rate ADJUSTED X FTE" dataDxfId="78">
      <calculatedColumnFormula>IFERROR(IF(DATA[[#This Row],[Registered manager: Numbers employed (Full Time Equivalent)]]=0,"",DATA[[#This Row],[Registered manager: Current 2021/22 Minimum hourly pay rate ADJUSTED]]*DATA[[#This Row],[Registered manager: Numbers employed (Full Time Equivalent)]]),"")</calculatedColumnFormula>
    </tableColumn>
    <tableColumn id="351" name="Registered manager: Current 2021/22 Maximum hourly pay rate ADJUSTED X FTE" dataDxfId="77">
      <calculatedColumnFormula>IFERROR(IF(DATA[[#This Row],[Registered manager: Numbers employed (Full Time Equivalent)]]=0,"",DATA[[#This Row],[Registered manager: Current 2021/22 Maximum hourly pay rate ADJUSTED]]*DATA[[#This Row],[Registered manager: Numbers employed (Full Time Equivalent)]]),"")</calculatedColumnFormula>
    </tableColumn>
    <tableColumn id="352" name="Registered manager: Previous 2020/21 Minimum hourly pay rate ADJUSTED X FTE" dataDxfId="76">
      <calculatedColumnFormula>IFERROR(IF(DATA[[#This Row],[Registered manager: Numbers employed (Full Time Equivalent)]]=0,"",DATA[[#This Row],[Registered manager: Previous 2020/21 Minimum hourly pay rate ADJUSTED]]*DATA[[#This Row],[Registered manager: Numbers employed (Full Time Equivalent)]]),"")</calculatedColumnFormula>
    </tableColumn>
    <tableColumn id="353" name="Registered manager: Previous 2020/21 Maximum hourly pay rate ADJUSTED X FTE" dataDxfId="75">
      <calculatedColumnFormula>IFERROR(IF(DATA[[#This Row],[Registered manager: Numbers employed (Full Time Equivalent)]]=0,"",DATA[[#This Row],[Registered manager: Previous 2020/21 Maximum hourly pay rate ADJUSTED]]*DATA[[#This Row],[Registered manager: Numbers employed (Full Time Equivalent)]]),"")</calculatedColumnFormula>
    </tableColumn>
    <tableColumn id="354" name="Deputy manager: Current 2021/22 Minimum hourly pay rate ADJUSTED X FTE" dataDxfId="74">
      <calculatedColumnFormula>IFERROR(IF(DATA[[#This Row],[Deputy manager: Numbers employed (Full Time Equivalent)]]=0,"",DATA[[#This Row],[Deputy manager: Current 2021/22 Minimum hourly pay rate ADJUSTED]]*DATA[[#This Row],[Deputy manager: Numbers employed (Full Time Equivalent)]]),"")</calculatedColumnFormula>
    </tableColumn>
    <tableColumn id="355" name="Deputy manager: Current 2021/22 Maximum hourly pay rate ADJUSTED X FTE" dataDxfId="73">
      <calculatedColumnFormula>IFERROR(IF(DATA[[#This Row],[Deputy manager: Numbers employed (Full Time Equivalent)]]=0,"",DATA[[#This Row],[Deputy manager: Current 2021/22 Maximum hourly pay rate ADJUSTED]]*DATA[[#This Row],[Deputy manager: Numbers employed (Full Time Equivalent)]]),"")</calculatedColumnFormula>
    </tableColumn>
    <tableColumn id="356" name="Deputy manager: Previous 2020/21 Minimum hourly pay rate ADJUSTED X FTE" dataDxfId="72">
      <calculatedColumnFormula>IFERROR(IF(DATA[[#This Row],[Deputy manager: Numbers employed (Full Time Equivalent)]]=0,"",DATA[[#This Row],[Deputy manager: Previous 2020/21 Minimum hourly pay rate ADJUSTED]]*DATA[[#This Row],[Deputy manager: Numbers employed (Full Time Equivalent)]]),"")</calculatedColumnFormula>
    </tableColumn>
    <tableColumn id="357" name="Deputy manager: Previous 2020/21 Maximum hourly pay rate ADJUSTED X FTE" dataDxfId="71">
      <calculatedColumnFormula>IFERROR(IF(DATA[[#This Row],[Deputy manager: Numbers employed (Full Time Equivalent)]]=0,"",DATA[[#This Row],[Deputy manager: Previous 2020/21 Maximum hourly pay rate ADJUSTED]]*DATA[[#This Row],[Deputy manager: Numbers employed (Full Time Equivalent)]]),"")</calculatedColumnFormula>
    </tableColumn>
    <tableColumn id="358" name="Other manager 1: Current 2021/22 Minimum hourly pay rate ADJUSTED X FTE" dataDxfId="70">
      <calculatedColumnFormula>IFERROR(IF(DATA[[#This Row],[Other manager 1: Numbers employed (Full Time Equivalent)]]=0,"",DATA[[#This Row],[Other manager 1: Current 2021/22 Minimum hourly pay rate ADJUSTED]]*DATA[[#This Row],[Other manager 1: Numbers employed (Full Time Equivalent)]]),"")</calculatedColumnFormula>
    </tableColumn>
    <tableColumn id="359" name="Other manager 1: Current 2021/22 Maximum hourly pay rate ADJUSTED X FTE" dataDxfId="69">
      <calculatedColumnFormula>IFERROR(IF(DATA[[#This Row],[Other manager 1: Numbers employed (Full Time Equivalent)]]=0,"",DATA[[#This Row],[Other manager 1: Current 2021/22 Maximum hourly pay rate ADJUSTED]]*DATA[[#This Row],[Other manager 1: Numbers employed (Full Time Equivalent)]]),"")</calculatedColumnFormula>
    </tableColumn>
    <tableColumn id="360" name="Other manager 1: Previous 2020/21 Minimum hourly pay rate ADJUSTED X FTE" dataDxfId="68">
      <calculatedColumnFormula>IFERROR(IF(DATA[[#This Row],[Other manager 1: Numbers employed (Full Time Equivalent)]]=0,"",DATA[[#This Row],[Other manager 1: Previous 2020/21 Minimum hourly pay rate ADJUSTED]]*DATA[[#This Row],[Other manager 1: Numbers employed (Full Time Equivalent)]]),"")</calculatedColumnFormula>
    </tableColumn>
    <tableColumn id="361" name="Other manager 1: Previous 2020/21 Maximum hourly pay rate ADJUSTED X FTE" dataDxfId="67">
      <calculatedColumnFormula>IFERROR(IF(DATA[[#This Row],[Other manager 1: Numbers employed (Full Time Equivalent)]]=0,"",DATA[[#This Row],[Other manager 1: Previous 2020/21 Maximum hourly pay rate ADJUSTED]]*DATA[[#This Row],[Other manager 1: Numbers employed (Full Time Equivalent)]]),"")</calculatedColumnFormula>
    </tableColumn>
    <tableColumn id="362" name="Other manager 2: Current 2021/22 Minimum hourly pay rate ADJUSTED X FTE" dataDxfId="66">
      <calculatedColumnFormula>IFERROR(IF(DATA[[#This Row],[Other manager 2: Numbers employed (Full Time Equivalent)]]=0,"",DATA[[#This Row],[Other manager 2: Current 2021/22 Minimum hourly pay rate ADJUSTED]]*DATA[[#This Row],[Other manager 2: Numbers employed (Full Time Equivalent)]]),"")</calculatedColumnFormula>
    </tableColumn>
    <tableColumn id="363" name="Other manager 2: Current 2021/22 Maximum hourly pay rate ADJUSTED X FTE" dataDxfId="65">
      <calculatedColumnFormula>IFERROR(IF(DATA[[#This Row],[Other manager 2: Numbers employed (Full Time Equivalent)]]=0,"",DATA[[#This Row],[Other manager 2: Current 2021/22 Maximum hourly pay rate ADJUSTED]]*DATA[[#This Row],[Other manager 2: Numbers employed (Full Time Equivalent)]]),"")</calculatedColumnFormula>
    </tableColumn>
    <tableColumn id="364" name="Other manager 2: Previous 2020/21 Minimum hourly pay rate ADJUSTED X FTE" dataDxfId="64">
      <calculatedColumnFormula>IFERROR(IF(DATA[[#This Row],[Other manager 2: Numbers employed (Full Time Equivalent)]]=0,"",DATA[[#This Row],[Other manager 2: Previous 2020/21 Minimum hourly pay rate ADJUSTED]]*DATA[[#This Row],[Other manager 2: Numbers employed (Full Time Equivalent)]]),"")</calculatedColumnFormula>
    </tableColumn>
    <tableColumn id="365" name="Other manager 2: Previous 2020/21 Maximum hourly pay rate ADJUSTED X FTE" dataDxfId="63">
      <calculatedColumnFormula>IFERROR(IF(DATA[[#This Row],[Other manager 2: Numbers employed (Full Time Equivalent)]]=0,"",DATA[[#This Row],[Other manager 2: Previous 2020/21 Maximum hourly pay rate ADJUSTED]]*DATA[[#This Row],[Other manager 2: Numbers employed (Full Time Equivalent)]]),"")</calculatedColumnFormula>
    </tableColumn>
    <tableColumn id="366" name="Other manager 3: Current 2021/22 Minimum hourly pay rate ADJUSTED X FTE" dataDxfId="62">
      <calculatedColumnFormula>IFERROR(IF(DATA[[#This Row],[Other manager 3: Numbers employed (Full Time Equivalent)]]=0,"",DATA[[#This Row],[Other manager 3: Current 2021/22 Minimum hourly pay rate ADJUSTED]]*DATA[[#This Row],[Other manager 3: Numbers employed (Full Time Equivalent)]]),"")</calculatedColumnFormula>
    </tableColumn>
    <tableColumn id="367" name="Other manager 3: Current 2021/22 Maximum hourly pay rate ADJUSTED X FTE" dataDxfId="61">
      <calculatedColumnFormula>IFERROR(IF(DATA[[#This Row],[Other manager 3: Numbers employed (Full Time Equivalent)]]=0,"",DATA[[#This Row],[Other manager 3: Current 2021/22 Maximum hourly pay rate ADJUSTED]]*DATA[[#This Row],[Other manager 3: Numbers employed (Full Time Equivalent)]]),"")</calculatedColumnFormula>
    </tableColumn>
    <tableColumn id="368" name="Other manager 3: Previous 2020/21 Minimum hourly pay rate ADJUSTED X FTE" dataDxfId="60">
      <calculatedColumnFormula>IFERROR(IF(DATA[[#This Row],[Other manager 3: Numbers employed (Full Time Equivalent)]]=0,"",DATA[[#This Row],[Other manager 3: Previous 2020/21 Minimum hourly pay rate ADJUSTED]]*DATA[[#This Row],[Other manager 3: Numbers employed (Full Time Equivalent)]]),"")</calculatedColumnFormula>
    </tableColumn>
    <tableColumn id="369" name="Other manager 3: Previous 2020/21 Maximum hourly pay rate ADJUSTED X FTE" dataDxfId="59">
      <calculatedColumnFormula>IFERROR(IF(DATA[[#This Row],[Other manager 3: Numbers employed (Full Time Equivalent)]]=0,"",DATA[[#This Row],[Other manager 3: Previous 2020/21 Maximum hourly pay rate ADJUSTED]]*DATA[[#This Row],[Other manager 3: Numbers employed (Full Time Equivalent)]]),"")</calculatedColumnFormula>
    </tableColumn>
    <tableColumn id="370" name="Care Assistant 1: Current 2021/22 Minimum hourly pay rate ADJUSTED X FTE" dataDxfId="58">
      <calculatedColumnFormula>IFERROR(IF(DATA[[#This Row],[Care Assistant 1: Numbers employed (Full Time Equivalent)]]=0,"",DATA[[#This Row],[Care Assistant 1: Current 2021/22 Minimum hourly pay rate ADJUSTED]]*DATA[[#This Row],[Care Assistant 1: Numbers employed (Full Time Equivalent)]]),"")</calculatedColumnFormula>
    </tableColumn>
    <tableColumn id="371" name="Care Assistant 1: Current 2021/22 Maximum hourly pay rate ADJUSTED X FTE" dataDxfId="57">
      <calculatedColumnFormula>IFERROR(IF(DATA[[#This Row],[Care Assistant 1: Numbers employed (Full Time Equivalent)]]=0,"",DATA[[#This Row],[Care Assistant 1: Current 2021/22 Maximum hourly pay rate ADJUSTED]]*DATA[[#This Row],[Care Assistant 1: Numbers employed (Full Time Equivalent)]]),"")</calculatedColumnFormula>
    </tableColumn>
    <tableColumn id="372" name="Care Assistant 1: Previous 2020/21 Minimum hourly pay rate ADJUSTED X FTE" dataDxfId="56">
      <calculatedColumnFormula>IFERROR(IF(DATA[[#This Row],[Care Assistant 1: Numbers employed (Full Time Equivalent)]]=0,"",DATA[[#This Row],[Care Assistant 1: Previous 2020/21 Minimum hourly pay rate ADJUSTED]]*DATA[[#This Row],[Care Assistant 1: Numbers employed (Full Time Equivalent)]]),"")</calculatedColumnFormula>
    </tableColumn>
    <tableColumn id="373" name="Care Assistant 1: Previous 2020/21 Maximum hourly pay rate ADJUSTED X FTE" dataDxfId="55">
      <calculatedColumnFormula>IFERROR(IF(DATA[[#This Row],[Care Assistant 1: Numbers employed (Full Time Equivalent)]]=0,"",DATA[[#This Row],[Care Assistant 1: Previous 2020/21 Maximum hourly pay rate ADJUSTED]]*DATA[[#This Row],[Care Assistant 1: Numbers employed (Full Time Equivalent)]]),"")</calculatedColumnFormula>
    </tableColumn>
    <tableColumn id="374" name="Care Assistant 2: Current 2021/22 Minimum hourly pay rate ADJUSTED X FTE" dataDxfId="54">
      <calculatedColumnFormula>IFERROR(IF(DATA[[#This Row],[Care Assistant 2: Numbers employed (Full Time Equivalent)]]=0,"",DATA[[#This Row],[Care Assistant 2: Current 2021/22 Minimum hourly pay rate ADJUSTED]]*DATA[[#This Row],[Care Assistant 2: Numbers employed (Full Time Equivalent)]]),"")</calculatedColumnFormula>
    </tableColumn>
    <tableColumn id="375" name="Care Assistant 2: Current 2021/22 Maximum hourly pay rate ADJUSTED X FTE" dataDxfId="53">
      <calculatedColumnFormula>IFERROR(IF(DATA[[#This Row],[Care Assistant 2: Numbers employed (Full Time Equivalent)]]=0,"",DATA[[#This Row],[Care Assistant 2: Current 2021/22 Maximum hourly pay rate ADJUSTED]]*DATA[[#This Row],[Care Assistant 2: Numbers employed (Full Time Equivalent)]]),"")</calculatedColumnFormula>
    </tableColumn>
    <tableColumn id="376" name="Care Assistant 2: Previous 2020/21 Minimum hourly pay rate ADJUSTED X FTE" dataDxfId="52">
      <calculatedColumnFormula>IFERROR(IF(DATA[[#This Row],[Care Assistant 2: Numbers employed (Full Time Equivalent)]]=0,"",DATA[[#This Row],[Care Assistant 2: Previous 2020/21 Minimum hourly pay rate ADJUSTED]]*DATA[[#This Row],[Care Assistant 2: Numbers employed (Full Time Equivalent)]]),"")</calculatedColumnFormula>
    </tableColumn>
    <tableColumn id="377" name="Care Assistant 2: Previous 2020/21 Maximum hourly pay rate ADJUSTED X FTE" dataDxfId="51">
      <calculatedColumnFormula>IFERROR(IF(DATA[[#This Row],[Care Assistant 2: Numbers employed (Full Time Equivalent)]]=0,"",DATA[[#This Row],[Care Assistant 2: Previous 2020/21 Maximum hourly pay rate ADJUSTED]]*DATA[[#This Row],[Care Assistant 2: Numbers employed (Full Time Equivalent)]]),"")</calculatedColumnFormula>
    </tableColumn>
    <tableColumn id="378" name="Care Assistant 3: Current 2021/22 Minimum hourly pay rate ADJUSTED X FTE" dataDxfId="50">
      <calculatedColumnFormula>IFERROR(IF(DATA[[#This Row],[Care Assistant 3: Numbers employed (Full Time Equivalent)]]=0,"",DATA[[#This Row],[Care Assistant 3: Current 2021/22 Minimum hourly pay rate ADJUSTED]]*DATA[[#This Row],[Care Assistant 3: Numbers employed (Full Time Equivalent)]]),"")</calculatedColumnFormula>
    </tableColumn>
    <tableColumn id="379" name="Care Assistant 3: Current 2021/22 Maximum hourly pay rate ADJUSTED X FTE" dataDxfId="49">
      <calculatedColumnFormula>IFERROR(IF(DATA[[#This Row],[Care Assistant 3: Numbers employed (Full Time Equivalent)]]=0,"",DATA[[#This Row],[Care Assistant 3: Current 2021/22 Maximum hourly pay rate ADJUSTED]]*DATA[[#This Row],[Care Assistant 3: Numbers employed (Full Time Equivalent)]]),"")</calculatedColumnFormula>
    </tableColumn>
    <tableColumn id="380" name="Care Assistant 3: Previous 2020/21 Minimum hourly pay rate ADJUSTED X FTE" dataDxfId="48">
      <calculatedColumnFormula>IFERROR(IF(DATA[[#This Row],[Care Assistant 3: Numbers employed (Full Time Equivalent)]]=0,"",DATA[[#This Row],[Care Assistant 3: Previous 2020/21 Minimum hourly pay rate ADJUSTED]]*DATA[[#This Row],[Care Assistant 3: Numbers employed (Full Time Equivalent)]]),"")</calculatedColumnFormula>
    </tableColumn>
    <tableColumn id="381" name="Care Assistant 3: Previous 2020/21 Maximum hourly pay rate ADJUSTED X FTE" dataDxfId="47">
      <calculatedColumnFormula>IFERROR(IF(DATA[[#This Row],[Care Assistant 3: Numbers employed (Full Time Equivalent)]]=0,"",DATA[[#This Row],[Care Assistant 3: Previous 2020/21 Maximum hourly pay rate ADJUSTED]]*DATA[[#This Row],[Care Assistant 3: Numbers employed (Full Time Equivalent)]]),"")</calculatedColumnFormula>
    </tableColumn>
    <tableColumn id="382" name="Care Assistant 4: Current 2021/22 Minimum hourly pay rate ADJUSTED X FTE" dataDxfId="46">
      <calculatedColumnFormula>IFERROR(IF(DATA[[#This Row],[Care Assistant 4: Numbers employed (Full Time Equivalent)]]=0,"",DATA[[#This Row],[Care Assistant 4: Current 2021/22 Minimum hourly pay rate ADJUSTED]]*DATA[[#This Row],[Care Assistant 4: Numbers employed (Full Time Equivalent)]]),"")</calculatedColumnFormula>
    </tableColumn>
    <tableColumn id="383" name="Care Assistant 4: Current 2021/22 Maximum hourly pay rate ADJUSTED X FTE" dataDxfId="45">
      <calculatedColumnFormula>IFERROR(IF(DATA[[#This Row],[Care Assistant 4: Numbers employed (Full Time Equivalent)]]=0,"",DATA[[#This Row],[Care Assistant 4: Current 2021/22 Maximum hourly pay rate ADJUSTED]]*DATA[[#This Row],[Care Assistant 4: Numbers employed (Full Time Equivalent)]]),"")</calculatedColumnFormula>
    </tableColumn>
    <tableColumn id="384" name="Care Assistant 4: Previous 2020/21 Minimum hourly pay rate ADJUSTED X FTE" dataDxfId="44">
      <calculatedColumnFormula>IFERROR(IF(DATA[[#This Row],[Care Assistant 4: Numbers employed (Full Time Equivalent)]]=0,"",DATA[[#This Row],[Care Assistant 4: Previous 2020/21 Minimum hourly pay rate ADJUSTED]]*DATA[[#This Row],[Care Assistant 4: Numbers employed (Full Time Equivalent)]]),"")</calculatedColumnFormula>
    </tableColumn>
    <tableColumn id="385" name="Care Assistant 4: Previous 2020/21 Maximum hourly pay rate ADJUSTED X FTE" dataDxfId="43">
      <calculatedColumnFormula>IFERROR(IF(DATA[[#This Row],[Care Assistant 4: Numbers employed (Full Time Equivalent)]]=0,"",DATA[[#This Row],[Care Assistant 4: Previous 2020/21 Maximum hourly pay rate ADJUSTED]]*DATA[[#This Row],[Care Assistant 4: Numbers employed (Full Time Equivalent)]]),"")</calculatedColumnFormula>
    </tableColumn>
    <tableColumn id="386" name="Administrative Officer 1: Current 2021/22 Minimum hourly pay rate ADJUSTED X FTE" dataDxfId="42">
      <calculatedColumnFormula>IFERROR(IF(DATA[[#This Row],[Administrative Officer 1: Numbers employed (Full Time Equivalent)]]=0,"",DATA[[#This Row],[Administrative Officer 1: Current 2021/22 Minimum hourly pay rate ADJUSTED]]*DATA[[#This Row],[Administrative Officer 1: Numbers employed (Full Time Equivalent)]]),"")</calculatedColumnFormula>
    </tableColumn>
    <tableColumn id="387" name="Administrative Officer 1: Current 2021/22 Maximum hourly pay rate ADJUSTED X FTE" dataDxfId="41">
      <calculatedColumnFormula>IFERROR(IF(DATA[[#This Row],[Administrative Officer 1: Numbers employed (Full Time Equivalent)]]=0,"",DATA[[#This Row],[Administrative Officer 1: Current 2021/22 Maximum hourly pay rate ADJUSTED]]*DATA[[#This Row],[Administrative Officer 1: Numbers employed (Full Time Equivalent)]]),"")</calculatedColumnFormula>
    </tableColumn>
    <tableColumn id="388" name="Administrative Officer 1: Previous 2020/21 Minimum hourly pay rate ADJUSTED X FTE" dataDxfId="40">
      <calculatedColumnFormula>IFERROR(IF(DATA[[#This Row],[Administrative Officer 1: Numbers employed (Full Time Equivalent)]]=0,"",DATA[[#This Row],[Administrative Officer 1: Previous 2020/21 Minimum hourly pay rate ADJUSTED]]*DATA[[#This Row],[Administrative Officer 1: Numbers employed (Full Time Equivalent)]]),"")</calculatedColumnFormula>
    </tableColumn>
    <tableColumn id="389" name="Administrative Officer 1: Previous 2020/21 Maximum hourly pay rate ADJUSTED X FTE" dataDxfId="39">
      <calculatedColumnFormula>IFERROR(IF(DATA[[#This Row],[Administrative Officer 1: Numbers employed (Full Time Equivalent)]]=0,"",DATA[[#This Row],[Administrative Officer 1: Previous 2020/21 Maximum hourly pay rate ADJUSTED]]*DATA[[#This Row],[Administrative Officer 1: Numbers employed (Full Time Equivalent)]]),"")</calculatedColumnFormula>
    </tableColumn>
    <tableColumn id="390" name="Administrative Officer 2: Current 2021/22 Minimum hourly pay rate ADJUSTED X FTE" dataDxfId="38">
      <calculatedColumnFormula>IFERROR(IF(DATA[[#This Row],[Administrative Officer 2: Numbers employed (Full Time Equivalent)]]=0,"",DATA[[#This Row],[Administrative Officer 2: Current 2021/22 Minimum hourly pay rate ADJUSTED]]*DATA[[#This Row],[Administrative Officer 2: Numbers employed (Full Time Equivalent)]]),"")</calculatedColumnFormula>
    </tableColumn>
    <tableColumn id="391" name="Administrative Officer 2: Current 2021/22 Maximum hourly pay rate ADJUSTED X FTE" dataDxfId="37">
      <calculatedColumnFormula>IFERROR(IF(DATA[[#This Row],[Administrative Officer 2: Numbers employed (Full Time Equivalent)]]=0,"",DATA[[#This Row],[Administrative Officer 2: Current 2021/22 Maximum hourly pay rate ADJUSTED]]*DATA[[#This Row],[Administrative Officer 2: Numbers employed (Full Time Equivalent)]]),"")</calculatedColumnFormula>
    </tableColumn>
    <tableColumn id="392" name="Administrative Officer 2: Previous 2020/21 Minimum hourly pay rate ADJUSTED X FTE" dataDxfId="36">
      <calculatedColumnFormula>IFERROR(IF(DATA[[#This Row],[Administrative Officer 2: Numbers employed (Full Time Equivalent)]]=0,"",DATA[[#This Row],[Administrative Officer 2: Previous 2020/21 Minimum hourly pay rate ADJUSTED]]*DATA[[#This Row],[Administrative Officer 2: Numbers employed (Full Time Equivalent)]]),"")</calculatedColumnFormula>
    </tableColumn>
    <tableColumn id="393" name="Administrative Officer 2: Previous 2020/21 Maximum hourly pay rate ADJUSTED X FTE" dataDxfId="35">
      <calculatedColumnFormula>IFERROR(IF(DATA[[#This Row],[Administrative Officer 2: Numbers employed (Full Time Equivalent)]]=0,"",DATA[[#This Row],[Administrative Officer 2: Previous 2020/21 Maximum hourly pay rate ADJUSTED]]*DATA[[#This Row],[Administrative Officer 2: Numbers employed (Full Time Equivalent)]]),"")</calculatedColumnFormula>
    </tableColumn>
    <tableColumn id="394" name="Administrative Officer 3: Current 2021/22 Minimum hourly pay rate ADJUSTED X FTE" dataDxfId="34">
      <calculatedColumnFormula>IFERROR(IF(DATA[[#This Row],[Administrative Officer 2: Numbers employed (Full Time Equivalent)]]=0,"",DATA[[#This Row],[Administrative Officer 2: Current 2021/22 Minimum hourly pay rate ADJUSTED]]*DATA[[#This Row],[Administrative Officer 2: Numbers employed (Full Time Equivalent)]]),"")</calculatedColumnFormula>
    </tableColumn>
    <tableColumn id="395" name="Administrative Officer 3: Current 2021/22 Maximum hourly pay rate ADJUSTED X FTE" dataDxfId="33">
      <calculatedColumnFormula>IFERROR(IF(DATA[[#This Row],[Administrative Officer 2: Numbers employed (Full Time Equivalent)]]=0,"",DATA[[#This Row],[Administrative Officer 2: Current 2021/22 Maximum hourly pay rate ADJUSTED]]*DATA[[#This Row],[Administrative Officer 2: Numbers employed (Full Time Equivalent)]]),"")</calculatedColumnFormula>
    </tableColumn>
    <tableColumn id="396" name="Administrative Officer 3: Previous 2020/21 Minimum hourly pay rate ADJUSTED X FTE" dataDxfId="32">
      <calculatedColumnFormula>IFERROR(IF(DATA[[#This Row],[Administrative Officer 2: Numbers employed (Full Time Equivalent)]]=0,"",DATA[[#This Row],[Administrative Officer 2: Previous 2020/21 Minimum hourly pay rate ADJUSTED]]*DATA[[#This Row],[Administrative Officer 2: Numbers employed (Full Time Equivalent)]]),"")</calculatedColumnFormula>
    </tableColumn>
    <tableColumn id="397" name="Administrative Officer 3: Previous 2020/21 Maximum hourly pay rate ADJUSTED X FTE" dataDxfId="31">
      <calculatedColumnFormula>IFERROR(IF(DATA[[#This Row],[Administrative Officer 2: Numbers employed (Full Time Equivalent)]]=0,"",DATA[[#This Row],[Administrative Officer 2: Previous 2020/21 Maximum hourly pay rate ADJUSTED]]*DATA[[#This Row],[Administrative Officer 2: Numbers employed (Full Time Equivalent)]]),"")</calculatedColumnFormula>
    </tableColumn>
    <tableColumn id="398" name="Other staff 1: Current 2021/22 Minimum hourly pay rate ADJUSTED X FTE" dataDxfId="30">
      <calculatedColumnFormula>IFERROR(IF(DATA[[#This Row],[Other staff 1: Numbers employed (Full Time Equivalent)]]=0,"",DATA[[#This Row],[Other staff 1: Current 2021/22 Minimum hourly pay rate ADJUSTED]]*DATA[[#This Row],[Other staff 1: Numbers employed (Full Time Equivalent)]]),"")</calculatedColumnFormula>
    </tableColumn>
    <tableColumn id="399" name="Other staff 1: Current 2021/22 Maximum hourly pay rate ADJUSTED X FTE" dataDxfId="29">
      <calculatedColumnFormula>IFERROR(IF(DATA[[#This Row],[Other staff 1: Numbers employed (Full Time Equivalent)]]=0,"",DATA[[#This Row],[Other staff 1: Current 2021/22 Maximum hourly pay rate ADJUSTED]]*DATA[[#This Row],[Other staff 1: Numbers employed (Full Time Equivalent)]]),"")</calculatedColumnFormula>
    </tableColumn>
    <tableColumn id="400" name="Other staff 1: Previous 2020/21 Minimum hourly pay rate ADJUSTED X FTE" dataDxfId="28">
      <calculatedColumnFormula>IFERROR(IF(DATA[[#This Row],[Other staff 1: Numbers employed (Full Time Equivalent)]]=0,"",DATA[[#This Row],[Other staff 1: Previous 2020/21 Minimum hourly pay rate ADJUSTED]]*DATA[[#This Row],[Other staff 1: Numbers employed (Full Time Equivalent)]]),"")</calculatedColumnFormula>
    </tableColumn>
    <tableColumn id="401" name="Other staff 1: Previous 2020/21 Maximum hourly pay rate ADJUSTED X FTE" dataDxfId="27">
      <calculatedColumnFormula>IFERROR(IF(DATA[[#This Row],[Other staff 1: Numbers employed (Full Time Equivalent)]]=0,"",DATA[[#This Row],[Other staff 1: Previous 2020/21 Maximum hourly pay rate ADJUSTED]]*DATA[[#This Row],[Other staff 1: Numbers employed (Full Time Equivalent)]]),"")</calculatedColumnFormula>
    </tableColumn>
    <tableColumn id="402" name="Other staff 2: Current 2021/22 Minimum hourly pay rate ADJUSTED X FTE" dataDxfId="26">
      <calculatedColumnFormula>IFERROR(IF(DATA[[#This Row],[Other staff 2: Numbers employed (Full Time Equivalent)]]=0,"",DATA[[#This Row],[Other staff 2: Current 2021/22 Minimum hourly pay rate ADJUSTED]]*DATA[[#This Row],[Other staff 2: Numbers employed (Full Time Equivalent)]]),"")</calculatedColumnFormula>
    </tableColumn>
    <tableColumn id="403" name="Other staff 2: Current 2021/22 Maximum hourly pay rate ADJUSTED X FTE" dataDxfId="25">
      <calculatedColumnFormula>IFERROR(IF(DATA[[#This Row],[Other staff 2: Numbers employed (Full Time Equivalent)]]=0,"",DATA[[#This Row],[Other staff 2: Current 2021/22 Maximum hourly pay rate ADJUSTED]]*DATA[[#This Row],[Other staff 2: Numbers employed (Full Time Equivalent)]]),"")</calculatedColumnFormula>
    </tableColumn>
    <tableColumn id="404" name="Other staff 2: Previous 2020/21 Minimum hourly pay rate ADJUSTED X FTE" dataDxfId="24">
      <calculatedColumnFormula>IFERROR(IF(DATA[[#This Row],[Other staff 2: Numbers employed (Full Time Equivalent)]]=0,"",DATA[[#This Row],[Other staff 2: Previous 2020/21 Minimum hourly pay rate ADJUSTED]]*DATA[[#This Row],[Other staff 2: Numbers employed (Full Time Equivalent)]]),"")</calculatedColumnFormula>
    </tableColumn>
    <tableColumn id="405" name="Other staff 2: Previous 2020/21 Maximum hourly pay rate ADJUSTED X FTE" dataDxfId="23">
      <calculatedColumnFormula>IFERROR(IF(DATA[[#This Row],[Other staff 2: Numbers employed (Full Time Equivalent)]]=0,"",DATA[[#This Row],[Other staff 2: Previous 2020/21 Maximum hourly pay rate ADJUSTED]]*DATA[[#This Row],[Other staff 2: Numbers employed (Full Time Equivalent)]]),"")</calculatedColumnFormula>
    </tableColumn>
    <tableColumn id="406" name="Other staff 3: Current 2021/22 Minimum hourly pay rate ADJUSTED X FTE" dataDxfId="22">
      <calculatedColumnFormula>IFERROR(IF(DATA[[#This Row],[Other staff 3: Numbers employed (Full Time Equivalent)]]=0,"",DATA[[#This Row],[Other staff 3: Current 2021/22 Minimum hourly pay rate ADJUSTED]]*DATA[[#This Row],[Other staff 3: Numbers employed (Full Time Equivalent)]]),"")</calculatedColumnFormula>
    </tableColumn>
    <tableColumn id="407" name="Other staff 3: Current 2021/22 Maximum hourly pay rate ADJUSTED X FTE" dataDxfId="21">
      <calculatedColumnFormula>IFERROR(IF(DATA[[#This Row],[Other staff 3: Numbers employed (Full Time Equivalent)]]=0,"",DATA[[#This Row],[Other staff 3: Current 2021/22 Maximum hourly pay rate ADJUSTED]]*DATA[[#This Row],[Other staff 3: Numbers employed (Full Time Equivalent)]]),"")</calculatedColumnFormula>
    </tableColumn>
    <tableColumn id="408" name="Other staff 3: Previous 2020/21 Minimum hourly pay rate ADJUSTED X FTE" dataDxfId="20">
      <calculatedColumnFormula>IFERROR(IF(DATA[[#This Row],[Other staff 3: Numbers employed (Full Time Equivalent)]]=0,"",DATA[[#This Row],[Other staff 3: Previous 2020/21 Minimum hourly pay rate ADJUSTED]]*DATA[[#This Row],[Other staff 3: Numbers employed (Full Time Equivalent)]]),"")</calculatedColumnFormula>
    </tableColumn>
    <tableColumn id="409" name="Other staff 3: Previous 2020/21 Maximum hourly pay rate ADJUSTED X FTE" dataDxfId="19">
      <calculatedColumnFormula>IFERROR(IF(DATA[[#This Row],[Other staff 3: Numbers employed (Full Time Equivalent)]]=0,"",DATA[[#This Row],[Other staff 3: Previous 2020/21 Maximum hourly pay rate ADJUSTED]]*DATA[[#This Row],[Other staff 3: Numbers employed (Full Time Equivalent)]]),"")</calculatedColumnFormula>
    </tableColumn>
    <tableColumn id="490" name="Registered Manager  ADJUSTED &gt;0" dataDxfId="18">
      <calculatedColumnFormula>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calculatedColumnFormula>
    </tableColumn>
    <tableColumn id="491" name="Deputy Manager  ADJUSTED &gt;0" dataDxfId="17">
      <calculatedColumnFormula>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calculatedColumnFormula>
    </tableColumn>
    <tableColumn id="492" name="Other Manager 1  ADJUSTED &gt;0" dataDxfId="16">
      <calculatedColumnFormula>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calculatedColumnFormula>
    </tableColumn>
    <tableColumn id="493" name="Other Manager 2  ADJUSTED &gt;0" dataDxfId="15">
      <calculatedColumnFormula>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calculatedColumnFormula>
    </tableColumn>
    <tableColumn id="494" name="Other Manager 3  ADJUSTED &gt;0" dataDxfId="14">
      <calculatedColumnFormula>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calculatedColumnFormula>
    </tableColumn>
    <tableColumn id="495" name="Care Assistant 1  ADJUSTED &gt;0" dataDxfId="13">
      <calculatedColumnFormula>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calculatedColumnFormula>
    </tableColumn>
    <tableColumn id="496" name="Care Assistant 2  ADJUSTED &gt;0" dataDxfId="12">
      <calculatedColumnFormula>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calculatedColumnFormula>
    </tableColumn>
    <tableColumn id="497" name="Care Assistant 3  ADJUSTED &gt;0" dataDxfId="11">
      <calculatedColumnFormula>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calculatedColumnFormula>
    </tableColumn>
    <tableColumn id="498" name="Care Assistant 4  ADJUSTED &gt;0" dataDxfId="10">
      <calculatedColumnFormula>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calculatedColumnFormula>
    </tableColumn>
    <tableColumn id="499" name="Administrative Officer 1  ADJUSTED &gt;0" dataDxfId="9">
      <calculatedColumnFormula>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calculatedColumnFormula>
    </tableColumn>
    <tableColumn id="500" name="Administrative Officer 2  ADJUSTED &gt;0" dataDxfId="8">
      <calculatedColumnFormula>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calculatedColumnFormula>
    </tableColumn>
    <tableColumn id="504" name="Administrative Officer 3  ADJUSTED &gt;0" dataDxfId="7">
      <calculatedColumnFormula>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calculatedColumnFormula>
    </tableColumn>
    <tableColumn id="501" name="Other staff 1  ADJUSTED &gt;0" dataDxfId="6">
      <calculatedColumnFormula>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calculatedColumnFormula>
    </tableColumn>
    <tableColumn id="502" name="Other staff 2  ADJUSTED &gt;0" dataDxfId="5">
      <calculatedColumnFormula>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calculatedColumnFormula>
    </tableColumn>
    <tableColumn id="503" name="Other staff 3  ADJUSTED &gt;0" dataDxfId="4">
      <calculatedColumnFormula>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COST_GROUPS" displayName="COST_GROUPS" ref="A1:C36" totalsRowShown="0">
  <autoFilter ref="A1:C36"/>
  <tableColumns count="3">
    <tableColumn id="1" name="Cost Type"/>
    <tableColumn id="3" name="Cost Type 2" dataDxfId="3">
      <calculatedColumnFormula>"Average of " &amp; COST_GROUPS[[#This Row],[Cost Type]] &amp; " HOURLY RATE"</calculatedColumnFormula>
    </tableColumn>
    <tableColumn id="2" name="Cost Grouping"/>
  </tableColumns>
  <tableStyleInfo name="TableStyleMedium2" showFirstColumn="0" showLastColumn="0" showRowStripes="1" showColumnStripes="0"/>
</table>
</file>

<file path=xl/tables/table3.xml><?xml version="1.0" encoding="utf-8"?>
<table xmlns="http://schemas.openxmlformats.org/spreadsheetml/2006/main" id="4" name="MIN_WAGE_LEVELS" displayName="MIN_WAGE_LEVELS" ref="A10:D16" totalsRowShown="0">
  <autoFilter ref="A10:D16"/>
  <tableColumns count="4">
    <tableColumn id="1" name="Minimum Type"/>
    <tableColumn id="2" name="20/21" dataDxfId="2"/>
    <tableColumn id="3" name="21/22" dataDxfId="1"/>
    <tableColumn id="4" name="22/2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9" Type="http://schemas.openxmlformats.org/officeDocument/2006/relationships/pivotTable" Target="../pivotTables/pivotTable39.xml"/><Relationship Id="rId3" Type="http://schemas.openxmlformats.org/officeDocument/2006/relationships/pivotTable" Target="../pivotTables/pivotTable3.xml"/><Relationship Id="rId21" Type="http://schemas.openxmlformats.org/officeDocument/2006/relationships/pivotTable" Target="../pivotTables/pivotTable21.xml"/><Relationship Id="rId34" Type="http://schemas.openxmlformats.org/officeDocument/2006/relationships/pivotTable" Target="../pivotTables/pivotTable34.xml"/><Relationship Id="rId42" Type="http://schemas.openxmlformats.org/officeDocument/2006/relationships/pivotTable" Target="../pivotTables/pivotTable42.xml"/><Relationship Id="rId47" Type="http://schemas.openxmlformats.org/officeDocument/2006/relationships/printerSettings" Target="../printerSettings/printerSettings1.bin"/><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46" Type="http://schemas.openxmlformats.org/officeDocument/2006/relationships/pivotTable" Target="../pivotTables/pivotTable46.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41" Type="http://schemas.openxmlformats.org/officeDocument/2006/relationships/pivotTable" Target="../pivotTables/pivotTable41.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pivotTable" Target="../pivotTables/pivotTable37.xml"/><Relationship Id="rId40" Type="http://schemas.openxmlformats.org/officeDocument/2006/relationships/pivotTable" Target="../pivotTables/pivotTable40.xml"/><Relationship Id="rId45" Type="http://schemas.openxmlformats.org/officeDocument/2006/relationships/pivotTable" Target="../pivotTables/pivotTable45.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49" Type="http://schemas.microsoft.com/office/2007/relationships/slicer" Target="../slicers/slicer1.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4" Type="http://schemas.openxmlformats.org/officeDocument/2006/relationships/pivotTable" Target="../pivotTables/pivotTable44.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 Id="rId43" Type="http://schemas.openxmlformats.org/officeDocument/2006/relationships/pivotTable" Target="../pivotTables/pivotTable43.xml"/><Relationship Id="rId48" Type="http://schemas.openxmlformats.org/officeDocument/2006/relationships/drawing" Target="../drawings/drawing1.xml"/><Relationship Id="rId8" Type="http://schemas.openxmlformats.org/officeDocument/2006/relationships/pivotTable" Target="../pivotTables/pivotTable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M220"/>
  <sheetViews>
    <sheetView showGridLines="0" tabSelected="1" topLeftCell="CG37" zoomScaleNormal="100" workbookViewId="0">
      <selection activeCell="CG37" sqref="CG37"/>
    </sheetView>
  </sheetViews>
  <sheetFormatPr defaultColWidth="8.7109375" defaultRowHeight="15" x14ac:dyDescent="0.25"/>
  <cols>
    <col min="1" max="22" width="8.7109375" style="36"/>
    <col min="23" max="23" width="24.5703125" style="36" customWidth="1"/>
    <col min="24" max="24" width="11.140625" style="36" customWidth="1"/>
    <col min="25" max="25" width="10.42578125" style="36" bestFit="1" customWidth="1"/>
    <col min="26" max="26" width="20.140625" style="36" customWidth="1"/>
    <col min="27" max="28" width="15" style="36" customWidth="1"/>
    <col min="29" max="29" width="4.42578125" style="36" customWidth="1"/>
    <col min="30" max="30" width="26" style="36" hidden="1" customWidth="1"/>
    <col min="31" max="31" width="41.42578125" style="36" hidden="1" customWidth="1"/>
    <col min="32" max="32" width="38" style="36" hidden="1" customWidth="1"/>
    <col min="33" max="33" width="37.7109375" style="36" hidden="1" customWidth="1"/>
    <col min="34" max="34" width="7.42578125" style="36" hidden="1" customWidth="1"/>
    <col min="35" max="35" width="19.85546875" style="36" bestFit="1" customWidth="1"/>
    <col min="36" max="38" width="7.5703125" style="36" customWidth="1"/>
    <col min="39" max="39" width="19.85546875" style="36" customWidth="1"/>
    <col min="40" max="40" width="19" style="36" customWidth="1"/>
    <col min="41" max="41" width="79.140625" style="36" hidden="1" customWidth="1"/>
    <col min="42" max="42" width="11.85546875" style="36" hidden="1" customWidth="1"/>
    <col min="43" max="43" width="79.42578125" style="36" hidden="1" customWidth="1"/>
    <col min="44" max="44" width="11.85546875" style="36" hidden="1" customWidth="1"/>
    <col min="45" max="45" width="78.42578125" style="36" hidden="1" customWidth="1"/>
    <col min="46" max="46" width="11.85546875" style="36" hidden="1" customWidth="1"/>
    <col min="47" max="47" width="78.7109375" style="36" hidden="1" customWidth="1"/>
    <col min="48" max="48" width="11.85546875" style="36" hidden="1" customWidth="1"/>
    <col min="49" max="49" width="39.28515625" style="36" hidden="1" customWidth="1"/>
    <col min="50" max="50" width="11.85546875" style="36" hidden="1" customWidth="1"/>
    <col min="51" max="51" width="21.5703125" style="36" bestFit="1" customWidth="1"/>
    <col min="52" max="52" width="11.85546875" style="36" customWidth="1"/>
    <col min="53" max="55" width="13.85546875" style="36" customWidth="1"/>
    <col min="56" max="56" width="23.42578125" style="36" customWidth="1"/>
    <col min="57" max="57" width="13.85546875" style="36" customWidth="1"/>
    <col min="58" max="58" width="14.5703125" style="41" customWidth="1"/>
    <col min="59" max="59" width="57.85546875" style="36" hidden="1" customWidth="1"/>
    <col min="60" max="60" width="29.28515625" style="40" hidden="1" customWidth="1"/>
    <col min="61" max="61" width="15.5703125" style="40" hidden="1" customWidth="1"/>
    <col min="62" max="62" width="29" style="40" hidden="1" customWidth="1"/>
    <col min="63" max="63" width="14.5703125" style="40" customWidth="1"/>
    <col min="64" max="64" width="57.140625" style="40" hidden="1" customWidth="1"/>
    <col min="65" max="65" width="28.42578125" style="40" hidden="1" customWidth="1"/>
    <col min="66" max="66" width="15.7109375" style="40" hidden="1" customWidth="1"/>
    <col min="67" max="67" width="36.85546875" style="40" customWidth="1"/>
    <col min="68" max="68" width="11.85546875" style="36" bestFit="1" customWidth="1"/>
    <col min="69" max="69" width="7.42578125" style="41" bestFit="1" customWidth="1"/>
    <col min="70" max="70" width="11.140625" style="36" customWidth="1"/>
    <col min="71" max="71" width="10.5703125" style="41" customWidth="1"/>
    <col min="72" max="72" width="14" style="36" bestFit="1" customWidth="1"/>
    <col min="73" max="73" width="16.85546875" style="36" customWidth="1"/>
    <col min="74" max="74" width="16.85546875" style="36" hidden="1" customWidth="1"/>
    <col min="75" max="75" width="3.85546875" style="36" customWidth="1"/>
    <col min="76" max="76" width="51.85546875" style="36" customWidth="1"/>
    <col min="77" max="77" width="9" style="204" customWidth="1"/>
    <col min="78" max="78" width="7.85546875" style="36" customWidth="1"/>
    <col min="79" max="79" width="3.85546875" style="36" customWidth="1"/>
    <col min="80" max="80" width="21.7109375" style="36" customWidth="1"/>
    <col min="81" max="81" width="41.42578125" style="36" bestFit="1" customWidth="1"/>
    <col min="82" max="82" width="6.42578125" style="40" bestFit="1" customWidth="1"/>
    <col min="83" max="83" width="20.42578125" style="36" customWidth="1"/>
    <col min="84" max="84" width="15.85546875" style="36" customWidth="1"/>
    <col min="85" max="85" width="52.85546875" style="36" customWidth="1"/>
    <col min="86" max="86" width="11.85546875" style="40" customWidth="1"/>
    <col min="87" max="87" width="14.42578125" style="40" customWidth="1"/>
    <col min="88" max="88" width="12.85546875" style="36" customWidth="1"/>
    <col min="89" max="89" width="34.85546875" style="36" bestFit="1" customWidth="1"/>
    <col min="90" max="90" width="14" style="36" customWidth="1"/>
    <col min="91" max="91" width="40.42578125" style="36" customWidth="1"/>
    <col min="92" max="92" width="13.140625" style="36" bestFit="1" customWidth="1"/>
    <col min="93" max="93" width="14.7109375" style="36" bestFit="1" customWidth="1"/>
    <col min="94" max="94" width="22.140625" style="36" bestFit="1" customWidth="1"/>
    <col min="95" max="95" width="9.42578125" style="36" bestFit="1" customWidth="1"/>
    <col min="96" max="96" width="20.85546875" style="36" bestFit="1" customWidth="1"/>
    <col min="97" max="97" width="17.5703125" style="36" bestFit="1" customWidth="1"/>
    <col min="98" max="98" width="15.140625" style="36" bestFit="1" customWidth="1"/>
    <col min="99" max="99" width="21.5703125" style="36" bestFit="1" customWidth="1"/>
    <col min="100" max="100" width="26.7109375" style="36" bestFit="1" customWidth="1"/>
    <col min="101" max="101" width="27.85546875" style="36" bestFit="1" customWidth="1"/>
    <col min="102" max="102" width="16.85546875" style="36" bestFit="1" customWidth="1"/>
    <col min="103" max="103" width="24.140625" style="36" bestFit="1" customWidth="1"/>
    <col min="104" max="104" width="17.42578125" style="36" bestFit="1" customWidth="1"/>
    <col min="105" max="105" width="19.140625" style="36" bestFit="1" customWidth="1"/>
    <col min="106" max="106" width="14.42578125" style="36" bestFit="1" customWidth="1"/>
    <col min="107" max="107" width="11" style="36" bestFit="1" customWidth="1"/>
    <col min="108" max="108" width="11.140625" style="36" bestFit="1" customWidth="1"/>
    <col min="109" max="109" width="21.5703125" style="36" bestFit="1" customWidth="1"/>
    <col min="110" max="110" width="27.5703125" style="36" bestFit="1" customWidth="1"/>
    <col min="111" max="111" width="11.5703125" style="36" bestFit="1" customWidth="1"/>
    <col min="112" max="112" width="22.42578125" style="36" bestFit="1" customWidth="1"/>
    <col min="113" max="113" width="15.85546875" style="36" bestFit="1" customWidth="1"/>
    <col min="114" max="114" width="18.5703125" style="36" bestFit="1" customWidth="1"/>
    <col min="115" max="115" width="14.5703125" style="36" bestFit="1" customWidth="1"/>
    <col min="116" max="116" width="15.140625" style="36" bestFit="1" customWidth="1"/>
    <col min="117" max="117" width="45.85546875" style="36" bestFit="1" customWidth="1"/>
    <col min="118" max="118" width="19.140625" style="36" bestFit="1" customWidth="1"/>
    <col min="119" max="119" width="17.85546875" style="36" bestFit="1" customWidth="1"/>
    <col min="120" max="120" width="13.42578125" style="36" bestFit="1" customWidth="1"/>
    <col min="121" max="121" width="37.42578125" style="36" bestFit="1" customWidth="1"/>
    <col min="122" max="122" width="10.140625" style="36" bestFit="1" customWidth="1"/>
    <col min="123" max="123" width="14.140625" style="36" bestFit="1" customWidth="1"/>
    <col min="124" max="124" width="10.7109375" style="36" bestFit="1" customWidth="1"/>
    <col min="125" max="16384" width="8.7109375" style="36"/>
  </cols>
  <sheetData>
    <row r="1" spans="2:91" ht="15.75" thickBot="1" x14ac:dyDescent="0.3">
      <c r="W1" s="37" t="s">
        <v>1298</v>
      </c>
      <c r="AC1" s="38"/>
      <c r="AD1" s="38"/>
      <c r="AE1" s="39"/>
      <c r="AF1" s="38"/>
      <c r="AG1" s="38"/>
      <c r="AH1" s="38"/>
      <c r="AI1" s="39" t="s">
        <v>818</v>
      </c>
      <c r="AJ1" s="38"/>
      <c r="AK1" s="38"/>
      <c r="AL1" s="38"/>
      <c r="AM1" s="38"/>
      <c r="AN1" s="38"/>
      <c r="AY1" s="42" t="s">
        <v>1199</v>
      </c>
      <c r="AZ1" s="43"/>
      <c r="BA1" s="43"/>
      <c r="BB1" s="43"/>
      <c r="BC1" s="43"/>
      <c r="BD1" s="43"/>
      <c r="BE1" s="39" t="s">
        <v>1207</v>
      </c>
      <c r="BF1" s="44"/>
      <c r="BG1" s="38"/>
      <c r="BH1" s="45"/>
      <c r="BI1" s="45"/>
      <c r="BJ1" s="45"/>
      <c r="BK1" s="45"/>
      <c r="BL1" s="45"/>
      <c r="BM1" s="45"/>
      <c r="BN1" s="45"/>
      <c r="BO1" s="45"/>
      <c r="BP1" s="37" t="s">
        <v>902</v>
      </c>
      <c r="BV1" s="41" t="s">
        <v>975</v>
      </c>
      <c r="BX1" s="39" t="s">
        <v>907</v>
      </c>
      <c r="BY1" s="46"/>
      <c r="BZ1" s="38"/>
      <c r="CA1" s="38"/>
      <c r="CB1" s="38"/>
      <c r="CC1" s="37" t="s">
        <v>998</v>
      </c>
      <c r="CG1" s="39" t="s">
        <v>967</v>
      </c>
      <c r="CH1" s="45"/>
      <c r="CI1" s="45"/>
      <c r="CJ1" s="38"/>
      <c r="CK1" s="38"/>
      <c r="CL1" s="38"/>
      <c r="CM1" s="38"/>
    </row>
    <row r="2" spans="2:91" ht="17.25" thickBot="1" x14ac:dyDescent="0.35">
      <c r="B2" s="205" t="s">
        <v>1204</v>
      </c>
      <c r="AC2" s="38"/>
      <c r="AD2" s="39"/>
      <c r="AE2" s="38"/>
      <c r="AF2" s="38"/>
      <c r="AG2" s="38"/>
      <c r="AH2" s="38"/>
      <c r="AI2" s="38"/>
      <c r="AJ2" s="38"/>
      <c r="AK2" s="38"/>
      <c r="AL2" s="38"/>
      <c r="AM2" s="38"/>
      <c r="AN2" s="38"/>
      <c r="AY2" s="48" t="s">
        <v>1200</v>
      </c>
      <c r="AZ2" s="43"/>
      <c r="BA2" s="43"/>
      <c r="BB2" s="43"/>
      <c r="BC2" s="43"/>
      <c r="BD2" s="43"/>
      <c r="BE2" s="49"/>
      <c r="BF2" s="50"/>
      <c r="BG2" s="49"/>
      <c r="BH2" s="51"/>
      <c r="BI2" s="51"/>
      <c r="BJ2" s="51"/>
      <c r="BK2" s="51"/>
      <c r="BL2" s="51"/>
      <c r="BM2" s="51"/>
      <c r="BN2" s="51"/>
      <c r="BO2" s="45"/>
      <c r="BV2" s="52">
        <v>0.83</v>
      </c>
      <c r="BX2" s="39"/>
      <c r="BY2" s="46"/>
      <c r="BZ2" s="38"/>
      <c r="CA2" s="38"/>
      <c r="CB2" s="38"/>
      <c r="CG2" s="53" t="s">
        <v>734</v>
      </c>
      <c r="CH2" s="54" t="s">
        <v>753</v>
      </c>
      <c r="CI2" s="45"/>
      <c r="CJ2" s="38"/>
      <c r="CK2" s="38"/>
      <c r="CL2" s="38"/>
      <c r="CM2" s="38"/>
    </row>
    <row r="3" spans="2:91" ht="15.75" thickBot="1" x14ac:dyDescent="0.3">
      <c r="W3" s="55" t="s">
        <v>713</v>
      </c>
      <c r="X3" s="36" t="s">
        <v>1202</v>
      </c>
      <c r="Y3" s="36" t="s">
        <v>796</v>
      </c>
      <c r="AC3" s="38"/>
      <c r="AD3" s="38"/>
      <c r="AE3" s="38" t="s">
        <v>821</v>
      </c>
      <c r="AF3" s="38" t="s">
        <v>753</v>
      </c>
      <c r="AG3" s="38" t="s">
        <v>821</v>
      </c>
      <c r="AH3" s="38" t="s">
        <v>753</v>
      </c>
      <c r="AI3" s="56" t="s">
        <v>819</v>
      </c>
      <c r="AJ3" s="57" t="s">
        <v>509</v>
      </c>
      <c r="AK3" s="58" t="s">
        <v>830</v>
      </c>
      <c r="AL3" s="59" t="s">
        <v>831</v>
      </c>
      <c r="AM3" s="38"/>
      <c r="AN3" s="38"/>
      <c r="AY3" s="43"/>
      <c r="AZ3" s="43"/>
      <c r="BA3" s="43"/>
      <c r="BB3" s="43"/>
      <c r="BC3" s="43"/>
      <c r="BD3" s="63"/>
      <c r="BE3" s="64" t="s">
        <v>896</v>
      </c>
      <c r="BF3" s="64" t="s">
        <v>897</v>
      </c>
      <c r="BG3" s="64"/>
      <c r="BH3" s="64" t="s">
        <v>898</v>
      </c>
      <c r="BI3" s="65" t="s">
        <v>1004</v>
      </c>
      <c r="BJ3" s="66" t="s">
        <v>896</v>
      </c>
      <c r="BK3" s="64" t="s">
        <v>897</v>
      </c>
      <c r="BL3" s="64"/>
      <c r="BM3" s="64" t="s">
        <v>898</v>
      </c>
      <c r="BN3" s="65" t="s">
        <v>1004</v>
      </c>
      <c r="BO3" s="67"/>
      <c r="BP3" s="68" t="s">
        <v>905</v>
      </c>
      <c r="BQ3" s="68" t="s">
        <v>509</v>
      </c>
      <c r="BR3" s="68" t="s">
        <v>796</v>
      </c>
      <c r="BS3" s="69" t="s">
        <v>906</v>
      </c>
      <c r="BX3" s="70" t="s">
        <v>908</v>
      </c>
      <c r="BY3" s="71" t="s">
        <v>937</v>
      </c>
      <c r="BZ3" s="72" t="s">
        <v>909</v>
      </c>
      <c r="CA3" s="38"/>
      <c r="CB3" s="38"/>
      <c r="CG3" s="73" t="s">
        <v>770</v>
      </c>
      <c r="CH3" s="74" t="s">
        <v>981</v>
      </c>
      <c r="CI3" s="45"/>
      <c r="CJ3" s="38"/>
      <c r="CK3" s="38"/>
      <c r="CL3" s="38"/>
      <c r="CM3" s="38"/>
    </row>
    <row r="4" spans="2:91" ht="15.75" thickBot="1" x14ac:dyDescent="0.3">
      <c r="B4" s="205" t="s">
        <v>1205</v>
      </c>
      <c r="W4" s="75" t="s">
        <v>345</v>
      </c>
      <c r="X4" s="76">
        <v>62</v>
      </c>
      <c r="Y4" s="52">
        <v>0.75609756097560976</v>
      </c>
      <c r="AC4" s="38"/>
      <c r="AD4" s="38"/>
      <c r="AE4" s="38"/>
      <c r="AF4" s="38"/>
      <c r="AG4" s="38"/>
      <c r="AH4" s="38"/>
      <c r="AI4" s="77" t="s">
        <v>265</v>
      </c>
      <c r="AJ4" s="78">
        <f>IFERROR(AD6,"")</f>
        <v>2284</v>
      </c>
      <c r="AK4" s="79">
        <f>IFERROR(AE6,"")</f>
        <v>44.784313725490193</v>
      </c>
      <c r="AL4" s="80">
        <f>IFERROR(AF6-AG6,"")</f>
        <v>299</v>
      </c>
      <c r="AM4" s="38"/>
      <c r="AN4" s="38"/>
      <c r="AY4" s="81"/>
      <c r="AZ4" s="82" t="s">
        <v>846</v>
      </c>
      <c r="BA4" s="83"/>
      <c r="BB4" s="82" t="s">
        <v>847</v>
      </c>
      <c r="BC4" s="84"/>
      <c r="BD4" s="63"/>
      <c r="BE4" s="85" t="s">
        <v>851</v>
      </c>
      <c r="BF4" s="86"/>
      <c r="BG4" s="87" t="s">
        <v>793</v>
      </c>
      <c r="BH4" s="88"/>
      <c r="BI4" s="89" t="s">
        <v>1005</v>
      </c>
      <c r="BJ4" s="85" t="s">
        <v>851</v>
      </c>
      <c r="BK4" s="86"/>
      <c r="BL4" s="87" t="s">
        <v>793</v>
      </c>
      <c r="BM4" s="88"/>
      <c r="BN4" s="89" t="s">
        <v>1064</v>
      </c>
      <c r="BO4" s="67"/>
      <c r="BP4" s="55" t="s">
        <v>851</v>
      </c>
      <c r="BR4" s="90"/>
      <c r="BS4" s="90"/>
      <c r="BV4" s="41" t="s">
        <v>976</v>
      </c>
      <c r="BX4" s="53" t="s">
        <v>793</v>
      </c>
      <c r="BY4" s="91"/>
      <c r="BZ4" s="92"/>
      <c r="CA4" s="38"/>
      <c r="CB4" s="38"/>
      <c r="CC4" s="55" t="s">
        <v>793</v>
      </c>
      <c r="CG4" s="53" t="s">
        <v>851</v>
      </c>
      <c r="CH4" s="93"/>
      <c r="CI4" s="45"/>
      <c r="CJ4" s="38"/>
      <c r="CK4" s="38"/>
      <c r="CL4" s="38"/>
      <c r="CM4" s="38"/>
    </row>
    <row r="5" spans="2:91" ht="17.25" thickBot="1" x14ac:dyDescent="0.35">
      <c r="W5" s="75" t="s">
        <v>364</v>
      </c>
      <c r="X5" s="76">
        <v>8</v>
      </c>
      <c r="Y5" s="52">
        <v>9.7560975609756101E-2</v>
      </c>
      <c r="AC5" s="38"/>
      <c r="AD5" s="38" t="s">
        <v>825</v>
      </c>
      <c r="AE5" s="44" t="s">
        <v>826</v>
      </c>
      <c r="AF5" s="44" t="s">
        <v>827</v>
      </c>
      <c r="AG5" s="44" t="s">
        <v>828</v>
      </c>
      <c r="AH5" s="38"/>
      <c r="AI5" s="94" t="s">
        <v>272</v>
      </c>
      <c r="AJ5" s="95">
        <f>IFERROR(AD11,"")</f>
        <v>826</v>
      </c>
      <c r="AK5" s="96">
        <f>AE11</f>
        <v>19.209302325581394</v>
      </c>
      <c r="AL5" s="97">
        <f>IFERROR(AF11-AG11,"")</f>
        <v>96</v>
      </c>
      <c r="AM5" s="38"/>
      <c r="AN5" s="38"/>
      <c r="AO5" s="55" t="s">
        <v>793</v>
      </c>
      <c r="AQ5" s="55" t="s">
        <v>793</v>
      </c>
      <c r="AS5" s="55" t="s">
        <v>793</v>
      </c>
      <c r="AU5" s="55" t="s">
        <v>793</v>
      </c>
      <c r="AW5" s="55" t="s">
        <v>793</v>
      </c>
      <c r="AY5" s="98" t="s">
        <v>896</v>
      </c>
      <c r="AZ5" s="99" t="s">
        <v>850</v>
      </c>
      <c r="BA5" s="100" t="s">
        <v>849</v>
      </c>
      <c r="BB5" s="99" t="s">
        <v>850</v>
      </c>
      <c r="BC5" s="92" t="s">
        <v>849</v>
      </c>
      <c r="BD5" s="63"/>
      <c r="BE5" s="101" t="s">
        <v>1067</v>
      </c>
      <c r="BF5" s="102">
        <v>1</v>
      </c>
      <c r="BG5" s="103" t="s">
        <v>910</v>
      </c>
      <c r="BH5" s="104">
        <v>0.30000000000000071</v>
      </c>
      <c r="BI5" s="104">
        <f>IFERROR(SUM(BH5/BF5),"")</f>
        <v>0.30000000000000071</v>
      </c>
      <c r="BJ5" s="105" t="s">
        <v>1050</v>
      </c>
      <c r="BK5" s="102">
        <v>1</v>
      </c>
      <c r="BL5" s="105" t="s">
        <v>1036</v>
      </c>
      <c r="BM5" s="104">
        <v>0.70000000000000107</v>
      </c>
      <c r="BN5" s="104">
        <f>IFERROR(SUM(BM5/BK5),"")</f>
        <v>0.70000000000000107</v>
      </c>
      <c r="BO5" s="67"/>
      <c r="BP5" s="75" t="s">
        <v>852</v>
      </c>
      <c r="BQ5" s="41">
        <v>310.13117117117105</v>
      </c>
      <c r="BR5" s="52">
        <f>IF(BQ5="","",BQ5/$BQ$9)</f>
        <v>8.0991432747652872E-2</v>
      </c>
      <c r="BS5" s="41">
        <f>BQ5/BQ13</f>
        <v>3.7820874533069642</v>
      </c>
      <c r="BV5" s="52">
        <v>6.0000000000000001E-3</v>
      </c>
      <c r="BX5" s="106" t="s">
        <v>911</v>
      </c>
      <c r="BY5" s="107">
        <v>22587.4</v>
      </c>
      <c r="BZ5" s="108">
        <f>BY5/$BY$17</f>
        <v>0.18482815753557655</v>
      </c>
      <c r="CA5" s="38"/>
      <c r="CB5" s="38"/>
      <c r="CC5" s="75" t="s">
        <v>999</v>
      </c>
      <c r="CD5" s="40">
        <v>12.020864197530869</v>
      </c>
      <c r="CG5" s="106" t="s">
        <v>939</v>
      </c>
      <c r="CH5" s="109">
        <v>1.3538088375494073</v>
      </c>
      <c r="CI5" s="45"/>
      <c r="CJ5" s="38"/>
      <c r="CK5" s="38"/>
      <c r="CL5" s="38"/>
      <c r="CM5" s="38"/>
    </row>
    <row r="6" spans="2:91" ht="16.5" x14ac:dyDescent="0.3">
      <c r="B6" s="37" t="s">
        <v>1068</v>
      </c>
      <c r="W6" s="75" t="s">
        <v>327</v>
      </c>
      <c r="X6" s="76">
        <v>5</v>
      </c>
      <c r="Y6" s="52">
        <v>6.097560975609756E-2</v>
      </c>
      <c r="AC6" s="38"/>
      <c r="AD6" s="110">
        <v>2284</v>
      </c>
      <c r="AE6" s="44">
        <v>44.784313725490193</v>
      </c>
      <c r="AF6" s="44">
        <v>300</v>
      </c>
      <c r="AG6" s="44">
        <v>1</v>
      </c>
      <c r="AH6" s="38"/>
      <c r="AI6" s="38"/>
      <c r="AJ6" s="38"/>
      <c r="AK6" s="38"/>
      <c r="AL6" s="38"/>
      <c r="AM6" s="38"/>
      <c r="AN6" s="38"/>
      <c r="AO6" s="75" t="s">
        <v>1129</v>
      </c>
      <c r="AP6" s="76">
        <v>1877.6947880000007</v>
      </c>
      <c r="AQ6" s="75" t="s">
        <v>1144</v>
      </c>
      <c r="AR6" s="76">
        <v>1933.5747880000006</v>
      </c>
      <c r="AS6" s="75" t="s">
        <v>1159</v>
      </c>
      <c r="AT6" s="76">
        <v>1985.7113000000004</v>
      </c>
      <c r="AU6" s="75" t="s">
        <v>1174</v>
      </c>
      <c r="AV6" s="76">
        <v>2044.2991000000002</v>
      </c>
      <c r="AW6" s="75" t="s">
        <v>1282</v>
      </c>
      <c r="AX6" s="76">
        <v>113.73</v>
      </c>
      <c r="AY6" s="111" t="s">
        <v>11</v>
      </c>
      <c r="AZ6" s="112">
        <f>IFERROR(AP6/$AX6,"")</f>
        <v>16.510109803921573</v>
      </c>
      <c r="BA6" s="112">
        <f t="shared" ref="BA6:BA20" si="0">IFERROR(AR6/$AX6,"")</f>
        <v>17.001448940473054</v>
      </c>
      <c r="BB6" s="112">
        <f t="shared" ref="BB6:BB20" si="1">IFERROR(AT6/$AX6,"")</f>
        <v>17.459872505055838</v>
      </c>
      <c r="BC6" s="113">
        <f t="shared" ref="BC6:BC20" si="2">IFERROR(AV6/$AX6,"")</f>
        <v>17.975020662973712</v>
      </c>
      <c r="BD6" s="63"/>
      <c r="BE6" s="103" t="s">
        <v>366</v>
      </c>
      <c r="BF6" s="114">
        <v>3</v>
      </c>
      <c r="BG6" s="103" t="s">
        <v>912</v>
      </c>
      <c r="BH6" s="115">
        <v>0.80000000000000071</v>
      </c>
      <c r="BI6" s="115">
        <f t="shared" ref="BI6:BI18" si="3">IFERROR(SUM(BH6/BF6),"")</f>
        <v>0.26666666666666689</v>
      </c>
      <c r="BJ6" s="105" t="s">
        <v>1051</v>
      </c>
      <c r="BK6" s="114">
        <v>3</v>
      </c>
      <c r="BL6" s="105" t="s">
        <v>1037</v>
      </c>
      <c r="BM6" s="115">
        <v>2.0000000000000018</v>
      </c>
      <c r="BN6" s="115">
        <f t="shared" ref="BN6:BN18" si="4">IFERROR(SUM(BM6/BK6),"")</f>
        <v>0.6666666666666673</v>
      </c>
      <c r="BO6" s="67"/>
      <c r="BP6" s="75" t="s">
        <v>853</v>
      </c>
      <c r="BQ6" s="41">
        <v>3280.7029163449165</v>
      </c>
      <c r="BR6" s="52">
        <f t="shared" ref="BR6:BR8" si="5">IF(BQ6="","",BQ6/$BQ$9)</f>
        <v>0.85676273239727008</v>
      </c>
      <c r="BS6" s="41">
        <f t="shared" ref="BS6:BS8" si="6">BQ6/BQ14</f>
        <v>40.008572150547764</v>
      </c>
      <c r="BX6" s="116" t="s">
        <v>913</v>
      </c>
      <c r="BY6" s="117">
        <v>10202.85</v>
      </c>
      <c r="BZ6" s="118">
        <f t="shared" ref="BZ6:BZ16" si="7">BY6/$BY$17</f>
        <v>8.3487872314292805E-2</v>
      </c>
      <c r="CA6" s="38"/>
      <c r="CB6" s="38"/>
      <c r="CC6" s="75" t="s">
        <v>1000</v>
      </c>
      <c r="CD6" s="40">
        <v>9.7296296296296347</v>
      </c>
      <c r="CG6" s="116" t="s">
        <v>940</v>
      </c>
      <c r="CH6" s="119">
        <v>8.9098091629957139</v>
      </c>
      <c r="CI6" s="45"/>
      <c r="CJ6" s="38"/>
      <c r="CK6" s="38"/>
      <c r="CL6" s="38"/>
      <c r="CM6" s="38"/>
    </row>
    <row r="7" spans="2:91" ht="16.5" x14ac:dyDescent="0.3">
      <c r="W7" s="75" t="s">
        <v>449</v>
      </c>
      <c r="X7" s="76">
        <v>2</v>
      </c>
      <c r="Y7" s="52">
        <v>2.4390243902439025E-2</v>
      </c>
      <c r="AC7" s="38"/>
      <c r="AD7" s="38"/>
      <c r="AE7" s="38"/>
      <c r="AF7" s="38"/>
      <c r="AG7" s="38"/>
      <c r="AH7" s="38"/>
      <c r="AI7" s="39" t="s">
        <v>840</v>
      </c>
      <c r="AJ7" s="38"/>
      <c r="AK7" s="38"/>
      <c r="AL7" s="38"/>
      <c r="AM7" s="38"/>
      <c r="AN7" s="38"/>
      <c r="AO7" s="75" t="s">
        <v>1130</v>
      </c>
      <c r="AP7" s="76">
        <v>931.22429999999997</v>
      </c>
      <c r="AQ7" s="75" t="s">
        <v>1145</v>
      </c>
      <c r="AR7" s="76">
        <v>920.54070000000002</v>
      </c>
      <c r="AS7" s="75" t="s">
        <v>1160</v>
      </c>
      <c r="AT7" s="76">
        <v>954.35510000000011</v>
      </c>
      <c r="AU7" s="75" t="s">
        <v>1175</v>
      </c>
      <c r="AV7" s="76">
        <v>943.88829999999984</v>
      </c>
      <c r="AW7" s="75" t="s">
        <v>1283</v>
      </c>
      <c r="AX7" s="76">
        <v>62.2</v>
      </c>
      <c r="AY7" s="120" t="s">
        <v>12</v>
      </c>
      <c r="AZ7" s="121">
        <f t="shared" ref="AZ7:AZ20" si="8">IFERROR(AP7/$AX7,"")</f>
        <v>14.971451768488745</v>
      </c>
      <c r="BA7" s="121">
        <f t="shared" si="0"/>
        <v>14.799689710610933</v>
      </c>
      <c r="BB7" s="121">
        <f t="shared" si="1"/>
        <v>15.34332958199357</v>
      </c>
      <c r="BC7" s="122">
        <f t="shared" si="2"/>
        <v>15.175053054662376</v>
      </c>
      <c r="BD7" s="63"/>
      <c r="BE7" s="103" t="s">
        <v>885</v>
      </c>
      <c r="BF7" s="114">
        <v>3</v>
      </c>
      <c r="BG7" s="103" t="s">
        <v>914</v>
      </c>
      <c r="BH7" s="115">
        <v>0.94500000000000028</v>
      </c>
      <c r="BI7" s="115">
        <f t="shared" si="3"/>
        <v>0.31500000000000011</v>
      </c>
      <c r="BJ7" s="105" t="s">
        <v>1052</v>
      </c>
      <c r="BK7" s="114">
        <v>10</v>
      </c>
      <c r="BL7" s="105" t="s">
        <v>1038</v>
      </c>
      <c r="BM7" s="115">
        <v>4.355000000000004</v>
      </c>
      <c r="BN7" s="115">
        <f t="shared" si="4"/>
        <v>0.43550000000000039</v>
      </c>
      <c r="BO7" s="67"/>
      <c r="BP7" s="75" t="s">
        <v>854</v>
      </c>
      <c r="BQ7" s="41">
        <v>160.42081081081079</v>
      </c>
      <c r="BR7" s="52">
        <f t="shared" si="5"/>
        <v>4.1894245138411598E-2</v>
      </c>
      <c r="BS7" s="41">
        <f t="shared" si="6"/>
        <v>1.9563513513513511</v>
      </c>
      <c r="BX7" s="116" t="s">
        <v>915</v>
      </c>
      <c r="BY7" s="117">
        <v>10366.15</v>
      </c>
      <c r="BZ7" s="118">
        <f t="shared" si="7"/>
        <v>8.4824123415595282E-2</v>
      </c>
      <c r="CA7" s="38"/>
      <c r="CB7" s="38"/>
      <c r="CC7" s="75" t="s">
        <v>1001</v>
      </c>
      <c r="CD7" s="40">
        <v>10.887616049382716</v>
      </c>
      <c r="CG7" s="116" t="s">
        <v>941</v>
      </c>
      <c r="CH7" s="119">
        <v>0.31595152604884597</v>
      </c>
      <c r="CI7" s="45"/>
      <c r="CJ7" s="38"/>
      <c r="CK7" s="38"/>
      <c r="CL7" s="38"/>
      <c r="CM7" s="38"/>
    </row>
    <row r="8" spans="2:91" ht="17.25" thickBot="1" x14ac:dyDescent="0.35">
      <c r="W8" s="75" t="s">
        <v>647</v>
      </c>
      <c r="X8" s="76">
        <v>2</v>
      </c>
      <c r="Y8" s="52">
        <v>2.4390243902439025E-2</v>
      </c>
      <c r="AC8" s="38"/>
      <c r="AD8" s="39"/>
      <c r="AE8" s="38" t="s">
        <v>822</v>
      </c>
      <c r="AF8" s="38" t="s">
        <v>753</v>
      </c>
      <c r="AG8" s="38" t="s">
        <v>822</v>
      </c>
      <c r="AH8" s="38" t="s">
        <v>753</v>
      </c>
      <c r="AI8" s="38"/>
      <c r="AJ8" s="38"/>
      <c r="AK8" s="38"/>
      <c r="AL8" s="38"/>
      <c r="AM8" s="38"/>
      <c r="AN8" s="38"/>
      <c r="AO8" s="75" t="s">
        <v>1131</v>
      </c>
      <c r="AP8" s="76">
        <v>977.15792540540565</v>
      </c>
      <c r="AQ8" s="75" t="s">
        <v>1146</v>
      </c>
      <c r="AR8" s="76">
        <v>993.79272540540546</v>
      </c>
      <c r="AS8" s="75" t="s">
        <v>1161</v>
      </c>
      <c r="AT8" s="76">
        <v>1006.2861945945948</v>
      </c>
      <c r="AU8" s="75" t="s">
        <v>1176</v>
      </c>
      <c r="AV8" s="76">
        <v>1025.8449945945945</v>
      </c>
      <c r="AW8" s="75" t="s">
        <v>1284</v>
      </c>
      <c r="AX8" s="76">
        <v>77.717837837837848</v>
      </c>
      <c r="AY8" s="120" t="s">
        <v>1188</v>
      </c>
      <c r="AZ8" s="121">
        <f t="shared" si="8"/>
        <v>12.57314861800832</v>
      </c>
      <c r="BA8" s="121">
        <f t="shared" si="0"/>
        <v>12.787189570031575</v>
      </c>
      <c r="BB8" s="121">
        <f t="shared" si="1"/>
        <v>12.947943774430025</v>
      </c>
      <c r="BC8" s="122">
        <f t="shared" si="2"/>
        <v>13.199608006788241</v>
      </c>
      <c r="BD8" s="63"/>
      <c r="BE8" s="103" t="s">
        <v>886</v>
      </c>
      <c r="BF8" s="114">
        <v>4</v>
      </c>
      <c r="BG8" s="103" t="s">
        <v>916</v>
      </c>
      <c r="BH8" s="115">
        <v>1.1599999999999966</v>
      </c>
      <c r="BI8" s="115">
        <f t="shared" si="3"/>
        <v>0.28999999999999915</v>
      </c>
      <c r="BJ8" s="105" t="s">
        <v>1053</v>
      </c>
      <c r="BK8" s="114">
        <v>4</v>
      </c>
      <c r="BL8" s="105" t="s">
        <v>1039</v>
      </c>
      <c r="BM8" s="115">
        <v>2.759999999999998</v>
      </c>
      <c r="BN8" s="115">
        <f t="shared" si="4"/>
        <v>0.6899999999999995</v>
      </c>
      <c r="BO8" s="67"/>
      <c r="BP8" s="75" t="s">
        <v>69</v>
      </c>
      <c r="BQ8" s="41">
        <v>77.930000000000007</v>
      </c>
      <c r="BR8" s="52">
        <f t="shared" si="5"/>
        <v>2.0351589716665362E-2</v>
      </c>
      <c r="BS8" s="41">
        <f t="shared" si="6"/>
        <v>2.0351589716665362E-2</v>
      </c>
      <c r="BX8" s="116" t="s">
        <v>917</v>
      </c>
      <c r="BY8" s="117">
        <v>499</v>
      </c>
      <c r="BZ8" s="118">
        <f t="shared" si="7"/>
        <v>4.0832167761784312E-3</v>
      </c>
      <c r="CA8" s="38"/>
      <c r="CB8" s="38"/>
      <c r="CG8" s="116" t="s">
        <v>942</v>
      </c>
      <c r="CH8" s="119">
        <v>0.15526395221434483</v>
      </c>
      <c r="CI8" s="45"/>
      <c r="CJ8" s="38"/>
      <c r="CK8" s="38"/>
      <c r="CL8" s="38"/>
      <c r="CM8" s="38"/>
    </row>
    <row r="9" spans="2:91" ht="17.25" thickBot="1" x14ac:dyDescent="0.35">
      <c r="W9" s="75" t="s">
        <v>334</v>
      </c>
      <c r="X9" s="76">
        <v>1</v>
      </c>
      <c r="Y9" s="52">
        <v>1.2195121951219513E-2</v>
      </c>
      <c r="AC9" s="38"/>
      <c r="AD9" s="38"/>
      <c r="AE9" s="38"/>
      <c r="AF9" s="38"/>
      <c r="AG9" s="38"/>
      <c r="AH9" s="38"/>
      <c r="AI9" s="123" t="s">
        <v>819</v>
      </c>
      <c r="AJ9" s="58" t="s">
        <v>509</v>
      </c>
      <c r="AK9" s="58" t="s">
        <v>830</v>
      </c>
      <c r="AL9" s="59" t="s">
        <v>831</v>
      </c>
      <c r="AM9" s="38"/>
      <c r="AN9" s="38"/>
      <c r="AO9" s="75" t="s">
        <v>1132</v>
      </c>
      <c r="AP9" s="76">
        <v>374.44900000000007</v>
      </c>
      <c r="AQ9" s="75" t="s">
        <v>1147</v>
      </c>
      <c r="AR9" s="76">
        <v>388.82099999999997</v>
      </c>
      <c r="AS9" s="75" t="s">
        <v>1162</v>
      </c>
      <c r="AT9" s="76">
        <v>391.17450000000002</v>
      </c>
      <c r="AU9" s="75" t="s">
        <v>1162</v>
      </c>
      <c r="AV9" s="76">
        <v>391.17450000000002</v>
      </c>
      <c r="AW9" s="75" t="s">
        <v>1285</v>
      </c>
      <c r="AX9" s="76">
        <v>33.25</v>
      </c>
      <c r="AY9" s="120" t="s">
        <v>1189</v>
      </c>
      <c r="AZ9" s="121">
        <f t="shared" si="8"/>
        <v>11.261624060150378</v>
      </c>
      <c r="BA9" s="121">
        <f t="shared" si="0"/>
        <v>11.693864661654134</v>
      </c>
      <c r="BB9" s="121">
        <f t="shared" si="1"/>
        <v>11.764646616541354</v>
      </c>
      <c r="BC9" s="122">
        <f t="shared" si="2"/>
        <v>11.764646616541354</v>
      </c>
      <c r="BD9" s="63"/>
      <c r="BE9" s="103" t="s">
        <v>887</v>
      </c>
      <c r="BF9" s="114">
        <v>4</v>
      </c>
      <c r="BG9" s="103" t="s">
        <v>918</v>
      </c>
      <c r="BH9" s="115">
        <v>0.17999999999999972</v>
      </c>
      <c r="BI9" s="115">
        <f t="shared" si="3"/>
        <v>4.4999999999999929E-2</v>
      </c>
      <c r="BJ9" s="105" t="s">
        <v>1054</v>
      </c>
      <c r="BK9" s="114">
        <v>4</v>
      </c>
      <c r="BL9" s="105" t="s">
        <v>1040</v>
      </c>
      <c r="BM9" s="115">
        <v>1.7800000000000011</v>
      </c>
      <c r="BN9" s="115">
        <f t="shared" si="4"/>
        <v>0.44500000000000028</v>
      </c>
      <c r="BO9" s="67"/>
      <c r="BP9" s="124" t="s">
        <v>509</v>
      </c>
      <c r="BQ9" s="125">
        <v>3829.1848983268987</v>
      </c>
      <c r="BR9" s="126"/>
      <c r="BS9" s="125"/>
      <c r="BX9" s="116" t="s">
        <v>919</v>
      </c>
      <c r="BY9" s="117">
        <v>9103.2999999999993</v>
      </c>
      <c r="BZ9" s="118">
        <f t="shared" si="7"/>
        <v>7.449047550818659E-2</v>
      </c>
      <c r="CA9" s="38"/>
      <c r="CB9" s="38"/>
      <c r="CG9" s="116" t="s">
        <v>943</v>
      </c>
      <c r="CH9" s="119">
        <v>0.53705217288245877</v>
      </c>
      <c r="CI9" s="45"/>
      <c r="CJ9" s="38"/>
      <c r="CK9" s="38"/>
      <c r="CL9" s="38"/>
      <c r="CM9" s="38"/>
    </row>
    <row r="10" spans="2:91" ht="16.5" x14ac:dyDescent="0.3">
      <c r="W10" s="75" t="s">
        <v>715</v>
      </c>
      <c r="X10" s="76">
        <v>1</v>
      </c>
      <c r="Y10" s="52">
        <v>1.2195121951219513E-2</v>
      </c>
      <c r="AC10" s="38"/>
      <c r="AD10" s="38" t="s">
        <v>829</v>
      </c>
      <c r="AE10" s="44" t="s">
        <v>823</v>
      </c>
      <c r="AF10" s="44" t="s">
        <v>824</v>
      </c>
      <c r="AG10" s="44" t="s">
        <v>820</v>
      </c>
      <c r="AH10" s="38"/>
      <c r="AI10" s="77" t="s">
        <v>265</v>
      </c>
      <c r="AJ10" s="78">
        <f>IFERROR(AD16,"")</f>
        <v>55959.5</v>
      </c>
      <c r="AK10" s="79">
        <f>IFERROR(AE16,"")</f>
        <v>1165.8229166666667</v>
      </c>
      <c r="AL10" s="80">
        <f>IFERROR(AF16-AG16,"")</f>
        <v>8926</v>
      </c>
      <c r="AM10" s="38"/>
      <c r="AN10" s="38"/>
      <c r="AO10" s="75" t="s">
        <v>1133</v>
      </c>
      <c r="AP10" s="76">
        <v>204.44800000000004</v>
      </c>
      <c r="AQ10" s="75" t="s">
        <v>1148</v>
      </c>
      <c r="AR10" s="76">
        <v>212.86800000000002</v>
      </c>
      <c r="AS10" s="75" t="s">
        <v>1163</v>
      </c>
      <c r="AT10" s="76">
        <v>209.70400000000001</v>
      </c>
      <c r="AU10" s="75" t="s">
        <v>1177</v>
      </c>
      <c r="AV10" s="76">
        <v>218.62400000000002</v>
      </c>
      <c r="AW10" s="75" t="s">
        <v>1286</v>
      </c>
      <c r="AX10" s="76">
        <v>16.899999999999999</v>
      </c>
      <c r="AY10" s="120" t="s">
        <v>1190</v>
      </c>
      <c r="AZ10" s="121">
        <f t="shared" si="8"/>
        <v>12.097514792899412</v>
      </c>
      <c r="BA10" s="121">
        <f t="shared" si="0"/>
        <v>12.595739644970417</v>
      </c>
      <c r="BB10" s="121">
        <f t="shared" si="1"/>
        <v>12.408520710059173</v>
      </c>
      <c r="BC10" s="122">
        <f t="shared" si="2"/>
        <v>12.936331360946747</v>
      </c>
      <c r="BD10" s="63"/>
      <c r="BE10" s="103" t="s">
        <v>888</v>
      </c>
      <c r="BF10" s="114">
        <v>1048.3789523809523</v>
      </c>
      <c r="BG10" s="103" t="s">
        <v>920</v>
      </c>
      <c r="BH10" s="115">
        <v>418.62206057142856</v>
      </c>
      <c r="BI10" s="115">
        <f t="shared" si="3"/>
        <v>0.39930414438472311</v>
      </c>
      <c r="BJ10" s="105" t="s">
        <v>1055</v>
      </c>
      <c r="BK10" s="114">
        <v>1223.2497631917631</v>
      </c>
      <c r="BL10" s="105" t="s">
        <v>1041</v>
      </c>
      <c r="BM10" s="115">
        <v>888.58617665894496</v>
      </c>
      <c r="BN10" s="115">
        <f t="shared" si="4"/>
        <v>0.72641434594714527</v>
      </c>
      <c r="BO10" s="67"/>
      <c r="BX10" s="116" t="s">
        <v>921</v>
      </c>
      <c r="BY10" s="117">
        <v>3200.8</v>
      </c>
      <c r="BZ10" s="118">
        <f t="shared" si="7"/>
        <v>2.6191503521426702E-2</v>
      </c>
      <c r="CA10" s="38"/>
      <c r="CB10" s="38"/>
      <c r="CG10" s="116" t="s">
        <v>944</v>
      </c>
      <c r="CH10" s="119">
        <v>0.16883293814676834</v>
      </c>
      <c r="CI10" s="45"/>
      <c r="CJ10" s="38"/>
      <c r="CK10" s="38"/>
      <c r="CL10" s="38"/>
      <c r="CM10" s="38"/>
    </row>
    <row r="11" spans="2:91" ht="17.25" thickBot="1" x14ac:dyDescent="0.35">
      <c r="W11" s="75" t="s">
        <v>580</v>
      </c>
      <c r="X11" s="76">
        <v>1</v>
      </c>
      <c r="Y11" s="52">
        <v>1.2195121951219513E-2</v>
      </c>
      <c r="AC11" s="38"/>
      <c r="AD11" s="110">
        <v>826</v>
      </c>
      <c r="AE11" s="44">
        <v>19.209302325581394</v>
      </c>
      <c r="AF11" s="44">
        <v>97</v>
      </c>
      <c r="AG11" s="44">
        <v>1</v>
      </c>
      <c r="AH11" s="38"/>
      <c r="AI11" s="94" t="s">
        <v>272</v>
      </c>
      <c r="AJ11" s="95">
        <f>IFERROR(AD21,"")</f>
        <v>66248.070000000007</v>
      </c>
      <c r="AK11" s="96">
        <f>IFERROR(AE21,"")</f>
        <v>1743.3702631578949</v>
      </c>
      <c r="AL11" s="97">
        <f>IFERROR(AF21-AG21,"")</f>
        <v>10906</v>
      </c>
      <c r="AM11" s="38"/>
      <c r="AN11" s="38"/>
      <c r="AO11" s="75" t="s">
        <v>1134</v>
      </c>
      <c r="AP11" s="76">
        <v>16651.700723861002</v>
      </c>
      <c r="AQ11" s="75" t="s">
        <v>1149</v>
      </c>
      <c r="AR11" s="76">
        <v>18138.461734671819</v>
      </c>
      <c r="AS11" s="75" t="s">
        <v>1164</v>
      </c>
      <c r="AT11" s="76">
        <v>17116.459773534109</v>
      </c>
      <c r="AU11" s="75" t="s">
        <v>1178</v>
      </c>
      <c r="AV11" s="76">
        <v>18553.338184344921</v>
      </c>
      <c r="AW11" s="75" t="s">
        <v>1287</v>
      </c>
      <c r="AX11" s="76">
        <v>1726.2497631917631</v>
      </c>
      <c r="AY11" s="120" t="s">
        <v>888</v>
      </c>
      <c r="AZ11" s="121">
        <f t="shared" si="8"/>
        <v>9.6461711850275407</v>
      </c>
      <c r="BA11" s="121">
        <f t="shared" si="0"/>
        <v>10.507437638186589</v>
      </c>
      <c r="BB11" s="121">
        <f t="shared" si="1"/>
        <v>9.9154016634803153</v>
      </c>
      <c r="BC11" s="122">
        <f t="shared" si="2"/>
        <v>10.747771602899791</v>
      </c>
      <c r="BD11" s="63"/>
      <c r="BE11" s="103" t="s">
        <v>889</v>
      </c>
      <c r="BF11" s="114">
        <v>728.38648648648655</v>
      </c>
      <c r="BG11" s="103" t="s">
        <v>922</v>
      </c>
      <c r="BH11" s="115">
        <v>340.63618378378368</v>
      </c>
      <c r="BI11" s="115">
        <f t="shared" si="3"/>
        <v>0.46765857151868423</v>
      </c>
      <c r="BJ11" s="105" t="s">
        <v>1056</v>
      </c>
      <c r="BK11" s="114">
        <v>817.85315315315313</v>
      </c>
      <c r="BL11" s="105" t="s">
        <v>1042</v>
      </c>
      <c r="BM11" s="115">
        <v>644.32859171171197</v>
      </c>
      <c r="BN11" s="115">
        <f t="shared" si="4"/>
        <v>0.78782919553169894</v>
      </c>
      <c r="BO11" s="67"/>
      <c r="BP11" s="68" t="s">
        <v>905</v>
      </c>
      <c r="BQ11" s="68" t="s">
        <v>509</v>
      </c>
      <c r="BR11" s="68" t="s">
        <v>796</v>
      </c>
      <c r="BX11" s="116" t="s">
        <v>923</v>
      </c>
      <c r="BY11" s="117">
        <v>25999.77</v>
      </c>
      <c r="BZ11" s="118">
        <f t="shared" si="7"/>
        <v>0.212750895873308</v>
      </c>
      <c r="CA11" s="38"/>
      <c r="CB11" s="38"/>
      <c r="CG11" s="116" t="s">
        <v>945</v>
      </c>
      <c r="CH11" s="119">
        <v>0.13560957623304484</v>
      </c>
      <c r="CI11" s="45"/>
      <c r="CJ11" s="38"/>
      <c r="CK11" s="38"/>
      <c r="CL11" s="38"/>
      <c r="CM11" s="38"/>
    </row>
    <row r="12" spans="2:91" ht="16.5" x14ac:dyDescent="0.3">
      <c r="W12" s="75" t="s">
        <v>714</v>
      </c>
      <c r="X12" s="76">
        <v>82</v>
      </c>
      <c r="Y12" s="52">
        <v>1</v>
      </c>
      <c r="AC12" s="38"/>
      <c r="AD12" s="110"/>
      <c r="AE12" s="44"/>
      <c r="AF12" s="44"/>
      <c r="AG12" s="44"/>
      <c r="AH12" s="38"/>
      <c r="AI12" s="38"/>
      <c r="AJ12" s="38"/>
      <c r="AK12" s="38"/>
      <c r="AL12" s="38"/>
      <c r="AM12" s="38"/>
      <c r="AN12" s="38"/>
      <c r="AO12" s="75" t="s">
        <v>1135</v>
      </c>
      <c r="AP12" s="76">
        <v>9855.2344554954961</v>
      </c>
      <c r="AQ12" s="75" t="s">
        <v>1150</v>
      </c>
      <c r="AR12" s="76">
        <v>10059.200941981982</v>
      </c>
      <c r="AS12" s="75" t="s">
        <v>1165</v>
      </c>
      <c r="AT12" s="76">
        <v>10157.04938126126</v>
      </c>
      <c r="AU12" s="75" t="s">
        <v>1179</v>
      </c>
      <c r="AV12" s="76">
        <v>10613.085867747746</v>
      </c>
      <c r="AW12" s="75" t="s">
        <v>1288</v>
      </c>
      <c r="AX12" s="76">
        <v>1037.353153153153</v>
      </c>
      <c r="AY12" s="120" t="s">
        <v>889</v>
      </c>
      <c r="AZ12" s="121">
        <f t="shared" si="8"/>
        <v>9.5003658354335645</v>
      </c>
      <c r="BA12" s="121">
        <f t="shared" si="0"/>
        <v>9.6969878689874278</v>
      </c>
      <c r="BB12" s="121">
        <f t="shared" si="1"/>
        <v>9.7913129683828046</v>
      </c>
      <c r="BC12" s="122">
        <f t="shared" si="2"/>
        <v>10.230928431159692</v>
      </c>
      <c r="BD12" s="63"/>
      <c r="BE12" s="103" t="s">
        <v>890</v>
      </c>
      <c r="BF12" s="114">
        <v>163.5</v>
      </c>
      <c r="BG12" s="103" t="s">
        <v>924</v>
      </c>
      <c r="BH12" s="115">
        <v>97.57000000000005</v>
      </c>
      <c r="BI12" s="115">
        <f t="shared" si="3"/>
        <v>0.59675840978593298</v>
      </c>
      <c r="BJ12" s="105" t="s">
        <v>1057</v>
      </c>
      <c r="BK12" s="114">
        <v>276.5</v>
      </c>
      <c r="BL12" s="105" t="s">
        <v>1043</v>
      </c>
      <c r="BM12" s="115">
        <v>189.18500000000012</v>
      </c>
      <c r="BN12" s="115">
        <f t="shared" si="4"/>
        <v>0.6842133815551541</v>
      </c>
      <c r="BO12" s="67"/>
      <c r="BP12" s="55" t="s">
        <v>851</v>
      </c>
      <c r="BR12" s="90"/>
      <c r="BX12" s="116" t="s">
        <v>925</v>
      </c>
      <c r="BY12" s="117">
        <v>25399.370000000003</v>
      </c>
      <c r="BZ12" s="118">
        <f t="shared" si="7"/>
        <v>0.20783794326325286</v>
      </c>
      <c r="CA12" s="38"/>
      <c r="CB12" s="38"/>
      <c r="CG12" s="116" t="s">
        <v>946</v>
      </c>
      <c r="CH12" s="119">
        <v>0.23239589332210372</v>
      </c>
      <c r="CI12" s="45"/>
      <c r="CJ12" s="38"/>
      <c r="CK12" s="38"/>
      <c r="CL12" s="38"/>
      <c r="CM12" s="38"/>
    </row>
    <row r="13" spans="2:91" ht="16.5" x14ac:dyDescent="0.3">
      <c r="AC13" s="38"/>
      <c r="AD13" s="38"/>
      <c r="AE13" s="38" t="s">
        <v>835</v>
      </c>
      <c r="AF13" s="38" t="s">
        <v>753</v>
      </c>
      <c r="AG13" s="38" t="s">
        <v>835</v>
      </c>
      <c r="AH13" s="38" t="s">
        <v>753</v>
      </c>
      <c r="AI13" s="38"/>
      <c r="AJ13" s="38"/>
      <c r="AK13" s="38"/>
      <c r="AL13" s="38"/>
      <c r="AM13" s="38"/>
      <c r="AN13" s="38"/>
      <c r="AO13" s="75" t="s">
        <v>1136</v>
      </c>
      <c r="AP13" s="76">
        <v>3136.4062000000004</v>
      </c>
      <c r="AQ13" s="75" t="s">
        <v>1151</v>
      </c>
      <c r="AR13" s="76">
        <v>3179.6711999999998</v>
      </c>
      <c r="AS13" s="75" t="s">
        <v>1166</v>
      </c>
      <c r="AT13" s="76">
        <v>3232.6728000000003</v>
      </c>
      <c r="AU13" s="75" t="s">
        <v>1180</v>
      </c>
      <c r="AV13" s="76">
        <v>3323.8808000000004</v>
      </c>
      <c r="AW13" s="75" t="s">
        <v>1289</v>
      </c>
      <c r="AX13" s="76">
        <v>346.95</v>
      </c>
      <c r="AY13" s="120" t="s">
        <v>890</v>
      </c>
      <c r="AZ13" s="121">
        <f>IFERROR(AP13/$AX13,"")</f>
        <v>9.0399371667387243</v>
      </c>
      <c r="BA13" s="121">
        <f t="shared" si="0"/>
        <v>9.1646381322957193</v>
      </c>
      <c r="BB13" s="121">
        <f t="shared" si="1"/>
        <v>9.3174025075659337</v>
      </c>
      <c r="BC13" s="122">
        <f t="shared" si="2"/>
        <v>9.5802876495172224</v>
      </c>
      <c r="BD13" s="63"/>
      <c r="BE13" s="103" t="s">
        <v>891</v>
      </c>
      <c r="BF13" s="114">
        <v>97</v>
      </c>
      <c r="BG13" s="103" t="s">
        <v>926</v>
      </c>
      <c r="BH13" s="115">
        <v>36.119999999999976</v>
      </c>
      <c r="BI13" s="115">
        <f t="shared" si="3"/>
        <v>0.37237113402061833</v>
      </c>
      <c r="BJ13" s="105" t="s">
        <v>1058</v>
      </c>
      <c r="BK13" s="114">
        <v>119</v>
      </c>
      <c r="BL13" s="105" t="s">
        <v>1044</v>
      </c>
      <c r="BM13" s="115">
        <v>79.760000000000034</v>
      </c>
      <c r="BN13" s="115">
        <f t="shared" si="4"/>
        <v>0.67025210084033637</v>
      </c>
      <c r="BO13" s="67"/>
      <c r="BP13" s="75" t="s">
        <v>903</v>
      </c>
      <c r="BQ13" s="41">
        <v>82</v>
      </c>
      <c r="BR13" s="52">
        <f>IF(BQ13="","",BQ13/$BQ$9)</f>
        <v>2.141447910646169E-2</v>
      </c>
      <c r="BX13" s="116" t="s">
        <v>927</v>
      </c>
      <c r="BY13" s="117">
        <v>6688.43</v>
      </c>
      <c r="BZ13" s="118">
        <f t="shared" si="7"/>
        <v>5.4730079323236688E-2</v>
      </c>
      <c r="CA13" s="38"/>
      <c r="CB13" s="38"/>
      <c r="CG13" s="116" t="s">
        <v>947</v>
      </c>
      <c r="CH13" s="119">
        <v>8.8221474904367186E-2</v>
      </c>
      <c r="CI13" s="45"/>
      <c r="CJ13" s="38"/>
      <c r="CK13" s="38"/>
      <c r="CL13" s="38"/>
      <c r="CM13" s="38"/>
    </row>
    <row r="14" spans="2:91" ht="16.5" x14ac:dyDescent="0.3">
      <c r="AC14" s="38"/>
      <c r="AD14" s="39"/>
      <c r="AE14" s="39"/>
      <c r="AF14" s="39"/>
      <c r="AG14" s="39"/>
      <c r="AH14" s="38"/>
      <c r="AI14" s="38"/>
      <c r="AJ14" s="38"/>
      <c r="AK14" s="38"/>
      <c r="AL14" s="38"/>
      <c r="AM14" s="38"/>
      <c r="AN14" s="38"/>
      <c r="AO14" s="75" t="s">
        <v>1137</v>
      </c>
      <c r="AP14" s="76">
        <v>1422.84</v>
      </c>
      <c r="AQ14" s="75" t="s">
        <v>1152</v>
      </c>
      <c r="AR14" s="76">
        <v>1471.21</v>
      </c>
      <c r="AS14" s="75" t="s">
        <v>1167</v>
      </c>
      <c r="AT14" s="76">
        <v>1464.9350000000002</v>
      </c>
      <c r="AU14" s="75" t="s">
        <v>1181</v>
      </c>
      <c r="AV14" s="76">
        <v>1525.2850000000001</v>
      </c>
      <c r="AW14" s="75" t="s">
        <v>1290</v>
      </c>
      <c r="AX14" s="76">
        <v>157.05000000000001</v>
      </c>
      <c r="AY14" s="120" t="s">
        <v>891</v>
      </c>
      <c r="AZ14" s="121">
        <f t="shared" si="8"/>
        <v>9.0597898758357207</v>
      </c>
      <c r="BA14" s="121">
        <f t="shared" si="0"/>
        <v>9.3677809614772354</v>
      </c>
      <c r="BB14" s="121">
        <f t="shared" si="1"/>
        <v>9.3278255332696602</v>
      </c>
      <c r="BC14" s="122">
        <f t="shared" si="2"/>
        <v>9.7120980579433294</v>
      </c>
      <c r="BD14" s="63"/>
      <c r="BE14" s="103" t="s">
        <v>1065</v>
      </c>
      <c r="BF14" s="114">
        <v>54.5</v>
      </c>
      <c r="BG14" s="103" t="s">
        <v>928</v>
      </c>
      <c r="BH14" s="115">
        <v>29.111199999999997</v>
      </c>
      <c r="BI14" s="115">
        <f t="shared" si="3"/>
        <v>0.5341504587155963</v>
      </c>
      <c r="BJ14" s="105" t="s">
        <v>1059</v>
      </c>
      <c r="BK14" s="114">
        <v>71.7</v>
      </c>
      <c r="BL14" s="105" t="s">
        <v>1045</v>
      </c>
      <c r="BM14" s="115">
        <v>56.077200000000019</v>
      </c>
      <c r="BN14" s="115">
        <f t="shared" si="4"/>
        <v>0.7821087866108789</v>
      </c>
      <c r="BO14" s="67"/>
      <c r="BP14" s="75" t="s">
        <v>853</v>
      </c>
      <c r="BQ14" s="41">
        <v>82</v>
      </c>
      <c r="BR14" s="52">
        <f t="shared" ref="BR14:BR16" si="9">IF(BQ14="","",BQ14/$BQ$9)</f>
        <v>2.141447910646169E-2</v>
      </c>
      <c r="BX14" s="116" t="s">
        <v>929</v>
      </c>
      <c r="BY14" s="117">
        <v>5632.75</v>
      </c>
      <c r="BZ14" s="118">
        <f t="shared" si="7"/>
        <v>4.6091661915869858E-2</v>
      </c>
      <c r="CA14" s="38"/>
      <c r="CB14" s="38"/>
      <c r="CG14" s="116" t="s">
        <v>948</v>
      </c>
      <c r="CH14" s="119">
        <v>5.3661112304547204E-2</v>
      </c>
      <c r="CI14" s="45"/>
      <c r="CJ14" s="38"/>
      <c r="CK14" s="38"/>
      <c r="CL14" s="38"/>
      <c r="CM14" s="38"/>
    </row>
    <row r="15" spans="2:91" ht="16.5" x14ac:dyDescent="0.3">
      <c r="AC15" s="38"/>
      <c r="AD15" s="38" t="s">
        <v>265</v>
      </c>
      <c r="AE15" s="38" t="s">
        <v>832</v>
      </c>
      <c r="AF15" s="38" t="s">
        <v>833</v>
      </c>
      <c r="AG15" s="38" t="s">
        <v>834</v>
      </c>
      <c r="AH15" s="38"/>
      <c r="AI15" s="38"/>
      <c r="AJ15" s="38"/>
      <c r="AK15" s="38"/>
      <c r="AL15" s="38"/>
      <c r="AM15" s="38"/>
      <c r="AN15" s="38"/>
      <c r="AO15" s="75" t="s">
        <v>1138</v>
      </c>
      <c r="AP15" s="76">
        <v>1398.4613621621625</v>
      </c>
      <c r="AQ15" s="75" t="s">
        <v>1153</v>
      </c>
      <c r="AR15" s="76">
        <v>1475.8713621621625</v>
      </c>
      <c r="AS15" s="75" t="s">
        <v>1168</v>
      </c>
      <c r="AT15" s="76">
        <v>1441.0342891891889</v>
      </c>
      <c r="AU15" s="75" t="s">
        <v>1182</v>
      </c>
      <c r="AV15" s="76">
        <v>1529.575889189189</v>
      </c>
      <c r="AW15" s="75" t="s">
        <v>1291</v>
      </c>
      <c r="AX15" s="76">
        <v>129.05297297297295</v>
      </c>
      <c r="AY15" s="120" t="s">
        <v>1191</v>
      </c>
      <c r="AZ15" s="121">
        <f t="shared" si="8"/>
        <v>10.836335885536219</v>
      </c>
      <c r="BA15" s="121">
        <f t="shared" si="0"/>
        <v>11.436167088310691</v>
      </c>
      <c r="BB15" s="121">
        <f t="shared" si="1"/>
        <v>11.166223109722385</v>
      </c>
      <c r="BC15" s="122">
        <f t="shared" si="2"/>
        <v>11.85231036490358</v>
      </c>
      <c r="BD15" s="63"/>
      <c r="BE15" s="103" t="s">
        <v>1066</v>
      </c>
      <c r="BF15" s="114">
        <v>20.43</v>
      </c>
      <c r="BG15" s="103" t="s">
        <v>930</v>
      </c>
      <c r="BH15" s="115">
        <v>34.607199999999999</v>
      </c>
      <c r="BI15" s="115">
        <f t="shared" si="3"/>
        <v>1.693940283896231</v>
      </c>
      <c r="BJ15" s="105" t="s">
        <v>1060</v>
      </c>
      <c r="BK15" s="114">
        <v>21.43</v>
      </c>
      <c r="BL15" s="105" t="s">
        <v>1046</v>
      </c>
      <c r="BM15" s="115">
        <v>42.934200000000004</v>
      </c>
      <c r="BN15" s="115">
        <f t="shared" si="4"/>
        <v>2.0034624358376112</v>
      </c>
      <c r="BO15" s="67"/>
      <c r="BP15" s="75" t="s">
        <v>904</v>
      </c>
      <c r="BQ15" s="41">
        <v>82</v>
      </c>
      <c r="BR15" s="52">
        <f t="shared" si="9"/>
        <v>2.141447910646169E-2</v>
      </c>
      <c r="BX15" s="116" t="s">
        <v>931</v>
      </c>
      <c r="BY15" s="117">
        <v>2195.5</v>
      </c>
      <c r="BZ15" s="118">
        <f t="shared" si="7"/>
        <v>1.7965335535270032E-2</v>
      </c>
      <c r="CA15" s="38"/>
      <c r="CB15" s="38"/>
      <c r="CG15" s="116" t="s">
        <v>949</v>
      </c>
      <c r="CH15" s="119">
        <v>0.14669178407366903</v>
      </c>
      <c r="CI15" s="45"/>
      <c r="CJ15" s="38"/>
      <c r="CK15" s="38"/>
      <c r="CL15" s="38"/>
      <c r="CM15" s="38"/>
    </row>
    <row r="16" spans="2:91" ht="17.25" thickBot="1" x14ac:dyDescent="0.35">
      <c r="AC16" s="38"/>
      <c r="AD16" s="46">
        <v>55959.5</v>
      </c>
      <c r="AE16" s="46">
        <v>1165.8229166666667</v>
      </c>
      <c r="AF16" s="46">
        <v>9014</v>
      </c>
      <c r="AG16" s="46">
        <v>88</v>
      </c>
      <c r="AH16" s="38"/>
      <c r="AI16" s="38"/>
      <c r="AJ16" s="38"/>
      <c r="AK16" s="38"/>
      <c r="AL16" s="38"/>
      <c r="AM16" s="38"/>
      <c r="AN16" s="38"/>
      <c r="AO16" s="75" t="s">
        <v>1139</v>
      </c>
      <c r="AP16" s="76">
        <v>255.67254054054055</v>
      </c>
      <c r="AQ16" s="75" t="s">
        <v>1154</v>
      </c>
      <c r="AR16" s="76">
        <v>266.98254054054053</v>
      </c>
      <c r="AS16" s="75" t="s">
        <v>1169</v>
      </c>
      <c r="AT16" s="76">
        <v>262.08697837837838</v>
      </c>
      <c r="AU16" s="75" t="s">
        <v>1186</v>
      </c>
      <c r="AV16" s="76">
        <v>273.82337837837838</v>
      </c>
      <c r="AW16" s="75" t="s">
        <v>1292</v>
      </c>
      <c r="AX16" s="76">
        <v>29.967837837837838</v>
      </c>
      <c r="AY16" s="120" t="s">
        <v>1192</v>
      </c>
      <c r="AZ16" s="121">
        <f t="shared" si="8"/>
        <v>8.5315644700174058</v>
      </c>
      <c r="BA16" s="121">
        <f t="shared" si="0"/>
        <v>8.9089690749542303</v>
      </c>
      <c r="BB16" s="121">
        <f t="shared" si="1"/>
        <v>8.745608535276558</v>
      </c>
      <c r="BC16" s="122">
        <f t="shared" si="2"/>
        <v>9.1372417276178961</v>
      </c>
      <c r="BD16" s="63"/>
      <c r="BE16" s="103" t="s">
        <v>892</v>
      </c>
      <c r="BF16" s="114">
        <v>14.43</v>
      </c>
      <c r="BG16" s="103" t="s">
        <v>932</v>
      </c>
      <c r="BH16" s="115">
        <v>12.527399999999998</v>
      </c>
      <c r="BI16" s="115">
        <f t="shared" si="3"/>
        <v>0.86814968814968807</v>
      </c>
      <c r="BJ16" s="105" t="s">
        <v>1061</v>
      </c>
      <c r="BK16" s="114">
        <v>16.43</v>
      </c>
      <c r="BL16" s="105" t="s">
        <v>1047</v>
      </c>
      <c r="BM16" s="115">
        <v>18.849400000000006</v>
      </c>
      <c r="BN16" s="115">
        <f t="shared" si="4"/>
        <v>1.1472550213024959</v>
      </c>
      <c r="BO16" s="67"/>
      <c r="BP16" s="124" t="s">
        <v>509</v>
      </c>
      <c r="BQ16" s="125">
        <v>3829.1848983268987</v>
      </c>
      <c r="BR16" s="52">
        <f t="shared" si="9"/>
        <v>1</v>
      </c>
      <c r="BX16" s="127" t="s">
        <v>933</v>
      </c>
      <c r="BY16" s="128">
        <v>332.25</v>
      </c>
      <c r="BZ16" s="129">
        <f t="shared" si="7"/>
        <v>2.71873501780618E-3</v>
      </c>
      <c r="CA16" s="38"/>
      <c r="CB16" s="38"/>
      <c r="CG16" s="116" t="s">
        <v>950</v>
      </c>
      <c r="CH16" s="119">
        <v>7.9063746423321313E-2</v>
      </c>
      <c r="CI16" s="45"/>
      <c r="CJ16" s="38"/>
      <c r="CK16" s="38"/>
      <c r="CL16" s="38"/>
      <c r="CM16" s="38"/>
    </row>
    <row r="17" spans="1:91" ht="17.25" thickBot="1" x14ac:dyDescent="0.35">
      <c r="AC17" s="38"/>
      <c r="AD17" s="38"/>
      <c r="AE17" s="38"/>
      <c r="AF17" s="38"/>
      <c r="AG17" s="38"/>
      <c r="AH17" s="38"/>
      <c r="AI17" s="38"/>
      <c r="AJ17" s="38"/>
      <c r="AK17" s="38"/>
      <c r="AL17" s="38"/>
      <c r="AM17" s="38"/>
      <c r="AN17" s="38"/>
      <c r="AO17" s="75" t="s">
        <v>1140</v>
      </c>
      <c r="AP17" s="76">
        <v>70.460351351351363</v>
      </c>
      <c r="AQ17" s="75" t="s">
        <v>1155</v>
      </c>
      <c r="AR17" s="76">
        <v>79.060351351351358</v>
      </c>
      <c r="AS17" s="75" t="s">
        <v>1170</v>
      </c>
      <c r="AT17" s="76">
        <v>73.77929729729729</v>
      </c>
      <c r="AU17" s="75" t="s">
        <v>1183</v>
      </c>
      <c r="AV17" s="76">
        <v>82.399297297297281</v>
      </c>
      <c r="AW17" s="75" t="s">
        <v>1297</v>
      </c>
      <c r="AX17" s="76">
        <v>8.3978378378378373</v>
      </c>
      <c r="AY17" s="120" t="s">
        <v>1193</v>
      </c>
      <c r="AZ17" s="121">
        <f t="shared" si="8"/>
        <v>8.3902967301750788</v>
      </c>
      <c r="BA17" s="121">
        <f t="shared" si="0"/>
        <v>9.4143698506694147</v>
      </c>
      <c r="BB17" s="121">
        <f t="shared" si="1"/>
        <v>8.7855110710607622</v>
      </c>
      <c r="BC17" s="122">
        <f t="shared" si="2"/>
        <v>9.8119657569515955</v>
      </c>
      <c r="BD17" s="63"/>
      <c r="BE17" s="103" t="s">
        <v>893</v>
      </c>
      <c r="BF17" s="114">
        <v>20</v>
      </c>
      <c r="BG17" s="103" t="s">
        <v>934</v>
      </c>
      <c r="BH17" s="115">
        <v>8.6999999999999975</v>
      </c>
      <c r="BI17" s="115">
        <f t="shared" si="3"/>
        <v>0.43499999999999989</v>
      </c>
      <c r="BJ17" s="105" t="s">
        <v>1062</v>
      </c>
      <c r="BK17" s="114">
        <v>20</v>
      </c>
      <c r="BL17" s="105" t="s">
        <v>1048</v>
      </c>
      <c r="BM17" s="115">
        <v>16.700000000000003</v>
      </c>
      <c r="BN17" s="115">
        <f t="shared" si="4"/>
        <v>0.83500000000000019</v>
      </c>
      <c r="BO17" s="67"/>
      <c r="BQ17" s="36"/>
      <c r="BR17" s="126"/>
      <c r="BX17" s="130" t="s">
        <v>509</v>
      </c>
      <c r="BY17" s="131">
        <f>SUM(BY5:BY16)</f>
        <v>122207.57</v>
      </c>
      <c r="BZ17" s="38"/>
      <c r="CA17" s="38"/>
      <c r="CB17" s="38"/>
      <c r="CG17" s="116" t="s">
        <v>951</v>
      </c>
      <c r="CH17" s="119">
        <v>0.12250387622591492</v>
      </c>
      <c r="CI17" s="45"/>
      <c r="CJ17" s="38"/>
      <c r="CK17" s="38"/>
      <c r="CL17" s="38"/>
      <c r="CM17" s="38"/>
    </row>
    <row r="18" spans="1:91" ht="17.25" thickBot="1" x14ac:dyDescent="0.35">
      <c r="AC18" s="38"/>
      <c r="AD18" s="38"/>
      <c r="AE18" s="38" t="s">
        <v>836</v>
      </c>
      <c r="AF18" s="38" t="s">
        <v>753</v>
      </c>
      <c r="AG18" s="38" t="s">
        <v>836</v>
      </c>
      <c r="AH18" s="38" t="s">
        <v>753</v>
      </c>
      <c r="AI18" s="38"/>
      <c r="AJ18" s="38"/>
      <c r="AK18" s="38"/>
      <c r="AL18" s="38"/>
      <c r="AM18" s="38"/>
      <c r="AN18" s="38"/>
      <c r="AO18" s="75" t="s">
        <v>1141</v>
      </c>
      <c r="AP18" s="76">
        <v>344.36469999999997</v>
      </c>
      <c r="AQ18" s="75" t="s">
        <v>1156</v>
      </c>
      <c r="AR18" s="76">
        <v>350.62469999999996</v>
      </c>
      <c r="AS18" s="75" t="s">
        <v>1171</v>
      </c>
      <c r="AT18" s="76">
        <v>358.69460000000004</v>
      </c>
      <c r="AU18" s="75" t="s">
        <v>1184</v>
      </c>
      <c r="AV18" s="76">
        <v>367.46460000000002</v>
      </c>
      <c r="AW18" s="75" t="s">
        <v>1293</v>
      </c>
      <c r="AX18" s="76">
        <v>30.83</v>
      </c>
      <c r="AY18" s="120" t="s">
        <v>892</v>
      </c>
      <c r="AZ18" s="121">
        <f t="shared" si="8"/>
        <v>11.169792409990269</v>
      </c>
      <c r="BA18" s="121">
        <f t="shared" si="0"/>
        <v>11.372841388258189</v>
      </c>
      <c r="BB18" s="121">
        <f t="shared" si="1"/>
        <v>11.634596172559197</v>
      </c>
      <c r="BC18" s="122">
        <f t="shared" si="2"/>
        <v>11.919059357768409</v>
      </c>
      <c r="BD18" s="63"/>
      <c r="BE18" s="103" t="s">
        <v>894</v>
      </c>
      <c r="BF18" s="114">
        <v>0</v>
      </c>
      <c r="BG18" s="132" t="s">
        <v>935</v>
      </c>
      <c r="BH18" s="133">
        <v>0</v>
      </c>
      <c r="BI18" s="133" t="str">
        <f t="shared" si="3"/>
        <v/>
      </c>
      <c r="BJ18" s="105" t="s">
        <v>1063</v>
      </c>
      <c r="BK18" s="114">
        <v>0</v>
      </c>
      <c r="BL18" s="134" t="s">
        <v>1049</v>
      </c>
      <c r="BM18" s="133">
        <v>0</v>
      </c>
      <c r="BN18" s="133" t="str">
        <f t="shared" si="4"/>
        <v/>
      </c>
      <c r="BO18" s="67"/>
      <c r="BX18" s="38"/>
      <c r="BY18" s="46"/>
      <c r="BZ18" s="38"/>
      <c r="CA18" s="38"/>
      <c r="CB18" s="38"/>
      <c r="CG18" s="116" t="s">
        <v>952</v>
      </c>
      <c r="CH18" s="119">
        <v>5.7382192559234713E-2</v>
      </c>
      <c r="CI18" s="45"/>
      <c r="CJ18" s="38"/>
      <c r="CK18" s="38"/>
      <c r="CL18" s="38"/>
      <c r="CM18" s="38"/>
    </row>
    <row r="19" spans="1:91" ht="17.25" thickBot="1" x14ac:dyDescent="0.35">
      <c r="AC19" s="38"/>
      <c r="AD19" s="38"/>
      <c r="AE19" s="38"/>
      <c r="AF19" s="38"/>
      <c r="AG19" s="38"/>
      <c r="AH19" s="38"/>
      <c r="AI19" s="38"/>
      <c r="AJ19" s="38"/>
      <c r="AK19" s="38"/>
      <c r="AL19" s="38"/>
      <c r="AM19" s="38"/>
      <c r="AN19" s="38"/>
      <c r="AO19" s="75" t="s">
        <v>1142</v>
      </c>
      <c r="AP19" s="76">
        <v>376.16599999999994</v>
      </c>
      <c r="AQ19" s="75" t="s">
        <v>1157</v>
      </c>
      <c r="AR19" s="76">
        <v>394.78600000000006</v>
      </c>
      <c r="AS19" s="75" t="s">
        <v>1172</v>
      </c>
      <c r="AT19" s="76">
        <v>386.56200000000001</v>
      </c>
      <c r="AU19" s="75" t="s">
        <v>1185</v>
      </c>
      <c r="AV19" s="76">
        <v>406.08199999999999</v>
      </c>
      <c r="AW19" s="75" t="s">
        <v>1294</v>
      </c>
      <c r="AX19" s="76">
        <v>37.6</v>
      </c>
      <c r="AY19" s="120" t="s">
        <v>893</v>
      </c>
      <c r="AZ19" s="121">
        <f t="shared" si="8"/>
        <v>10.004414893617019</v>
      </c>
      <c r="BA19" s="121">
        <f t="shared" si="0"/>
        <v>10.49962765957447</v>
      </c>
      <c r="BB19" s="121">
        <f t="shared" si="1"/>
        <v>10.280904255319149</v>
      </c>
      <c r="BC19" s="122">
        <f t="shared" si="2"/>
        <v>10.800053191489361</v>
      </c>
      <c r="BD19" s="63"/>
      <c r="BE19" s="135" t="s">
        <v>895</v>
      </c>
      <c r="BF19" s="136">
        <v>2161.6254388674388</v>
      </c>
      <c r="BG19" s="137"/>
      <c r="BH19" s="138">
        <f>SUM(BH5:BH18)</f>
        <v>981.27904435521225</v>
      </c>
      <c r="BI19" s="51"/>
      <c r="BJ19" s="139" t="s">
        <v>1035</v>
      </c>
      <c r="BK19" s="136">
        <v>2588.1629163449161</v>
      </c>
      <c r="BL19" s="140"/>
      <c r="BM19" s="140"/>
      <c r="BN19" s="51"/>
      <c r="BO19" s="141"/>
      <c r="BX19" s="38"/>
      <c r="BY19" s="46"/>
      <c r="BZ19" s="38"/>
      <c r="CA19" s="38"/>
      <c r="CB19" s="38"/>
      <c r="CG19" s="116" t="s">
        <v>953</v>
      </c>
      <c r="CH19" s="119">
        <v>8.9832225562104569E-3</v>
      </c>
      <c r="CI19" s="45"/>
      <c r="CJ19" s="38"/>
      <c r="CK19" s="38"/>
      <c r="CL19" s="38"/>
      <c r="CM19" s="38"/>
    </row>
    <row r="20" spans="1:91" ht="17.25" thickBot="1" x14ac:dyDescent="0.35">
      <c r="AC20" s="38"/>
      <c r="AD20" s="38" t="s">
        <v>936</v>
      </c>
      <c r="AE20" s="38" t="s">
        <v>837</v>
      </c>
      <c r="AF20" s="38" t="s">
        <v>839</v>
      </c>
      <c r="AG20" s="38" t="s">
        <v>838</v>
      </c>
      <c r="AH20" s="38"/>
      <c r="AI20" s="38"/>
      <c r="AJ20" s="38"/>
      <c r="AK20" s="38"/>
      <c r="AL20" s="38"/>
      <c r="AM20" s="38"/>
      <c r="AN20" s="38"/>
      <c r="AO20" s="75" t="s">
        <v>1143</v>
      </c>
      <c r="AP20" s="76">
        <v>57.78</v>
      </c>
      <c r="AQ20" s="75" t="s">
        <v>1158</v>
      </c>
      <c r="AR20" s="76">
        <v>63.489999999999995</v>
      </c>
      <c r="AS20" s="75" t="s">
        <v>1173</v>
      </c>
      <c r="AT20" s="76">
        <v>63.7</v>
      </c>
      <c r="AU20" s="75" t="s">
        <v>1187</v>
      </c>
      <c r="AV20" s="76">
        <v>69.209999999999994</v>
      </c>
      <c r="AW20" s="75" t="s">
        <v>1295</v>
      </c>
      <c r="AX20" s="76">
        <v>4</v>
      </c>
      <c r="AY20" s="143" t="s">
        <v>894</v>
      </c>
      <c r="AZ20" s="144">
        <f t="shared" si="8"/>
        <v>14.445</v>
      </c>
      <c r="BA20" s="144">
        <f t="shared" si="0"/>
        <v>15.872499999999999</v>
      </c>
      <c r="BB20" s="144">
        <f t="shared" si="1"/>
        <v>15.925000000000001</v>
      </c>
      <c r="BC20" s="145">
        <f t="shared" si="2"/>
        <v>17.302499999999998</v>
      </c>
      <c r="BD20" s="146"/>
      <c r="BE20" s="207" t="s">
        <v>1206</v>
      </c>
      <c r="BF20" s="50"/>
      <c r="BG20" s="49"/>
      <c r="BH20" s="51"/>
      <c r="BI20" s="51"/>
      <c r="BJ20" s="49"/>
      <c r="BK20" s="49"/>
      <c r="BL20" s="49"/>
      <c r="BM20" s="49"/>
      <c r="BN20" s="51"/>
      <c r="BO20" s="45"/>
      <c r="BX20" s="38"/>
      <c r="BY20" s="46"/>
      <c r="BZ20" s="38"/>
      <c r="CA20" s="38"/>
      <c r="CB20" s="38"/>
      <c r="CG20" s="116" t="s">
        <v>954</v>
      </c>
      <c r="CH20" s="119">
        <v>0.15221146973767513</v>
      </c>
      <c r="CI20" s="45"/>
      <c r="CJ20" s="38"/>
      <c r="CK20" s="38"/>
      <c r="CL20" s="38"/>
      <c r="CM20" s="38"/>
    </row>
    <row r="21" spans="1:91" x14ac:dyDescent="0.25">
      <c r="AC21" s="38"/>
      <c r="AD21" s="110">
        <v>66248.070000000007</v>
      </c>
      <c r="AE21" s="110">
        <v>1743.3702631578949</v>
      </c>
      <c r="AF21" s="110">
        <v>10923</v>
      </c>
      <c r="AG21" s="110">
        <v>17</v>
      </c>
      <c r="AH21" s="38"/>
      <c r="AI21" s="38"/>
      <c r="AJ21" s="38"/>
      <c r="AK21" s="38"/>
      <c r="AL21" s="38"/>
      <c r="AM21" s="38"/>
      <c r="AN21" s="38"/>
      <c r="AY21" s="43"/>
      <c r="AZ21" s="43"/>
      <c r="BA21" s="43"/>
      <c r="BB21" s="43"/>
      <c r="BC21" s="43"/>
      <c r="BD21" s="43"/>
      <c r="BE21" s="65" t="s">
        <v>899</v>
      </c>
      <c r="BF21" s="65" t="s">
        <v>897</v>
      </c>
      <c r="BG21" s="65"/>
      <c r="BH21" s="65" t="s">
        <v>898</v>
      </c>
      <c r="BI21" s="65" t="s">
        <v>1004</v>
      </c>
      <c r="BJ21" s="65" t="s">
        <v>896</v>
      </c>
      <c r="BK21" s="65" t="s">
        <v>897</v>
      </c>
      <c r="BL21" s="65"/>
      <c r="BM21" s="65" t="s">
        <v>898</v>
      </c>
      <c r="BN21" s="65" t="s">
        <v>1004</v>
      </c>
      <c r="BO21" s="147"/>
      <c r="BX21" s="38"/>
      <c r="BY21" s="46"/>
      <c r="BZ21" s="38"/>
      <c r="CA21" s="38"/>
      <c r="CB21" s="38"/>
      <c r="CG21" s="116" t="s">
        <v>955</v>
      </c>
      <c r="CH21" s="119">
        <v>0.21537463500037804</v>
      </c>
      <c r="CI21" s="45"/>
      <c r="CJ21" s="38"/>
      <c r="CK21" s="38"/>
      <c r="CL21" s="38"/>
      <c r="CM21" s="38"/>
    </row>
    <row r="22" spans="1:91" ht="15.75" thickBot="1" x14ac:dyDescent="0.3">
      <c r="AC22" s="38"/>
      <c r="AD22" s="38"/>
      <c r="AE22" s="38"/>
      <c r="AF22" s="38"/>
      <c r="AG22" s="38"/>
      <c r="AH22" s="38"/>
      <c r="AI22" s="38"/>
      <c r="AJ22" s="38"/>
      <c r="AK22" s="38"/>
      <c r="AL22" s="38"/>
      <c r="AM22" s="38"/>
      <c r="AN22" s="38"/>
      <c r="AY22" s="148" t="s">
        <v>1194</v>
      </c>
      <c r="AZ22" s="43"/>
      <c r="BA22" s="43"/>
      <c r="BB22" s="43"/>
      <c r="BC22" s="43"/>
      <c r="BD22" s="43"/>
      <c r="BE22" s="149" t="s">
        <v>851</v>
      </c>
      <c r="BF22" s="149"/>
      <c r="BG22" s="149" t="s">
        <v>793</v>
      </c>
      <c r="BH22" s="149"/>
      <c r="BI22" s="149" t="s">
        <v>1005</v>
      </c>
      <c r="BJ22" s="149" t="s">
        <v>851</v>
      </c>
      <c r="BK22" s="149"/>
      <c r="BL22" s="149" t="s">
        <v>793</v>
      </c>
      <c r="BM22" s="149"/>
      <c r="BN22" s="149" t="s">
        <v>1064</v>
      </c>
      <c r="BO22" s="67"/>
      <c r="BX22" s="38"/>
      <c r="BY22" s="46"/>
      <c r="BZ22" s="38"/>
      <c r="CA22" s="38"/>
      <c r="CB22" s="38"/>
      <c r="CG22" s="116" t="s">
        <v>956</v>
      </c>
      <c r="CH22" s="119">
        <v>0.19879293529027303</v>
      </c>
      <c r="CI22" s="45"/>
      <c r="CJ22" s="38"/>
      <c r="CK22" s="38"/>
      <c r="CL22" s="38"/>
      <c r="CM22" s="38"/>
    </row>
    <row r="23" spans="1:91" ht="16.5" x14ac:dyDescent="0.3">
      <c r="AC23" s="38"/>
      <c r="AD23" s="38"/>
      <c r="AE23" s="38"/>
      <c r="AF23" s="38"/>
      <c r="AG23" s="38"/>
      <c r="AH23" s="38"/>
      <c r="AI23" s="38"/>
      <c r="AJ23" s="38"/>
      <c r="AK23" s="38"/>
      <c r="AL23" s="38"/>
      <c r="AM23" s="38"/>
      <c r="AN23" s="38"/>
      <c r="AY23" s="60"/>
      <c r="AZ23" s="61"/>
      <c r="BA23" s="61"/>
      <c r="BB23" s="61"/>
      <c r="BC23" s="62"/>
      <c r="BD23" s="43"/>
      <c r="BE23" s="150" t="s">
        <v>852</v>
      </c>
      <c r="BF23" s="151">
        <f>SUM(BF5:BF9)</f>
        <v>15</v>
      </c>
      <c r="BG23" s="152"/>
      <c r="BH23" s="153">
        <f>SUM(BH5:BH9)</f>
        <v>3.384999999999998</v>
      </c>
      <c r="BI23" s="153">
        <f t="shared" ref="BI23:BI26" si="10">IFERROR(SUM(BH23/BF23),"")</f>
        <v>0.22566666666666654</v>
      </c>
      <c r="BJ23" s="153" t="s">
        <v>852</v>
      </c>
      <c r="BK23" s="151">
        <f>SUM(BK5:BK9)</f>
        <v>22</v>
      </c>
      <c r="BL23" s="152"/>
      <c r="BM23" s="153">
        <f>SUM(BM5:BM9)</f>
        <v>11.595000000000006</v>
      </c>
      <c r="BN23" s="154">
        <f t="shared" ref="BN23:BN26" si="11">IFERROR(SUM(BM23/BK23),"")</f>
        <v>0.52704545454545482</v>
      </c>
      <c r="BO23" s="67"/>
      <c r="BX23" s="38"/>
      <c r="BY23" s="46"/>
      <c r="BZ23" s="38"/>
      <c r="CA23" s="38"/>
      <c r="CB23" s="38"/>
      <c r="CG23" s="116" t="s">
        <v>957</v>
      </c>
      <c r="CH23" s="119">
        <v>0.59395645780348472</v>
      </c>
      <c r="CI23" s="45"/>
      <c r="CJ23" s="38"/>
      <c r="CK23" s="38"/>
      <c r="CL23" s="38"/>
      <c r="CM23" s="38"/>
    </row>
    <row r="24" spans="1:91" s="155" customFormat="1" ht="30.75" thickBot="1" x14ac:dyDescent="0.35">
      <c r="A24" s="36"/>
      <c r="B24" s="36"/>
      <c r="C24" s="36"/>
      <c r="D24" s="36"/>
      <c r="E24" s="36"/>
      <c r="F24" s="36"/>
      <c r="G24" s="36"/>
      <c r="H24" s="36"/>
      <c r="I24" s="36"/>
      <c r="J24" s="36"/>
      <c r="K24" s="36"/>
      <c r="L24" s="36"/>
      <c r="M24" s="36"/>
      <c r="N24" s="36"/>
      <c r="O24" s="36"/>
      <c r="P24" s="36"/>
      <c r="Q24" s="36"/>
      <c r="R24" s="36"/>
      <c r="S24" s="36"/>
      <c r="T24" s="36"/>
      <c r="U24" s="36"/>
      <c r="V24" s="36"/>
      <c r="AC24" s="156"/>
      <c r="AD24" s="156"/>
      <c r="AE24" s="156"/>
      <c r="AF24" s="156"/>
      <c r="AG24" s="156"/>
      <c r="AH24" s="156"/>
      <c r="AI24" s="156"/>
      <c r="AJ24" s="156"/>
      <c r="AK24" s="156"/>
      <c r="AL24" s="156"/>
      <c r="AM24" s="156"/>
      <c r="AN24" s="156"/>
      <c r="AO24" s="36"/>
      <c r="AP24" s="36"/>
      <c r="AS24" s="36"/>
      <c r="AT24" s="36"/>
      <c r="AU24" s="36"/>
      <c r="AV24" s="36"/>
      <c r="AW24" s="36"/>
      <c r="AX24" s="36"/>
      <c r="AY24" s="157" t="s">
        <v>848</v>
      </c>
      <c r="AZ24" s="158" t="s">
        <v>1195</v>
      </c>
      <c r="BA24" s="158" t="s">
        <v>1196</v>
      </c>
      <c r="BB24" s="158" t="s">
        <v>1197</v>
      </c>
      <c r="BC24" s="159" t="s">
        <v>1198</v>
      </c>
      <c r="BD24" s="43"/>
      <c r="BE24" s="160" t="s">
        <v>853</v>
      </c>
      <c r="BF24" s="161">
        <f>SUM(BF10:BF13)</f>
        <v>2037.2654388674389</v>
      </c>
      <c r="BG24" s="162"/>
      <c r="BH24" s="163">
        <f>SUM(BH10:BH13)</f>
        <v>892.9482443552123</v>
      </c>
      <c r="BI24" s="163">
        <f t="shared" si="10"/>
        <v>0.43830726586694668</v>
      </c>
      <c r="BJ24" s="163" t="s">
        <v>900</v>
      </c>
      <c r="BK24" s="161">
        <f>SUM(BK10:BK13)</f>
        <v>2436.6029163449161</v>
      </c>
      <c r="BL24" s="162"/>
      <c r="BM24" s="163">
        <f>SUM(BM10:BM13)</f>
        <v>1801.8597683706571</v>
      </c>
      <c r="BN24" s="164">
        <f t="shared" si="11"/>
        <v>0.73949668051517381</v>
      </c>
      <c r="BO24" s="67"/>
      <c r="BQ24" s="165"/>
      <c r="BS24" s="165"/>
      <c r="BX24" s="38"/>
      <c r="BY24" s="46"/>
      <c r="BZ24" s="156"/>
      <c r="CA24" s="156"/>
      <c r="CB24" s="156"/>
      <c r="CC24" s="36"/>
      <c r="CD24" s="40"/>
      <c r="CE24" s="36"/>
      <c r="CG24" s="116" t="s">
        <v>958</v>
      </c>
      <c r="CH24" s="119">
        <v>5.4658001441935999E-2</v>
      </c>
      <c r="CI24" s="45"/>
      <c r="CJ24" s="38"/>
      <c r="CK24" s="156"/>
      <c r="CL24" s="156"/>
      <c r="CM24" s="156"/>
    </row>
    <row r="25" spans="1:91" ht="16.5" x14ac:dyDescent="0.3">
      <c r="AC25" s="38"/>
      <c r="AD25" s="38"/>
      <c r="AE25" s="38"/>
      <c r="AF25" s="38"/>
      <c r="AG25" s="38"/>
      <c r="AH25" s="38"/>
      <c r="AI25" s="38"/>
      <c r="AJ25" s="38"/>
      <c r="AK25" s="38"/>
      <c r="AL25" s="38"/>
      <c r="AM25" s="38"/>
      <c r="AN25" s="38"/>
      <c r="AY25" s="111" t="s">
        <v>852</v>
      </c>
      <c r="AZ25" s="112">
        <f>IFERROR(SUM(AP6:AP10)/SUM($AX6:$AX10),"")</f>
        <v>14.368021986171462</v>
      </c>
      <c r="BA25" s="112">
        <f>IFERROR(SUM(AR6:AR10)/SUM($AX6:$AX10),"")</f>
        <v>14.64657301405985</v>
      </c>
      <c r="BB25" s="112">
        <f>IFERROR(SUM(AT6:AT10)/SUM($AX6:$AX10),"")</f>
        <v>14.967950815442702</v>
      </c>
      <c r="BC25" s="113">
        <f>IFERROR(SUM(AV6:AV10)/SUM($AX6:$AX10),"")</f>
        <v>15.220091517118421</v>
      </c>
      <c r="BD25" s="43"/>
      <c r="BE25" s="160" t="s">
        <v>854</v>
      </c>
      <c r="BF25" s="161">
        <f>SUM(BF14:BF15)</f>
        <v>74.930000000000007</v>
      </c>
      <c r="BG25" s="162"/>
      <c r="BH25" s="163">
        <f>SUM(BH14:BH15)</f>
        <v>63.718399999999995</v>
      </c>
      <c r="BI25" s="163">
        <f t="shared" si="10"/>
        <v>0.85037234752435598</v>
      </c>
      <c r="BJ25" s="163" t="s">
        <v>901</v>
      </c>
      <c r="BK25" s="161">
        <f>SUM(BK14:BK15)</f>
        <v>93.13</v>
      </c>
      <c r="BL25" s="162"/>
      <c r="BM25" s="163">
        <f>SUM(BM14:BM15)</f>
        <v>99.011400000000023</v>
      </c>
      <c r="BN25" s="164">
        <f t="shared" si="11"/>
        <v>1.063152582411683</v>
      </c>
      <c r="BO25" s="67"/>
      <c r="BX25" s="156"/>
      <c r="BY25" s="166"/>
      <c r="BZ25" s="38"/>
      <c r="CA25" s="38"/>
      <c r="CB25" s="38"/>
      <c r="CG25" s="116" t="s">
        <v>959</v>
      </c>
      <c r="CH25" s="119">
        <v>4.4661339031623004E-2</v>
      </c>
      <c r="CI25" s="45"/>
      <c r="CJ25" s="156"/>
      <c r="CK25" s="38"/>
      <c r="CL25" s="38"/>
      <c r="CM25" s="38"/>
    </row>
    <row r="26" spans="1:91" ht="17.25" thickBot="1" x14ac:dyDescent="0.35">
      <c r="AC26" s="38"/>
      <c r="AD26" s="38"/>
      <c r="AE26" s="38"/>
      <c r="AF26" s="38"/>
      <c r="AG26" s="38"/>
      <c r="AH26" s="38"/>
      <c r="AI26" s="38"/>
      <c r="AJ26" s="38"/>
      <c r="AK26" s="38"/>
      <c r="AL26" s="38"/>
      <c r="AM26" s="38"/>
      <c r="AN26" s="38"/>
      <c r="AO26" s="155"/>
      <c r="AP26" s="155"/>
      <c r="AY26" s="120" t="s">
        <v>853</v>
      </c>
      <c r="AZ26" s="121">
        <f>IFERROR(SUM(AP11:AP14)/SUM($AX11:$AX14),"")</f>
        <v>9.5073306563536164</v>
      </c>
      <c r="BA26" s="121">
        <f>IFERROR(SUM(AR11:AR14)/SUM($AX11:$AX14),"")</f>
        <v>10.052795494930461</v>
      </c>
      <c r="BB26" s="121">
        <f>IFERROR(SUM(AT11:AT14)/SUM($AX11:$AX14),"")</f>
        <v>9.7842723774275822</v>
      </c>
      <c r="BC26" s="122">
        <f>IFERROR(SUM(AV11:AV14)/SUM($AX11:$AX14),"")</f>
        <v>10.409952103403652</v>
      </c>
      <c r="BD26" s="43"/>
      <c r="BE26" s="167" t="s">
        <v>69</v>
      </c>
      <c r="BF26" s="168">
        <f>SUM(BF16:BF18)</f>
        <v>34.43</v>
      </c>
      <c r="BG26" s="169"/>
      <c r="BH26" s="170">
        <f>SUM(BH16:BH18)</f>
        <v>21.227399999999996</v>
      </c>
      <c r="BI26" s="170">
        <f t="shared" si="10"/>
        <v>0.61653790299157696</v>
      </c>
      <c r="BJ26" s="170" t="s">
        <v>69</v>
      </c>
      <c r="BK26" s="168">
        <f>SUM(BK16:BK18)</f>
        <v>36.43</v>
      </c>
      <c r="BL26" s="169"/>
      <c r="BM26" s="170">
        <f>SUM(BM16:BM18)</f>
        <v>35.549400000000006</v>
      </c>
      <c r="BN26" s="171">
        <f t="shared" si="11"/>
        <v>0.9758276146033491</v>
      </c>
      <c r="BO26" s="141"/>
      <c r="BX26" s="38"/>
      <c r="BY26" s="46"/>
      <c r="BZ26" s="38"/>
      <c r="CA26" s="38"/>
      <c r="CB26" s="38"/>
      <c r="CG26" s="116" t="s">
        <v>938</v>
      </c>
      <c r="CH26" s="119">
        <v>9.034632251546891E-2</v>
      </c>
      <c r="CI26" s="45"/>
      <c r="CJ26" s="38"/>
      <c r="CK26" s="38"/>
      <c r="CL26" s="38"/>
      <c r="CM26" s="38"/>
    </row>
    <row r="27" spans="1:91" ht="17.25" thickBot="1" x14ac:dyDescent="0.35">
      <c r="AC27" s="38"/>
      <c r="AD27" s="38"/>
      <c r="AE27" s="38"/>
      <c r="AF27" s="38"/>
      <c r="AG27" s="38"/>
      <c r="AH27" s="38"/>
      <c r="AI27" s="38"/>
      <c r="AJ27" s="38"/>
      <c r="AK27" s="38"/>
      <c r="AL27" s="38"/>
      <c r="AM27" s="38"/>
      <c r="AN27" s="38"/>
      <c r="AY27" s="120" t="s">
        <v>854</v>
      </c>
      <c r="AZ27" s="121">
        <f>IFERROR(SUM(AP15:AP17)/SUM($AX15:$AX17),"")</f>
        <v>10.301088128320494</v>
      </c>
      <c r="BA27" s="121">
        <f>IFERROR(SUM(AR15:AR17)/SUM($AX15:$AX17),"")</f>
        <v>10.882385377973009</v>
      </c>
      <c r="BB27" s="121">
        <f>IFERROR(SUM(AT15:AT17)/SUM($AX15:$AX17),"")</f>
        <v>10.613516350821456</v>
      </c>
      <c r="BC27" s="122">
        <f>IFERROR(SUM(AV15:AV17)/SUM($AX15:$AX17),"")</f>
        <v>11.26396957618787</v>
      </c>
      <c r="BD27" s="43"/>
      <c r="BE27" s="172" t="s">
        <v>509</v>
      </c>
      <c r="BF27" s="173">
        <f>SUM(BF23:BF26)</f>
        <v>2161.6254388674388</v>
      </c>
      <c r="BG27" s="174"/>
      <c r="BH27" s="175">
        <f>SUM(BH23:BH26)</f>
        <v>981.27904435521225</v>
      </c>
      <c r="BI27" s="176"/>
      <c r="BJ27" s="49"/>
      <c r="BK27" s="173">
        <f>SUM(BK23:BK26)</f>
        <v>2588.1629163449161</v>
      </c>
      <c r="BL27" s="49"/>
      <c r="BM27" s="49"/>
      <c r="BN27" s="176"/>
      <c r="BO27" s="45"/>
      <c r="BX27" s="38"/>
      <c r="BY27" s="46"/>
      <c r="BZ27" s="38"/>
      <c r="CA27" s="38"/>
      <c r="CB27" s="38"/>
      <c r="CG27" s="116" t="s">
        <v>960</v>
      </c>
      <c r="CH27" s="119">
        <v>4.5818446142899788E-2</v>
      </c>
      <c r="CI27" s="45"/>
      <c r="CJ27" s="38"/>
      <c r="CK27" s="38"/>
      <c r="CL27" s="38"/>
      <c r="CM27" s="38"/>
    </row>
    <row r="28" spans="1:91" ht="15.75" thickBot="1" x14ac:dyDescent="0.3">
      <c r="AC28" s="38"/>
      <c r="AD28" s="38"/>
      <c r="AE28" s="38"/>
      <c r="AF28" s="38"/>
      <c r="AG28" s="38"/>
      <c r="AH28" s="38"/>
      <c r="AI28" s="38"/>
      <c r="AJ28" s="38"/>
      <c r="AK28" s="38"/>
      <c r="AL28" s="38"/>
      <c r="AM28" s="38"/>
      <c r="AN28" s="38"/>
      <c r="AY28" s="143" t="s">
        <v>69</v>
      </c>
      <c r="AZ28" s="144">
        <f>IFERROR(SUM(AP18:AP20)/SUM($AX18:$AX20),"")</f>
        <v>10.745695153941734</v>
      </c>
      <c r="BA28" s="144">
        <f>IFERROR(SUM(AR18:AR20)/SUM($AX18:$AX20),"")</f>
        <v>11.168033963827142</v>
      </c>
      <c r="BB28" s="144">
        <f>IFERROR(SUM(AT18:AT20)/SUM($AX18:$AX20),"")</f>
        <v>11.16880574347646</v>
      </c>
      <c r="BC28" s="145">
        <f>IFERROR(SUM(AV18:AV20)/SUM($AX18:$AX20),"")</f>
        <v>11.635463205853927</v>
      </c>
      <c r="BD28" s="43"/>
      <c r="BE28" s="38"/>
      <c r="BF28" s="44"/>
      <c r="BG28" s="38"/>
      <c r="BH28" s="45"/>
      <c r="BI28" s="45"/>
      <c r="BJ28" s="38"/>
      <c r="BK28" s="38"/>
      <c r="BL28" s="45"/>
      <c r="BM28" s="45"/>
      <c r="BN28" s="45"/>
      <c r="BO28" s="45"/>
      <c r="BX28" s="38"/>
      <c r="BY28" s="46"/>
      <c r="BZ28" s="38"/>
      <c r="CA28" s="38"/>
      <c r="CB28" s="38"/>
      <c r="CG28" s="116" t="s">
        <v>961</v>
      </c>
      <c r="CH28" s="119">
        <v>0.13793670292054613</v>
      </c>
      <c r="CI28" s="45"/>
      <c r="CJ28" s="38"/>
      <c r="CK28" s="38"/>
      <c r="CL28" s="38"/>
      <c r="CM28" s="38"/>
    </row>
    <row r="29" spans="1:91" ht="15.75" x14ac:dyDescent="0.25">
      <c r="A29" s="155"/>
      <c r="B29" s="155"/>
      <c r="C29" s="155"/>
      <c r="D29" s="155"/>
      <c r="E29" s="155"/>
      <c r="F29" s="155"/>
      <c r="G29" s="155"/>
      <c r="H29" s="155"/>
      <c r="I29" s="155"/>
      <c r="J29" s="155"/>
      <c r="K29" s="155"/>
      <c r="AC29" s="38"/>
      <c r="AD29" s="38"/>
      <c r="AE29" s="38"/>
      <c r="AF29" s="38"/>
      <c r="AG29" s="38"/>
      <c r="AH29" s="38"/>
      <c r="AI29" s="38"/>
      <c r="AJ29" s="38"/>
      <c r="AK29" s="38"/>
      <c r="AL29" s="38"/>
      <c r="AM29" s="38"/>
      <c r="AN29" s="38"/>
      <c r="AY29" s="43"/>
      <c r="AZ29" s="43"/>
      <c r="BA29" s="43"/>
      <c r="BB29" s="43"/>
      <c r="BC29" s="43"/>
      <c r="BD29" s="43"/>
      <c r="BE29" s="38"/>
      <c r="BF29" s="44"/>
      <c r="BG29" s="38"/>
      <c r="BH29" s="45"/>
      <c r="BI29" s="45"/>
      <c r="BJ29" s="38"/>
      <c r="BK29" s="38"/>
      <c r="BL29" s="45"/>
      <c r="BM29" s="45"/>
      <c r="BN29" s="45"/>
      <c r="BO29" s="45"/>
      <c r="BX29" s="38"/>
      <c r="BY29" s="46"/>
      <c r="BZ29" s="38"/>
      <c r="CA29" s="38"/>
      <c r="CB29" s="38"/>
      <c r="CG29" s="116" t="s">
        <v>962</v>
      </c>
      <c r="CH29" s="119">
        <v>0.13670270963346412</v>
      </c>
      <c r="CI29" s="45"/>
      <c r="CJ29" s="38"/>
      <c r="CK29" s="38"/>
      <c r="CL29" s="38"/>
      <c r="CM29" s="38"/>
    </row>
    <row r="30" spans="1:91" x14ac:dyDescent="0.25">
      <c r="W30" s="37" t="s">
        <v>1299</v>
      </c>
      <c r="AC30" s="38"/>
      <c r="AD30" s="38"/>
      <c r="AE30" s="38"/>
      <c r="AF30" s="38"/>
      <c r="AG30" s="38"/>
      <c r="AH30" s="38"/>
      <c r="AI30" s="38"/>
      <c r="AJ30" s="38"/>
      <c r="AK30" s="38"/>
      <c r="AL30" s="38"/>
      <c r="AM30" s="38"/>
      <c r="AN30" s="38"/>
      <c r="AY30" s="43"/>
      <c r="AZ30" s="43"/>
      <c r="BA30" s="43"/>
      <c r="BB30" s="43"/>
      <c r="BC30" s="43"/>
      <c r="BD30" s="43"/>
      <c r="BE30" s="38"/>
      <c r="BF30" s="44"/>
      <c r="BG30" s="38"/>
      <c r="BH30" s="45"/>
      <c r="BI30" s="45"/>
      <c r="BJ30" s="38"/>
      <c r="BK30" s="38"/>
      <c r="BL30" s="45"/>
      <c r="BM30" s="45"/>
      <c r="BN30" s="45"/>
      <c r="BO30" s="45"/>
      <c r="BX30" s="38"/>
      <c r="BY30" s="46"/>
      <c r="BZ30" s="38"/>
      <c r="CA30" s="38"/>
      <c r="CB30" s="38"/>
      <c r="CG30" s="116" t="s">
        <v>963</v>
      </c>
      <c r="CH30" s="119">
        <v>0.28131312117122487</v>
      </c>
      <c r="CI30" s="45"/>
      <c r="CJ30" s="38"/>
      <c r="CK30" s="38"/>
      <c r="CL30" s="38"/>
      <c r="CM30" s="38"/>
    </row>
    <row r="31" spans="1:91" x14ac:dyDescent="0.25">
      <c r="AC31" s="38"/>
      <c r="AD31" s="38"/>
      <c r="AE31" s="38"/>
      <c r="AF31" s="38"/>
      <c r="AG31" s="38"/>
      <c r="AH31" s="38"/>
      <c r="AI31" s="38"/>
      <c r="AJ31" s="38"/>
      <c r="AK31" s="38"/>
      <c r="AL31" s="38"/>
      <c r="AM31" s="38"/>
      <c r="AN31" s="38"/>
      <c r="AY31" s="43"/>
      <c r="AZ31" s="43"/>
      <c r="BA31" s="43"/>
      <c r="BB31" s="43"/>
      <c r="BC31" s="43"/>
      <c r="BD31" s="43"/>
      <c r="BE31" s="38"/>
      <c r="BF31" s="44"/>
      <c r="BG31" s="38"/>
      <c r="BH31" s="45"/>
      <c r="BI31" s="45"/>
      <c r="BJ31" s="38"/>
      <c r="BK31" s="38"/>
      <c r="BL31" s="45"/>
      <c r="BM31" s="45"/>
      <c r="BN31" s="45"/>
      <c r="BO31" s="45"/>
      <c r="BX31" s="38"/>
      <c r="BY31" s="46"/>
      <c r="BZ31" s="38"/>
      <c r="CA31" s="38"/>
      <c r="CB31" s="38"/>
      <c r="CG31" s="116" t="s">
        <v>964</v>
      </c>
      <c r="CH31" s="119">
        <v>0.41286602641343872</v>
      </c>
      <c r="CI31" s="45"/>
      <c r="CJ31" s="38"/>
      <c r="CK31" s="38"/>
      <c r="CL31" s="38"/>
      <c r="CM31" s="38"/>
    </row>
    <row r="32" spans="1:91" x14ac:dyDescent="0.25">
      <c r="W32" s="55" t="s">
        <v>713</v>
      </c>
      <c r="X32" s="36" t="s">
        <v>816</v>
      </c>
      <c r="Y32" s="36" t="s">
        <v>796</v>
      </c>
      <c r="AC32" s="38"/>
      <c r="AD32" s="38"/>
      <c r="AE32" s="38"/>
      <c r="AF32" s="38"/>
      <c r="AG32" s="38"/>
      <c r="AH32" s="38"/>
      <c r="AI32" s="38"/>
      <c r="AJ32" s="38"/>
      <c r="AK32" s="38"/>
      <c r="AL32" s="38"/>
      <c r="AM32" s="38"/>
      <c r="AN32" s="38"/>
      <c r="AY32" s="43"/>
      <c r="AZ32" s="43"/>
      <c r="BA32" s="43"/>
      <c r="BB32" s="43"/>
      <c r="BC32" s="43"/>
      <c r="BD32" s="43"/>
      <c r="BE32" s="38"/>
      <c r="BF32" s="44"/>
      <c r="BG32" s="38"/>
      <c r="BH32" s="45"/>
      <c r="BI32" s="45"/>
      <c r="BJ32" s="38"/>
      <c r="BK32" s="38"/>
      <c r="BL32" s="45"/>
      <c r="BM32" s="45"/>
      <c r="BN32" s="45"/>
      <c r="BO32" s="45"/>
      <c r="BX32" s="38"/>
      <c r="BY32" s="46"/>
      <c r="BZ32" s="38"/>
      <c r="CA32" s="38"/>
      <c r="CB32" s="38"/>
      <c r="CG32" s="116" t="s">
        <v>965</v>
      </c>
      <c r="CH32" s="119">
        <v>4.7060129619167813E-2</v>
      </c>
      <c r="CI32" s="45"/>
      <c r="CJ32" s="38"/>
      <c r="CK32" s="38"/>
      <c r="CL32" s="38"/>
      <c r="CM32" s="38"/>
    </row>
    <row r="33" spans="23:91" ht="15.75" thickBot="1" x14ac:dyDescent="0.3">
      <c r="W33" s="75" t="s">
        <v>345</v>
      </c>
      <c r="X33" s="76">
        <v>62</v>
      </c>
      <c r="Y33" s="52">
        <v>0.75609756097560976</v>
      </c>
      <c r="AC33" s="38"/>
      <c r="AD33" s="38"/>
      <c r="AE33" s="38"/>
      <c r="AF33" s="38"/>
      <c r="AG33" s="38"/>
      <c r="AH33" s="38"/>
      <c r="AI33" s="38"/>
      <c r="AJ33" s="38"/>
      <c r="AK33" s="38"/>
      <c r="AL33" s="38"/>
      <c r="AM33" s="38"/>
      <c r="AN33" s="38"/>
      <c r="AY33" s="43"/>
      <c r="AZ33" s="43"/>
      <c r="BA33" s="43"/>
      <c r="BB33" s="43"/>
      <c r="BC33" s="43"/>
      <c r="BD33" s="43"/>
      <c r="BE33" s="38"/>
      <c r="BF33" s="44"/>
      <c r="BG33" s="38"/>
      <c r="BH33" s="45"/>
      <c r="BI33" s="45"/>
      <c r="BJ33" s="38"/>
      <c r="BK33" s="38"/>
      <c r="BL33" s="45"/>
      <c r="BM33" s="45"/>
      <c r="BN33" s="45"/>
      <c r="BO33" s="45"/>
      <c r="BX33" s="38"/>
      <c r="BY33" s="46"/>
      <c r="BZ33" s="38"/>
      <c r="CA33" s="38"/>
      <c r="CB33" s="38"/>
      <c r="CC33" s="55"/>
      <c r="CD33" s="177"/>
      <c r="CG33" s="116" t="s">
        <v>966</v>
      </c>
      <c r="CH33" s="119">
        <v>1.2304485167271091E-2</v>
      </c>
      <c r="CI33" s="45"/>
      <c r="CJ33" s="38"/>
      <c r="CK33" s="38"/>
      <c r="CL33" s="38"/>
      <c r="CM33" s="38"/>
    </row>
    <row r="34" spans="23:91" x14ac:dyDescent="0.25">
      <c r="W34" s="75" t="s">
        <v>358</v>
      </c>
      <c r="X34" s="76">
        <v>18</v>
      </c>
      <c r="Y34" s="52">
        <v>0.21951219512195122</v>
      </c>
      <c r="AC34" s="38"/>
      <c r="AD34" s="38"/>
      <c r="AE34" s="38"/>
      <c r="AF34" s="38"/>
      <c r="AG34" s="38"/>
      <c r="AH34" s="38"/>
      <c r="AI34" s="38"/>
      <c r="AJ34" s="38"/>
      <c r="AK34" s="38"/>
      <c r="AL34" s="38"/>
      <c r="AM34" s="38"/>
      <c r="AN34" s="38"/>
      <c r="AY34" s="43"/>
      <c r="AZ34" s="43"/>
      <c r="BA34" s="43"/>
      <c r="BB34" s="43"/>
      <c r="BC34" s="43"/>
      <c r="BD34" s="43"/>
      <c r="BE34" s="38"/>
      <c r="BF34" s="44"/>
      <c r="BG34" s="38"/>
      <c r="BH34" s="45"/>
      <c r="BI34" s="45"/>
      <c r="BJ34" s="38"/>
      <c r="BK34" s="38"/>
      <c r="BL34" s="45"/>
      <c r="BM34" s="45"/>
      <c r="BN34" s="45"/>
      <c r="BO34" s="45"/>
      <c r="BX34" s="38"/>
      <c r="BY34" s="46"/>
      <c r="BZ34" s="38"/>
      <c r="CA34" s="38"/>
      <c r="CB34" s="38"/>
      <c r="CD34" s="36"/>
      <c r="CG34" s="106" t="s">
        <v>982</v>
      </c>
      <c r="CH34" s="109">
        <v>1.2449012961838173</v>
      </c>
      <c r="CI34" s="45"/>
      <c r="CJ34" s="38"/>
      <c r="CK34" s="38"/>
      <c r="CL34" s="38"/>
      <c r="CM34" s="38"/>
    </row>
    <row r="35" spans="23:91" ht="15.75" thickBot="1" x14ac:dyDescent="0.3">
      <c r="W35" s="75" t="s">
        <v>815</v>
      </c>
      <c r="X35" s="76">
        <v>2</v>
      </c>
      <c r="Y35" s="52">
        <v>2.4390243902439025E-2</v>
      </c>
      <c r="AC35" s="38"/>
      <c r="AD35" s="38"/>
      <c r="AE35" s="38"/>
      <c r="AF35" s="38"/>
      <c r="AG35" s="38"/>
      <c r="AH35" s="38"/>
      <c r="AI35" s="38"/>
      <c r="AJ35" s="38"/>
      <c r="AK35" s="38"/>
      <c r="AL35" s="38"/>
      <c r="AM35" s="38"/>
      <c r="AN35" s="38"/>
      <c r="AY35" s="43"/>
      <c r="AZ35" s="43"/>
      <c r="BA35" s="43"/>
      <c r="BB35" s="43"/>
      <c r="BC35" s="43"/>
      <c r="BD35" s="43"/>
      <c r="BE35" s="38"/>
      <c r="BF35" s="44"/>
      <c r="BG35" s="38"/>
      <c r="BH35" s="45"/>
      <c r="BI35" s="45"/>
      <c r="BJ35" s="38"/>
      <c r="BK35" s="38"/>
      <c r="BL35" s="45"/>
      <c r="BM35" s="45"/>
      <c r="BN35" s="45"/>
      <c r="BO35" s="45"/>
      <c r="BX35" s="38"/>
      <c r="BY35" s="46"/>
      <c r="BZ35" s="38"/>
      <c r="CA35" s="38"/>
      <c r="CB35" s="38"/>
      <c r="CD35" s="36"/>
      <c r="CG35" s="127" t="s">
        <v>983</v>
      </c>
      <c r="CH35" s="142">
        <v>0.12014006326859469</v>
      </c>
      <c r="CI35" s="45"/>
      <c r="CJ35" s="38"/>
      <c r="CK35" s="38"/>
      <c r="CL35" s="38"/>
      <c r="CM35" s="38"/>
    </row>
    <row r="36" spans="23:91" ht="15.75" thickBot="1" x14ac:dyDescent="0.3">
      <c r="W36" s="75" t="s">
        <v>714</v>
      </c>
      <c r="X36" s="76">
        <v>82</v>
      </c>
      <c r="Y36" s="52">
        <v>1</v>
      </c>
      <c r="AC36" s="38"/>
      <c r="AD36" s="38"/>
      <c r="AE36" s="38"/>
      <c r="AF36" s="38"/>
      <c r="AG36" s="38"/>
      <c r="AH36" s="38"/>
      <c r="AI36" s="38"/>
      <c r="AJ36" s="38"/>
      <c r="AK36" s="38"/>
      <c r="AL36" s="38"/>
      <c r="AM36" s="38"/>
      <c r="AN36" s="38"/>
      <c r="AY36" s="43"/>
      <c r="AZ36" s="43"/>
      <c r="BA36" s="43"/>
      <c r="BB36" s="43"/>
      <c r="BC36" s="43"/>
      <c r="BD36" s="43"/>
      <c r="BE36" s="38"/>
      <c r="BF36" s="44"/>
      <c r="BG36" s="38"/>
      <c r="BH36" s="45"/>
      <c r="BI36" s="45"/>
      <c r="BJ36" s="38"/>
      <c r="BK36" s="38"/>
      <c r="BL36" s="45"/>
      <c r="BM36" s="45"/>
      <c r="BN36" s="45"/>
      <c r="BO36" s="45"/>
      <c r="BX36" s="38"/>
      <c r="BY36" s="46"/>
      <c r="BZ36" s="38"/>
      <c r="CA36" s="38"/>
      <c r="CB36" s="38"/>
      <c r="CG36" s="130" t="s">
        <v>714</v>
      </c>
      <c r="CH36" s="178">
        <f>SUM(CH5:CH35)</f>
        <v>16.154275609781212</v>
      </c>
      <c r="CI36" s="45"/>
      <c r="CJ36" s="38"/>
      <c r="CK36" s="38"/>
      <c r="CL36" s="38"/>
      <c r="CM36" s="38"/>
    </row>
    <row r="37" spans="23:91" ht="15.75" thickBot="1" x14ac:dyDescent="0.3">
      <c r="AC37" s="38"/>
      <c r="AD37" s="38"/>
      <c r="AE37" s="38"/>
      <c r="AF37" s="38"/>
      <c r="AG37" s="38"/>
      <c r="AH37" s="38"/>
      <c r="AI37" s="38"/>
      <c r="AJ37" s="38"/>
      <c r="AK37" s="38"/>
      <c r="AL37" s="38"/>
      <c r="AM37" s="38"/>
      <c r="AN37" s="38"/>
      <c r="AY37" s="43"/>
      <c r="AZ37" s="43"/>
      <c r="BA37" s="43"/>
      <c r="BB37" s="43"/>
      <c r="BC37" s="43"/>
      <c r="BD37" s="43"/>
      <c r="BE37" s="38"/>
      <c r="BF37" s="44"/>
      <c r="BG37" s="38"/>
      <c r="BH37" s="45"/>
      <c r="BI37" s="45"/>
      <c r="BJ37" s="38"/>
      <c r="BK37" s="38"/>
      <c r="BL37" s="45"/>
      <c r="BM37" s="45"/>
      <c r="BN37" s="45"/>
      <c r="BO37" s="45"/>
      <c r="BX37" s="38"/>
      <c r="BY37" s="46"/>
      <c r="BZ37" s="38"/>
      <c r="CA37" s="38"/>
      <c r="CB37" s="38"/>
      <c r="CI37" s="45"/>
      <c r="CJ37" s="38"/>
      <c r="CK37" s="38"/>
      <c r="CL37" s="38"/>
      <c r="CM37" s="38"/>
    </row>
    <row r="38" spans="23:91" ht="15.75" thickBot="1" x14ac:dyDescent="0.3">
      <c r="AC38" s="38"/>
      <c r="AD38" s="38"/>
      <c r="AE38" s="38"/>
      <c r="AF38" s="38"/>
      <c r="AG38" s="38"/>
      <c r="AH38" s="38"/>
      <c r="AI38" s="38"/>
      <c r="AJ38" s="38"/>
      <c r="AK38" s="38"/>
      <c r="AL38" s="38"/>
      <c r="AM38" s="38"/>
      <c r="AN38" s="38"/>
      <c r="AY38" s="43"/>
      <c r="AZ38" s="43"/>
      <c r="BA38" s="43"/>
      <c r="BB38" s="43"/>
      <c r="BC38" s="43"/>
      <c r="BD38" s="43"/>
      <c r="BE38" s="38"/>
      <c r="BF38" s="44"/>
      <c r="BG38" s="38"/>
      <c r="BH38" s="45"/>
      <c r="BI38" s="45"/>
      <c r="BJ38" s="38"/>
      <c r="BK38" s="38"/>
      <c r="BL38" s="45"/>
      <c r="BM38" s="45"/>
      <c r="BN38" s="45"/>
      <c r="BO38" s="45"/>
      <c r="BX38" s="38"/>
      <c r="BY38" s="46"/>
      <c r="BZ38" s="38"/>
      <c r="CA38" s="38"/>
      <c r="CB38" s="38"/>
      <c r="CG38" s="179" t="s">
        <v>734</v>
      </c>
      <c r="CH38" s="54" t="s">
        <v>753</v>
      </c>
      <c r="CI38" s="45"/>
      <c r="CJ38" s="38"/>
      <c r="CK38" s="38"/>
      <c r="CL38" s="38"/>
      <c r="CM38" s="38"/>
    </row>
    <row r="39" spans="23:91" ht="15.75" thickBot="1" x14ac:dyDescent="0.3">
      <c r="AC39" s="38"/>
      <c r="AD39" s="38"/>
      <c r="AE39" s="38"/>
      <c r="AF39" s="38"/>
      <c r="AG39" s="38"/>
      <c r="AH39" s="38"/>
      <c r="AI39" s="38"/>
      <c r="AJ39" s="38"/>
      <c r="AK39" s="38"/>
      <c r="AL39" s="38"/>
      <c r="AM39" s="38"/>
      <c r="AN39" s="38"/>
      <c r="AY39" s="43"/>
      <c r="AZ39" s="43"/>
      <c r="BA39" s="43"/>
      <c r="BB39" s="43"/>
      <c r="BC39" s="43"/>
      <c r="BD39" s="43"/>
      <c r="BE39" s="38"/>
      <c r="BF39" s="44"/>
      <c r="BG39" s="38"/>
      <c r="BH39" s="45"/>
      <c r="BI39" s="45"/>
      <c r="BJ39" s="38"/>
      <c r="BK39" s="38"/>
      <c r="BL39" s="45"/>
      <c r="BM39" s="45"/>
      <c r="BN39" s="45"/>
      <c r="BO39" s="45"/>
      <c r="BX39" s="38"/>
      <c r="BY39" s="46"/>
      <c r="BZ39" s="38"/>
      <c r="CA39" s="38"/>
      <c r="CB39" s="38"/>
      <c r="CG39" s="38"/>
      <c r="CH39" s="45"/>
      <c r="CI39" s="38"/>
      <c r="CJ39" s="38"/>
      <c r="CK39" s="38"/>
      <c r="CL39" s="38"/>
      <c r="CM39" s="38"/>
    </row>
    <row r="40" spans="23:91" ht="15.75" thickBot="1" x14ac:dyDescent="0.3">
      <c r="AC40" s="38"/>
      <c r="AD40" s="38"/>
      <c r="AE40" s="38"/>
      <c r="AF40" s="38"/>
      <c r="AG40" s="38"/>
      <c r="AH40" s="38"/>
      <c r="AI40" s="38"/>
      <c r="AJ40" s="38"/>
      <c r="AK40" s="38"/>
      <c r="AL40" s="38"/>
      <c r="AM40" s="38"/>
      <c r="AN40" s="38"/>
      <c r="AY40" s="43"/>
      <c r="AZ40" s="43"/>
      <c r="BA40" s="180"/>
      <c r="BB40" s="180"/>
      <c r="BC40" s="180"/>
      <c r="BD40" s="43"/>
      <c r="BE40" s="38"/>
      <c r="BF40" s="44"/>
      <c r="BG40" s="38"/>
      <c r="BH40" s="45"/>
      <c r="BI40" s="45"/>
      <c r="BJ40" s="38"/>
      <c r="BK40" s="38"/>
      <c r="BL40" s="45"/>
      <c r="BM40" s="45"/>
      <c r="BN40" s="45"/>
      <c r="BO40" s="45"/>
      <c r="BX40" s="38"/>
      <c r="BY40" s="46"/>
      <c r="BZ40" s="38"/>
      <c r="CA40" s="38"/>
      <c r="CB40" s="38"/>
      <c r="CG40" s="53" t="s">
        <v>795</v>
      </c>
      <c r="CH40" s="181"/>
      <c r="CI40" s="38"/>
      <c r="CJ40" s="38"/>
      <c r="CK40" s="38"/>
      <c r="CL40" s="38"/>
      <c r="CM40" s="38"/>
    </row>
    <row r="41" spans="23:91" x14ac:dyDescent="0.25">
      <c r="AC41" s="38"/>
      <c r="AD41" s="38"/>
      <c r="AE41" s="38"/>
      <c r="AF41" s="38"/>
      <c r="AG41" s="38"/>
      <c r="AH41" s="38"/>
      <c r="AI41" s="38"/>
      <c r="AJ41" s="38"/>
      <c r="AK41" s="38"/>
      <c r="AL41" s="38"/>
      <c r="AM41" s="38"/>
      <c r="AN41" s="38"/>
      <c r="AY41" s="43"/>
      <c r="AZ41" s="43"/>
      <c r="BA41" s="180"/>
      <c r="BB41" s="180"/>
      <c r="BC41" s="180"/>
      <c r="BD41" s="43"/>
      <c r="BE41" s="38"/>
      <c r="BF41" s="44"/>
      <c r="BG41" s="38"/>
      <c r="BH41" s="45"/>
      <c r="BI41" s="45"/>
      <c r="BJ41" s="38"/>
      <c r="BK41" s="38"/>
      <c r="BL41" s="45"/>
      <c r="BM41" s="45"/>
      <c r="BN41" s="45"/>
      <c r="BO41" s="45"/>
      <c r="BX41" s="38"/>
      <c r="BY41" s="46"/>
      <c r="BZ41" s="38"/>
      <c r="CA41" s="38"/>
      <c r="CB41" s="38"/>
      <c r="CG41" s="106" t="s">
        <v>754</v>
      </c>
      <c r="CH41" s="109">
        <v>11.808724059392686</v>
      </c>
      <c r="CI41" s="38"/>
      <c r="CJ41" s="38"/>
      <c r="CK41" s="38"/>
      <c r="CL41" s="38"/>
      <c r="CM41" s="38"/>
    </row>
    <row r="42" spans="23:91" x14ac:dyDescent="0.25">
      <c r="AC42" s="38"/>
      <c r="AD42" s="38"/>
      <c r="AE42" s="38"/>
      <c r="AF42" s="38"/>
      <c r="AG42" s="38"/>
      <c r="AH42" s="38"/>
      <c r="AI42" s="38"/>
      <c r="AJ42" s="38"/>
      <c r="AK42" s="38"/>
      <c r="AL42" s="38"/>
      <c r="AM42" s="38"/>
      <c r="AN42" s="38"/>
      <c r="AY42" s="43"/>
      <c r="AZ42" s="43"/>
      <c r="BA42" s="43"/>
      <c r="BB42" s="43"/>
      <c r="BC42" s="43"/>
      <c r="BD42" s="180"/>
      <c r="BE42" s="38"/>
      <c r="BF42" s="44"/>
      <c r="BG42" s="38"/>
      <c r="BH42" s="45"/>
      <c r="BI42" s="45"/>
      <c r="BJ42" s="38"/>
      <c r="BK42" s="38"/>
      <c r="BL42" s="45"/>
      <c r="BM42" s="45"/>
      <c r="BN42" s="45"/>
      <c r="BO42" s="45"/>
      <c r="BP42" s="37" t="s">
        <v>979</v>
      </c>
      <c r="BQ42" s="36"/>
      <c r="BS42" s="36"/>
      <c r="BX42" s="38"/>
      <c r="BY42" s="46"/>
      <c r="BZ42" s="38"/>
      <c r="CA42" s="38"/>
      <c r="CB42" s="38"/>
      <c r="CG42" s="116" t="s">
        <v>989</v>
      </c>
      <c r="CH42" s="119">
        <v>0.55650740904726481</v>
      </c>
      <c r="CI42" s="38"/>
      <c r="CJ42" s="38"/>
      <c r="CK42" s="38"/>
      <c r="CL42" s="38"/>
      <c r="CM42" s="38"/>
    </row>
    <row r="43" spans="23:91" ht="15.75" thickBot="1" x14ac:dyDescent="0.3">
      <c r="AC43" s="38"/>
      <c r="AD43" s="38"/>
      <c r="AE43" s="38"/>
      <c r="AF43" s="38"/>
      <c r="AG43" s="38"/>
      <c r="AH43" s="38"/>
      <c r="AI43" s="38"/>
      <c r="AJ43" s="38"/>
      <c r="AK43" s="38"/>
      <c r="AL43" s="38"/>
      <c r="AM43" s="38"/>
      <c r="AN43" s="38"/>
      <c r="AY43" s="43"/>
      <c r="AZ43" s="43"/>
      <c r="BA43" s="43"/>
      <c r="BB43" s="43"/>
      <c r="BC43" s="43"/>
      <c r="BD43" s="180"/>
      <c r="BE43" s="38"/>
      <c r="BF43" s="44"/>
      <c r="BG43" s="38"/>
      <c r="BH43" s="45"/>
      <c r="BI43" s="45"/>
      <c r="BJ43" s="38"/>
      <c r="BK43" s="38"/>
      <c r="BL43" s="45"/>
      <c r="BM43" s="45"/>
      <c r="BN43" s="45"/>
      <c r="BO43" s="45"/>
      <c r="BQ43" s="36"/>
      <c r="BS43" s="36"/>
      <c r="BX43" s="38"/>
      <c r="BY43" s="46"/>
      <c r="BZ43" s="38"/>
      <c r="CA43" s="38"/>
      <c r="CB43" s="38"/>
      <c r="CG43" s="116" t="s">
        <v>990</v>
      </c>
      <c r="CH43" s="119">
        <v>1.6704590195177489</v>
      </c>
      <c r="CI43" s="38"/>
      <c r="CJ43" s="38"/>
      <c r="CK43" s="38"/>
      <c r="CL43" s="38"/>
      <c r="CM43" s="38"/>
    </row>
    <row r="44" spans="23:91" ht="15.75" thickBot="1" x14ac:dyDescent="0.3">
      <c r="AC44" s="38"/>
      <c r="AD44" s="38"/>
      <c r="AE44" s="38"/>
      <c r="AF44" s="38"/>
      <c r="AG44" s="38"/>
      <c r="AH44" s="38"/>
      <c r="AI44" s="38"/>
      <c r="AJ44" s="38"/>
      <c r="AK44" s="38"/>
      <c r="AL44" s="38"/>
      <c r="AM44" s="38"/>
      <c r="AN44" s="38"/>
      <c r="AY44" s="43"/>
      <c r="AZ44" s="43"/>
      <c r="BA44" s="43"/>
      <c r="BB44" s="43"/>
      <c r="BC44" s="43"/>
      <c r="BD44" s="43"/>
      <c r="BE44" s="38"/>
      <c r="BF44" s="44"/>
      <c r="BG44" s="38"/>
      <c r="BH44" s="45"/>
      <c r="BI44" s="45"/>
      <c r="BJ44" s="38"/>
      <c r="BK44" s="38"/>
      <c r="BL44" s="45"/>
      <c r="BM44" s="45"/>
      <c r="BN44" s="45"/>
      <c r="BO44" s="45"/>
      <c r="BP44" s="182" t="s">
        <v>978</v>
      </c>
      <c r="BQ44" s="36"/>
      <c r="BR44" s="52"/>
      <c r="BS44" s="36"/>
      <c r="BX44" s="38"/>
      <c r="BY44" s="46"/>
      <c r="BZ44" s="38"/>
      <c r="CA44" s="38"/>
      <c r="CB44" s="38"/>
      <c r="CG44" s="127" t="s">
        <v>991</v>
      </c>
      <c r="CH44" s="142">
        <v>0.75354376237110254</v>
      </c>
      <c r="CI44" s="38"/>
      <c r="CJ44" s="38"/>
      <c r="CK44" s="38"/>
      <c r="CL44" s="38"/>
      <c r="CM44" s="38"/>
    </row>
    <row r="45" spans="23:91" ht="15.75" thickBot="1" x14ac:dyDescent="0.3">
      <c r="AC45" s="38"/>
      <c r="AD45" s="38"/>
      <c r="AE45" s="38"/>
      <c r="AF45" s="38"/>
      <c r="AG45" s="38"/>
      <c r="AH45" s="38"/>
      <c r="AI45" s="38"/>
      <c r="AJ45" s="38"/>
      <c r="AK45" s="38"/>
      <c r="AL45" s="38"/>
      <c r="AM45" s="38"/>
      <c r="AN45" s="38"/>
      <c r="AY45" s="43"/>
      <c r="AZ45" s="43"/>
      <c r="BA45" s="43"/>
      <c r="BB45" s="43"/>
      <c r="BC45" s="43"/>
      <c r="BD45" s="43"/>
      <c r="BE45" s="38"/>
      <c r="BF45" s="44"/>
      <c r="BG45" s="38"/>
      <c r="BH45" s="45"/>
      <c r="BI45" s="45"/>
      <c r="BJ45" s="38"/>
      <c r="BK45" s="38"/>
      <c r="BL45" s="45"/>
      <c r="BM45" s="45"/>
      <c r="BN45" s="45"/>
      <c r="BO45" s="45"/>
      <c r="BP45" s="183">
        <v>6.3188235294117559E-2</v>
      </c>
      <c r="BQ45" s="36"/>
      <c r="BR45" s="52"/>
      <c r="BS45" s="36"/>
      <c r="BX45" s="38"/>
      <c r="BY45" s="46"/>
      <c r="BZ45" s="38"/>
      <c r="CA45" s="38"/>
      <c r="CB45" s="38"/>
      <c r="CG45" s="184"/>
      <c r="CH45" s="45"/>
      <c r="CI45" s="38"/>
      <c r="CJ45" s="38"/>
      <c r="CK45" s="38"/>
      <c r="CL45" s="38"/>
      <c r="CM45" s="38"/>
    </row>
    <row r="46" spans="23:91" ht="15.75" thickBot="1" x14ac:dyDescent="0.3">
      <c r="AC46" s="38"/>
      <c r="AD46" s="38"/>
      <c r="AE46" s="38"/>
      <c r="AF46" s="38"/>
      <c r="AG46" s="38"/>
      <c r="AH46" s="38"/>
      <c r="AI46" s="38"/>
      <c r="AJ46" s="38"/>
      <c r="AK46" s="38"/>
      <c r="AL46" s="38"/>
      <c r="AM46" s="38"/>
      <c r="AN46" s="38"/>
      <c r="AY46" s="43"/>
      <c r="AZ46" s="43"/>
      <c r="BA46" s="43"/>
      <c r="BB46" s="43"/>
      <c r="BC46" s="43"/>
      <c r="BD46" s="43"/>
      <c r="BE46" s="38"/>
      <c r="BF46" s="44"/>
      <c r="BG46" s="38"/>
      <c r="BH46" s="45"/>
      <c r="BI46" s="45"/>
      <c r="BJ46" s="38"/>
      <c r="BK46" s="38"/>
      <c r="BL46" s="45"/>
      <c r="BM46" s="45"/>
      <c r="BN46" s="45"/>
      <c r="BO46" s="45"/>
      <c r="BX46" s="38"/>
      <c r="BY46" s="46"/>
      <c r="BZ46" s="38"/>
      <c r="CA46" s="38"/>
      <c r="CB46" s="38"/>
      <c r="CG46" s="185" t="s">
        <v>992</v>
      </c>
      <c r="CH46" s="185" t="s">
        <v>909</v>
      </c>
      <c r="CI46" s="38"/>
      <c r="CJ46" s="38"/>
      <c r="CK46" s="38"/>
      <c r="CL46" s="38"/>
      <c r="CM46" s="38"/>
    </row>
    <row r="47" spans="23:91" ht="15.75" thickBot="1" x14ac:dyDescent="0.3">
      <c r="AC47" s="38"/>
      <c r="AD47" s="38"/>
      <c r="AE47" s="38"/>
      <c r="AF47" s="38"/>
      <c r="AG47" s="38"/>
      <c r="AH47" s="38"/>
      <c r="AI47" s="38"/>
      <c r="AJ47" s="38"/>
      <c r="AK47" s="38"/>
      <c r="AL47" s="38"/>
      <c r="AM47" s="38"/>
      <c r="AN47" s="186" t="s">
        <v>974</v>
      </c>
      <c r="AQ47" s="188"/>
      <c r="AR47" s="188"/>
      <c r="AY47" s="43"/>
      <c r="AZ47" s="43"/>
      <c r="BA47" s="43"/>
      <c r="BB47" s="43"/>
      <c r="BC47" s="43"/>
      <c r="BD47" s="206" t="s">
        <v>1201</v>
      </c>
      <c r="BF47" s="36"/>
      <c r="BG47" s="38"/>
      <c r="BH47" s="45"/>
      <c r="BI47" s="45"/>
      <c r="BJ47" s="38"/>
      <c r="BK47" s="38"/>
      <c r="BL47" s="45"/>
      <c r="BM47" s="45"/>
      <c r="BN47" s="45"/>
      <c r="BO47" s="45"/>
      <c r="BP47" s="189" t="s">
        <v>977</v>
      </c>
      <c r="BQ47" s="36"/>
      <c r="BR47" s="55"/>
      <c r="BS47" s="190"/>
      <c r="BU47" s="55"/>
      <c r="BV47" s="55"/>
      <c r="BW47" s="55"/>
      <c r="BX47" s="38"/>
      <c r="BY47" s="46"/>
      <c r="BZ47" s="38"/>
      <c r="CA47" s="38"/>
      <c r="CB47" s="38"/>
      <c r="CE47" s="55"/>
      <c r="CF47" s="55"/>
      <c r="CG47" s="106" t="s">
        <v>754</v>
      </c>
      <c r="CH47" s="108">
        <f>CH41/SUM($CH$41:$CH$44)</f>
        <v>0.79846757847723915</v>
      </c>
      <c r="CI47" s="38"/>
      <c r="CJ47" s="38"/>
      <c r="CK47" s="38"/>
      <c r="CL47" s="38"/>
      <c r="CM47" s="38"/>
    </row>
    <row r="48" spans="23:91" ht="15.75" thickBot="1" x14ac:dyDescent="0.3">
      <c r="AC48" s="38"/>
      <c r="AD48" s="38"/>
      <c r="AE48" s="38"/>
      <c r="AF48" s="38"/>
      <c r="AG48" s="38"/>
      <c r="AH48" s="38"/>
      <c r="AI48" s="38"/>
      <c r="AJ48" s="38"/>
      <c r="AK48" s="38"/>
      <c r="AL48" s="38"/>
      <c r="AM48" s="38"/>
      <c r="AN48" s="191">
        <v>82</v>
      </c>
      <c r="AQ48" s="188"/>
      <c r="AR48" s="188"/>
      <c r="AY48" s="43"/>
      <c r="AZ48" s="43"/>
      <c r="BA48" s="43"/>
      <c r="BB48" s="43"/>
      <c r="BC48" s="43"/>
      <c r="BD48" s="187">
        <v>82</v>
      </c>
      <c r="BF48" s="36"/>
      <c r="BG48" s="38"/>
      <c r="BH48" s="45"/>
      <c r="BI48" s="45"/>
      <c r="BJ48" s="38"/>
      <c r="BK48" s="38"/>
      <c r="BL48" s="45"/>
      <c r="BM48" s="45"/>
      <c r="BN48" s="45"/>
      <c r="BO48" s="45"/>
      <c r="BP48" s="183">
        <f>GETPIVOTDATA("2021/22 Employer pension contribution rate",$BV$1)-GETPIVOTDATA("2021/22 Employer pension contribution rate",$BV$4)</f>
        <v>0.82399999999999995</v>
      </c>
      <c r="BQ48" s="36"/>
      <c r="BS48" s="190"/>
      <c r="BT48" s="55"/>
      <c r="BU48" s="192" t="s">
        <v>974</v>
      </c>
      <c r="BV48" s="193"/>
      <c r="BW48" s="55"/>
      <c r="BX48" s="38"/>
      <c r="BY48" s="46"/>
      <c r="BZ48" s="38"/>
      <c r="CA48" s="38"/>
      <c r="CB48" s="192" t="s">
        <v>974</v>
      </c>
      <c r="CF48" s="194" t="s">
        <v>974</v>
      </c>
      <c r="CG48" s="116" t="s">
        <v>989</v>
      </c>
      <c r="CH48" s="118">
        <f>CH42/SUM($CH$41:$CH$44)</f>
        <v>3.7629224044165251E-2</v>
      </c>
      <c r="CI48" s="38"/>
      <c r="CJ48" s="192" t="s">
        <v>974</v>
      </c>
      <c r="CK48" s="38"/>
      <c r="CL48" s="38"/>
      <c r="CM48" s="38"/>
    </row>
    <row r="49" spans="29:91" ht="15.75" thickBot="1" x14ac:dyDescent="0.3">
      <c r="AC49" s="38"/>
      <c r="AD49" s="38"/>
      <c r="AE49" s="38"/>
      <c r="AF49" s="38"/>
      <c r="AG49" s="38"/>
      <c r="AH49" s="38"/>
      <c r="AI49" s="38"/>
      <c r="AJ49" s="38"/>
      <c r="AK49" s="38"/>
      <c r="AL49" s="38"/>
      <c r="AM49" s="38"/>
      <c r="AN49" s="38"/>
      <c r="AO49" s="188"/>
      <c r="AP49" s="188"/>
      <c r="AY49" s="43"/>
      <c r="AZ49" s="43"/>
      <c r="BA49" s="43"/>
      <c r="BB49" s="43"/>
      <c r="BC49" s="43"/>
      <c r="BD49" s="43"/>
      <c r="BF49" s="36"/>
      <c r="BG49" s="38"/>
      <c r="BH49" s="45"/>
      <c r="BI49" s="45"/>
      <c r="BJ49" s="38"/>
      <c r="BK49" s="38"/>
      <c r="BL49" s="45"/>
      <c r="BM49" s="45"/>
      <c r="BN49" s="45"/>
      <c r="BO49" s="45"/>
      <c r="BP49" s="47" t="s">
        <v>980</v>
      </c>
      <c r="BQ49" s="36"/>
      <c r="BU49" s="195">
        <v>82</v>
      </c>
      <c r="BV49" s="196"/>
      <c r="BX49" s="38"/>
      <c r="BY49" s="46"/>
      <c r="BZ49" s="38"/>
      <c r="CA49" s="38"/>
      <c r="CB49" s="195">
        <v>82</v>
      </c>
      <c r="CF49" s="197">
        <v>82</v>
      </c>
      <c r="CG49" s="116" t="s">
        <v>990</v>
      </c>
      <c r="CH49" s="118">
        <f>CH43/SUM($CH$41:$CH$44)</f>
        <v>0.11295101499123326</v>
      </c>
      <c r="CI49" s="38"/>
      <c r="CJ49" s="195">
        <v>82</v>
      </c>
      <c r="CK49" s="181" t="s">
        <v>993</v>
      </c>
      <c r="CL49" s="38"/>
      <c r="CM49" s="181" t="s">
        <v>996</v>
      </c>
    </row>
    <row r="50" spans="29:91" ht="15.75" thickBot="1" x14ac:dyDescent="0.3">
      <c r="AC50" s="38"/>
      <c r="AD50" s="38"/>
      <c r="AE50" s="38"/>
      <c r="AF50" s="38"/>
      <c r="AG50" s="38"/>
      <c r="AH50" s="38"/>
      <c r="AI50" s="38"/>
      <c r="AJ50" s="38"/>
      <c r="AK50" s="38"/>
      <c r="AL50" s="38"/>
      <c r="AM50" s="38"/>
      <c r="AN50" s="38"/>
      <c r="AO50" s="188"/>
      <c r="AP50" s="188"/>
      <c r="AY50" s="43"/>
      <c r="AZ50" s="43"/>
      <c r="BA50" s="43"/>
      <c r="BB50" s="43"/>
      <c r="BC50" s="43"/>
      <c r="BD50" s="43"/>
      <c r="BF50" s="36"/>
      <c r="BG50" s="38"/>
      <c r="BH50" s="45"/>
      <c r="BI50" s="45"/>
      <c r="BJ50" s="38"/>
      <c r="BK50" s="38"/>
      <c r="BL50" s="45"/>
      <c r="BM50" s="45"/>
      <c r="BN50" s="45"/>
      <c r="BO50" s="45"/>
      <c r="BQ50" s="36"/>
      <c r="BX50" s="38"/>
      <c r="BY50" s="46"/>
      <c r="BZ50" s="38"/>
      <c r="CA50" s="38"/>
      <c r="CB50" s="38"/>
      <c r="CG50" s="127" t="s">
        <v>991</v>
      </c>
      <c r="CH50" s="129">
        <f>CH44/SUM($CH$41:$CH$44)</f>
        <v>5.0952182487362344E-2</v>
      </c>
      <c r="CI50" s="38"/>
      <c r="CJ50" s="38"/>
      <c r="CK50" s="198">
        <v>91500.753929166662</v>
      </c>
      <c r="CL50" s="38"/>
      <c r="CM50" s="199">
        <v>106724.71987012986</v>
      </c>
    </row>
    <row r="51" spans="29:91" ht="15.75" thickBot="1" x14ac:dyDescent="0.3">
      <c r="AC51" s="38"/>
      <c r="AD51" s="38"/>
      <c r="AE51" s="38"/>
      <c r="AF51" s="38"/>
      <c r="AG51" s="38"/>
      <c r="AH51" s="38"/>
      <c r="AI51" s="38"/>
      <c r="AJ51" s="38"/>
      <c r="AK51" s="38"/>
      <c r="AL51" s="38"/>
      <c r="AM51" s="38"/>
      <c r="AN51" s="38"/>
      <c r="AY51" s="43"/>
      <c r="AZ51" s="43"/>
      <c r="BA51" s="43"/>
      <c r="BB51" s="43"/>
      <c r="BC51" s="43"/>
      <c r="BD51" s="43"/>
      <c r="BF51" s="36"/>
      <c r="BG51" s="38"/>
      <c r="BH51" s="45"/>
      <c r="BI51" s="45"/>
      <c r="BJ51" s="38"/>
      <c r="BK51" s="38"/>
      <c r="BL51" s="45"/>
      <c r="BM51" s="45"/>
      <c r="BN51" s="45"/>
      <c r="BO51" s="45"/>
      <c r="BQ51" s="36"/>
      <c r="BU51" s="200"/>
      <c r="BV51" s="200"/>
      <c r="BX51" s="38"/>
      <c r="BY51" s="38"/>
      <c r="BZ51" s="38"/>
      <c r="CA51" s="38"/>
      <c r="CB51" s="38"/>
      <c r="CG51" s="38"/>
      <c r="CH51" s="38"/>
      <c r="CI51" s="38"/>
      <c r="CJ51" s="38"/>
      <c r="CK51" s="38"/>
      <c r="CL51" s="38"/>
      <c r="CM51" s="38"/>
    </row>
    <row r="52" spans="29:91" ht="15.75" thickBot="1" x14ac:dyDescent="0.3">
      <c r="AC52" s="38"/>
      <c r="AD52" s="38"/>
      <c r="AE52" s="38"/>
      <c r="AF52" s="38"/>
      <c r="AG52" s="38"/>
      <c r="AH52" s="38"/>
      <c r="AI52" s="38"/>
      <c r="AJ52" s="38"/>
      <c r="AK52" s="38"/>
      <c r="AL52" s="38"/>
      <c r="AM52" s="38"/>
      <c r="AN52" s="38"/>
      <c r="AY52" s="43"/>
      <c r="AZ52" s="43"/>
      <c r="BA52" s="43"/>
      <c r="BB52" s="43"/>
      <c r="BC52" s="43"/>
      <c r="BD52" s="43"/>
      <c r="BF52" s="36"/>
      <c r="BG52" s="38"/>
      <c r="BH52" s="45"/>
      <c r="BI52" s="45"/>
      <c r="BJ52" s="38"/>
      <c r="BK52" s="38"/>
      <c r="BL52" s="45"/>
      <c r="BM52" s="45"/>
      <c r="BN52" s="45"/>
      <c r="BO52" s="45"/>
      <c r="BQ52" s="36"/>
      <c r="BX52" s="38"/>
      <c r="BY52" s="38"/>
      <c r="BZ52" s="38"/>
      <c r="CA52" s="38"/>
      <c r="CB52" s="38"/>
      <c r="CG52" s="38"/>
      <c r="CH52" s="38"/>
      <c r="CI52" s="38"/>
      <c r="CJ52" s="38"/>
      <c r="CK52" s="181" t="s">
        <v>995</v>
      </c>
      <c r="CL52" s="38"/>
      <c r="CM52" s="185" t="s">
        <v>997</v>
      </c>
    </row>
    <row r="53" spans="29:91" ht="15.75" thickBot="1" x14ac:dyDescent="0.3">
      <c r="AC53" s="38"/>
      <c r="AD53" s="38"/>
      <c r="AE53" s="38"/>
      <c r="AF53" s="38"/>
      <c r="AG53" s="38"/>
      <c r="AH53" s="38"/>
      <c r="AI53" s="38"/>
      <c r="AJ53" s="38"/>
      <c r="AK53" s="38"/>
      <c r="AL53" s="38"/>
      <c r="AM53" s="38"/>
      <c r="AN53" s="38"/>
      <c r="AY53" s="43"/>
      <c r="AZ53" s="43"/>
      <c r="BA53" s="43"/>
      <c r="BB53" s="43"/>
      <c r="BC53" s="43"/>
      <c r="BD53" s="43"/>
      <c r="BF53" s="36"/>
      <c r="BG53" s="38"/>
      <c r="BH53" s="45"/>
      <c r="BI53" s="45"/>
      <c r="BJ53" s="38"/>
      <c r="BK53" s="38"/>
      <c r="BL53" s="45"/>
      <c r="BM53" s="45"/>
      <c r="BN53" s="45"/>
      <c r="BO53" s="201" t="s">
        <v>974</v>
      </c>
      <c r="BQ53" s="36"/>
      <c r="BX53" s="38"/>
      <c r="BY53" s="38"/>
      <c r="BZ53" s="38"/>
      <c r="CA53" s="38"/>
      <c r="CB53" s="38"/>
      <c r="CG53" s="38"/>
      <c r="CH53" s="38"/>
      <c r="CI53" s="38"/>
      <c r="CJ53" s="38"/>
      <c r="CK53" s="199">
        <v>4249.2369973333343</v>
      </c>
      <c r="CL53" s="38"/>
      <c r="CM53" s="129">
        <f>GETPIVOTDATA("Return on Capital employed",$CK$52)/GETPIVOTDATA("Original amount of Capital employed",$CM$49)</f>
        <v>3.9814927624116557E-2</v>
      </c>
    </row>
    <row r="54" spans="29:91" ht="15.75" thickBot="1" x14ac:dyDescent="0.3">
      <c r="AC54" s="38"/>
      <c r="AD54" s="38"/>
      <c r="AE54" s="38"/>
      <c r="AF54" s="38"/>
      <c r="AG54" s="38"/>
      <c r="AH54" s="38"/>
      <c r="AI54" s="38"/>
      <c r="AJ54" s="38"/>
      <c r="AK54" s="38"/>
      <c r="AL54" s="38"/>
      <c r="AM54" s="38"/>
      <c r="AN54" s="38"/>
      <c r="AY54" s="43"/>
      <c r="AZ54" s="43"/>
      <c r="BA54" s="43"/>
      <c r="BB54" s="43"/>
      <c r="BC54" s="43"/>
      <c r="BD54" s="43"/>
      <c r="BF54" s="36"/>
      <c r="BG54" s="38"/>
      <c r="BH54" s="45"/>
      <c r="BI54" s="45"/>
      <c r="BJ54" s="38"/>
      <c r="BK54" s="38"/>
      <c r="BL54" s="45"/>
      <c r="BM54" s="45"/>
      <c r="BN54" s="45"/>
      <c r="BO54" s="202">
        <v>82</v>
      </c>
      <c r="BQ54" s="36"/>
      <c r="BX54" s="38"/>
      <c r="BY54" s="38"/>
      <c r="BZ54" s="38"/>
      <c r="CA54" s="38"/>
      <c r="CB54" s="38"/>
      <c r="CG54" s="38"/>
      <c r="CH54" s="38"/>
      <c r="CI54" s="38"/>
      <c r="CJ54" s="38"/>
      <c r="CK54" s="203" t="s">
        <v>994</v>
      </c>
      <c r="CL54" s="38"/>
      <c r="CM54" s="38"/>
    </row>
    <row r="55" spans="29:91" x14ac:dyDescent="0.25">
      <c r="BF55" s="36"/>
      <c r="BJ55" s="36"/>
      <c r="BK55" s="36"/>
      <c r="BO55" s="36"/>
      <c r="BQ55" s="36"/>
      <c r="BY55" s="36"/>
      <c r="CH55" s="36"/>
      <c r="CI55" s="36"/>
    </row>
    <row r="56" spans="29:91" x14ac:dyDescent="0.25">
      <c r="BF56" s="36"/>
      <c r="BJ56" s="36"/>
      <c r="BK56" s="36"/>
      <c r="BQ56" s="36"/>
      <c r="BY56" s="36"/>
      <c r="CH56" s="36"/>
      <c r="CI56" s="36"/>
    </row>
    <row r="57" spans="29:91" x14ac:dyDescent="0.25">
      <c r="BF57" s="36"/>
      <c r="BJ57" s="36"/>
      <c r="BK57" s="36"/>
      <c r="BQ57" s="36"/>
      <c r="BY57" s="36"/>
      <c r="CH57" s="36"/>
      <c r="CI57" s="36"/>
    </row>
    <row r="58" spans="29:91" x14ac:dyDescent="0.25">
      <c r="BF58" s="36"/>
      <c r="BJ58" s="36"/>
      <c r="BK58" s="36"/>
      <c r="BQ58" s="36"/>
      <c r="BY58" s="36"/>
      <c r="CH58" s="36"/>
      <c r="CI58" s="36"/>
    </row>
    <row r="59" spans="29:91" x14ac:dyDescent="0.25">
      <c r="BF59" s="36"/>
      <c r="BJ59" s="36"/>
      <c r="BK59" s="36"/>
      <c r="BQ59" s="36"/>
      <c r="BY59" s="36"/>
      <c r="CH59" s="36"/>
      <c r="CI59" s="36"/>
    </row>
    <row r="60" spans="29:91" x14ac:dyDescent="0.25">
      <c r="BF60" s="36"/>
      <c r="BJ60" s="36"/>
      <c r="BK60" s="36"/>
      <c r="BQ60" s="36"/>
      <c r="BY60" s="36"/>
      <c r="CH60" s="36"/>
      <c r="CI60" s="36"/>
    </row>
    <row r="61" spans="29:91" x14ac:dyDescent="0.25">
      <c r="BF61" s="36"/>
      <c r="BJ61" s="36"/>
      <c r="BK61" s="36"/>
      <c r="BQ61" s="36"/>
      <c r="BY61" s="36"/>
      <c r="CH61" s="36"/>
      <c r="CI61" s="36"/>
    </row>
    <row r="62" spans="29:91" x14ac:dyDescent="0.25">
      <c r="BF62" s="36"/>
      <c r="BJ62" s="36"/>
      <c r="BK62" s="36"/>
      <c r="BQ62" s="36"/>
      <c r="BY62" s="36"/>
      <c r="CH62" s="36"/>
      <c r="CI62" s="36"/>
    </row>
    <row r="63" spans="29:91" x14ac:dyDescent="0.25">
      <c r="BF63" s="36"/>
      <c r="BJ63" s="36"/>
      <c r="BK63" s="36"/>
      <c r="BQ63" s="36"/>
      <c r="BY63" s="36"/>
      <c r="CH63" s="36"/>
      <c r="CI63" s="36"/>
    </row>
    <row r="64" spans="29:91" x14ac:dyDescent="0.25">
      <c r="BF64" s="36"/>
      <c r="BJ64" s="36"/>
      <c r="BK64" s="36"/>
      <c r="BQ64" s="36"/>
      <c r="BY64" s="36"/>
      <c r="CH64" s="36"/>
      <c r="CI64" s="36"/>
    </row>
    <row r="65" spans="62:87" x14ac:dyDescent="0.25">
      <c r="BJ65" s="36"/>
      <c r="BK65" s="36"/>
      <c r="BQ65" s="36"/>
      <c r="BY65" s="36"/>
      <c r="CH65" s="36"/>
      <c r="CI65" s="36"/>
    </row>
    <row r="66" spans="62:87" x14ac:dyDescent="0.25">
      <c r="BJ66" s="36"/>
      <c r="BK66" s="36"/>
      <c r="BY66" s="36"/>
      <c r="CH66" s="36"/>
      <c r="CI66" s="36"/>
    </row>
    <row r="67" spans="62:87" x14ac:dyDescent="0.25">
      <c r="BJ67" s="36"/>
      <c r="BK67" s="36"/>
      <c r="BY67" s="36"/>
      <c r="CH67" s="36"/>
      <c r="CI67" s="36"/>
    </row>
    <row r="68" spans="62:87" x14ac:dyDescent="0.25">
      <c r="BJ68" s="36"/>
      <c r="BK68" s="36"/>
      <c r="BY68" s="36"/>
      <c r="CH68" s="36"/>
      <c r="CI68" s="36"/>
    </row>
    <row r="69" spans="62:87" x14ac:dyDescent="0.25">
      <c r="BJ69" s="36"/>
      <c r="BK69" s="36"/>
    </row>
    <row r="70" spans="62:87" x14ac:dyDescent="0.25">
      <c r="BJ70" s="36"/>
      <c r="BK70" s="36"/>
    </row>
    <row r="71" spans="62:87" x14ac:dyDescent="0.25">
      <c r="BJ71" s="36"/>
      <c r="BK71" s="36"/>
    </row>
    <row r="72" spans="62:87" x14ac:dyDescent="0.25">
      <c r="BJ72" s="36"/>
      <c r="BK72" s="36"/>
    </row>
    <row r="73" spans="62:87" x14ac:dyDescent="0.25">
      <c r="BJ73" s="36"/>
      <c r="BK73" s="36"/>
    </row>
    <row r="74" spans="62:87" x14ac:dyDescent="0.25">
      <c r="BJ74" s="36"/>
      <c r="BK74" s="36"/>
    </row>
    <row r="75" spans="62:87" x14ac:dyDescent="0.25">
      <c r="BJ75" s="36"/>
      <c r="BK75" s="36"/>
    </row>
    <row r="76" spans="62:87" x14ac:dyDescent="0.25">
      <c r="BJ76" s="36"/>
      <c r="BK76" s="36"/>
    </row>
    <row r="77" spans="62:87" x14ac:dyDescent="0.25">
      <c r="BJ77" s="36"/>
      <c r="BK77" s="36"/>
    </row>
    <row r="78" spans="62:87" x14ac:dyDescent="0.25">
      <c r="BJ78" s="36"/>
      <c r="BK78" s="36"/>
    </row>
    <row r="79" spans="62:87" x14ac:dyDescent="0.25">
      <c r="BJ79" s="36"/>
      <c r="BK79" s="36"/>
    </row>
    <row r="80" spans="62:87" x14ac:dyDescent="0.25">
      <c r="BJ80" s="36"/>
      <c r="BK80" s="36"/>
    </row>
    <row r="81" spans="62:63" x14ac:dyDescent="0.25">
      <c r="BJ81" s="36"/>
      <c r="BK81" s="36"/>
    </row>
    <row r="82" spans="62:63" x14ac:dyDescent="0.25">
      <c r="BJ82" s="36"/>
      <c r="BK82" s="36"/>
    </row>
    <row r="83" spans="62:63" x14ac:dyDescent="0.25">
      <c r="BJ83" s="36"/>
      <c r="BK83" s="36"/>
    </row>
    <row r="84" spans="62:63" x14ac:dyDescent="0.25">
      <c r="BJ84" s="36"/>
      <c r="BK84" s="36"/>
    </row>
    <row r="85" spans="62:63" x14ac:dyDescent="0.25">
      <c r="BJ85" s="36"/>
      <c r="BK85" s="36"/>
    </row>
    <row r="86" spans="62:63" x14ac:dyDescent="0.25">
      <c r="BJ86" s="36"/>
      <c r="BK86" s="36"/>
    </row>
    <row r="87" spans="62:63" x14ac:dyDescent="0.25">
      <c r="BJ87" s="36"/>
      <c r="BK87" s="36"/>
    </row>
    <row r="88" spans="62:63" x14ac:dyDescent="0.25">
      <c r="BJ88" s="36"/>
      <c r="BK88" s="36"/>
    </row>
    <row r="89" spans="62:63" x14ac:dyDescent="0.25">
      <c r="BJ89" s="36"/>
      <c r="BK89" s="36"/>
    </row>
    <row r="90" spans="62:63" x14ac:dyDescent="0.25">
      <c r="BJ90" s="36"/>
      <c r="BK90" s="36"/>
    </row>
    <row r="91" spans="62:63" x14ac:dyDescent="0.25">
      <c r="BJ91" s="36"/>
      <c r="BK91" s="36"/>
    </row>
    <row r="92" spans="62:63" x14ac:dyDescent="0.25">
      <c r="BJ92" s="36"/>
      <c r="BK92" s="36"/>
    </row>
    <row r="93" spans="62:63" x14ac:dyDescent="0.25">
      <c r="BJ93" s="36"/>
      <c r="BK93" s="36"/>
    </row>
    <row r="94" spans="62:63" x14ac:dyDescent="0.25">
      <c r="BJ94" s="36"/>
      <c r="BK94" s="36"/>
    </row>
    <row r="95" spans="62:63" x14ac:dyDescent="0.25">
      <c r="BJ95" s="36"/>
      <c r="BK95" s="36"/>
    </row>
    <row r="96" spans="62:63" x14ac:dyDescent="0.25">
      <c r="BJ96" s="36"/>
      <c r="BK96" s="36"/>
    </row>
    <row r="97" spans="62:63" x14ac:dyDescent="0.25">
      <c r="BJ97" s="36"/>
      <c r="BK97" s="36"/>
    </row>
    <row r="98" spans="62:63" x14ac:dyDescent="0.25">
      <c r="BJ98" s="36"/>
      <c r="BK98" s="36"/>
    </row>
    <row r="99" spans="62:63" x14ac:dyDescent="0.25">
      <c r="BJ99" s="36"/>
      <c r="BK99" s="36"/>
    </row>
    <row r="100" spans="62:63" x14ac:dyDescent="0.25">
      <c r="BJ100" s="36"/>
      <c r="BK100" s="36"/>
    </row>
    <row r="101" spans="62:63" x14ac:dyDescent="0.25">
      <c r="BJ101" s="36"/>
      <c r="BK101" s="36"/>
    </row>
    <row r="102" spans="62:63" x14ac:dyDescent="0.25">
      <c r="BJ102" s="36"/>
      <c r="BK102" s="36"/>
    </row>
    <row r="103" spans="62:63" x14ac:dyDescent="0.25">
      <c r="BJ103" s="36"/>
      <c r="BK103" s="36"/>
    </row>
    <row r="104" spans="62:63" x14ac:dyDescent="0.25">
      <c r="BJ104" s="36"/>
      <c r="BK104" s="36"/>
    </row>
    <row r="105" spans="62:63" x14ac:dyDescent="0.25">
      <c r="BJ105" s="36"/>
      <c r="BK105" s="36"/>
    </row>
    <row r="106" spans="62:63" x14ac:dyDescent="0.25">
      <c r="BJ106" s="36"/>
      <c r="BK106" s="36"/>
    </row>
    <row r="107" spans="62:63" x14ac:dyDescent="0.25">
      <c r="BJ107" s="36"/>
      <c r="BK107" s="36"/>
    </row>
    <row r="108" spans="62:63" x14ac:dyDescent="0.25">
      <c r="BJ108" s="36"/>
      <c r="BK108" s="36"/>
    </row>
    <row r="109" spans="62:63" x14ac:dyDescent="0.25">
      <c r="BJ109" s="36"/>
      <c r="BK109" s="36"/>
    </row>
    <row r="110" spans="62:63" x14ac:dyDescent="0.25">
      <c r="BJ110" s="36"/>
      <c r="BK110" s="36"/>
    </row>
    <row r="111" spans="62:63" x14ac:dyDescent="0.25">
      <c r="BJ111" s="36"/>
      <c r="BK111" s="36"/>
    </row>
    <row r="112" spans="62:63" x14ac:dyDescent="0.25">
      <c r="BJ112" s="36"/>
      <c r="BK112" s="36"/>
    </row>
    <row r="113" spans="62:63" x14ac:dyDescent="0.25">
      <c r="BJ113" s="36"/>
      <c r="BK113" s="36"/>
    </row>
    <row r="114" spans="62:63" x14ac:dyDescent="0.25">
      <c r="BJ114" s="36"/>
      <c r="BK114" s="36"/>
    </row>
    <row r="115" spans="62:63" x14ac:dyDescent="0.25">
      <c r="BJ115" s="36"/>
      <c r="BK115" s="36"/>
    </row>
    <row r="116" spans="62:63" x14ac:dyDescent="0.25">
      <c r="BJ116" s="36"/>
      <c r="BK116" s="36"/>
    </row>
    <row r="117" spans="62:63" x14ac:dyDescent="0.25">
      <c r="BJ117" s="36"/>
      <c r="BK117" s="36"/>
    </row>
    <row r="118" spans="62:63" x14ac:dyDescent="0.25">
      <c r="BJ118" s="36"/>
      <c r="BK118" s="36"/>
    </row>
    <row r="119" spans="62:63" x14ac:dyDescent="0.25">
      <c r="BJ119" s="36"/>
      <c r="BK119" s="36"/>
    </row>
    <row r="120" spans="62:63" x14ac:dyDescent="0.25">
      <c r="BJ120" s="36"/>
      <c r="BK120" s="36"/>
    </row>
    <row r="121" spans="62:63" x14ac:dyDescent="0.25">
      <c r="BJ121" s="36"/>
      <c r="BK121" s="36"/>
    </row>
    <row r="122" spans="62:63" x14ac:dyDescent="0.25">
      <c r="BJ122" s="36"/>
      <c r="BK122" s="36"/>
    </row>
    <row r="123" spans="62:63" x14ac:dyDescent="0.25">
      <c r="BJ123" s="36"/>
      <c r="BK123" s="36"/>
    </row>
    <row r="124" spans="62:63" x14ac:dyDescent="0.25">
      <c r="BJ124" s="36"/>
      <c r="BK124" s="36"/>
    </row>
    <row r="125" spans="62:63" x14ac:dyDescent="0.25">
      <c r="BJ125" s="36"/>
      <c r="BK125" s="36"/>
    </row>
    <row r="126" spans="62:63" x14ac:dyDescent="0.25">
      <c r="BJ126" s="36"/>
      <c r="BK126" s="36"/>
    </row>
    <row r="127" spans="62:63" x14ac:dyDescent="0.25">
      <c r="BJ127" s="36"/>
      <c r="BK127" s="36"/>
    </row>
    <row r="128" spans="62:63" x14ac:dyDescent="0.25">
      <c r="BJ128" s="36"/>
      <c r="BK128" s="36"/>
    </row>
    <row r="129" spans="62:63" x14ac:dyDescent="0.25">
      <c r="BJ129" s="36"/>
      <c r="BK129" s="36"/>
    </row>
    <row r="130" spans="62:63" x14ac:dyDescent="0.25">
      <c r="BJ130" s="36"/>
      <c r="BK130" s="36"/>
    </row>
    <row r="131" spans="62:63" x14ac:dyDescent="0.25">
      <c r="BJ131" s="36"/>
      <c r="BK131" s="36"/>
    </row>
    <row r="132" spans="62:63" x14ac:dyDescent="0.25">
      <c r="BJ132" s="36"/>
      <c r="BK132" s="36"/>
    </row>
    <row r="133" spans="62:63" x14ac:dyDescent="0.25">
      <c r="BJ133" s="36"/>
      <c r="BK133" s="36"/>
    </row>
    <row r="134" spans="62:63" x14ac:dyDescent="0.25">
      <c r="BJ134" s="36"/>
      <c r="BK134" s="36"/>
    </row>
    <row r="135" spans="62:63" x14ac:dyDescent="0.25">
      <c r="BJ135" s="36"/>
      <c r="BK135" s="36"/>
    </row>
    <row r="136" spans="62:63" x14ac:dyDescent="0.25">
      <c r="BJ136" s="36"/>
      <c r="BK136" s="36"/>
    </row>
    <row r="137" spans="62:63" x14ac:dyDescent="0.25">
      <c r="BJ137" s="36"/>
      <c r="BK137" s="36"/>
    </row>
    <row r="138" spans="62:63" x14ac:dyDescent="0.25">
      <c r="BJ138" s="36"/>
      <c r="BK138" s="36"/>
    </row>
    <row r="139" spans="62:63" x14ac:dyDescent="0.25">
      <c r="BJ139" s="36"/>
      <c r="BK139" s="36"/>
    </row>
    <row r="140" spans="62:63" x14ac:dyDescent="0.25">
      <c r="BJ140" s="36"/>
      <c r="BK140" s="36"/>
    </row>
    <row r="141" spans="62:63" x14ac:dyDescent="0.25">
      <c r="BJ141" s="36"/>
      <c r="BK141" s="36"/>
    </row>
    <row r="142" spans="62:63" x14ac:dyDescent="0.25">
      <c r="BJ142" s="36"/>
      <c r="BK142" s="36"/>
    </row>
    <row r="143" spans="62:63" x14ac:dyDescent="0.25">
      <c r="BJ143" s="36"/>
      <c r="BK143" s="36"/>
    </row>
    <row r="144" spans="62:63" x14ac:dyDescent="0.25">
      <c r="BJ144" s="36"/>
      <c r="BK144" s="36"/>
    </row>
    <row r="145" spans="62:63" x14ac:dyDescent="0.25">
      <c r="BJ145" s="36"/>
      <c r="BK145" s="36"/>
    </row>
    <row r="146" spans="62:63" x14ac:dyDescent="0.25">
      <c r="BJ146" s="36"/>
      <c r="BK146" s="36"/>
    </row>
    <row r="147" spans="62:63" x14ac:dyDescent="0.25">
      <c r="BJ147" s="36"/>
      <c r="BK147" s="36"/>
    </row>
    <row r="148" spans="62:63" x14ac:dyDescent="0.25">
      <c r="BJ148" s="36"/>
      <c r="BK148" s="36"/>
    </row>
    <row r="149" spans="62:63" x14ac:dyDescent="0.25">
      <c r="BJ149" s="36"/>
      <c r="BK149" s="36"/>
    </row>
    <row r="150" spans="62:63" x14ac:dyDescent="0.25">
      <c r="BJ150" s="36"/>
      <c r="BK150" s="36"/>
    </row>
    <row r="151" spans="62:63" x14ac:dyDescent="0.25">
      <c r="BJ151" s="36"/>
      <c r="BK151" s="36"/>
    </row>
    <row r="152" spans="62:63" x14ac:dyDescent="0.25">
      <c r="BJ152" s="36"/>
      <c r="BK152" s="36"/>
    </row>
    <row r="153" spans="62:63" x14ac:dyDescent="0.25">
      <c r="BJ153" s="36"/>
      <c r="BK153" s="36"/>
    </row>
    <row r="154" spans="62:63" x14ac:dyDescent="0.25">
      <c r="BJ154" s="36"/>
      <c r="BK154" s="36"/>
    </row>
    <row r="155" spans="62:63" x14ac:dyDescent="0.25">
      <c r="BJ155" s="36"/>
      <c r="BK155" s="36"/>
    </row>
    <row r="156" spans="62:63" x14ac:dyDescent="0.25">
      <c r="BJ156" s="36"/>
      <c r="BK156" s="36"/>
    </row>
    <row r="157" spans="62:63" x14ac:dyDescent="0.25">
      <c r="BJ157" s="36"/>
      <c r="BK157" s="36"/>
    </row>
    <row r="158" spans="62:63" x14ac:dyDescent="0.25">
      <c r="BJ158" s="36"/>
      <c r="BK158" s="36"/>
    </row>
    <row r="159" spans="62:63" x14ac:dyDescent="0.25">
      <c r="BJ159" s="36"/>
      <c r="BK159" s="36"/>
    </row>
    <row r="160" spans="62:63" x14ac:dyDescent="0.25">
      <c r="BJ160" s="36"/>
      <c r="BK160" s="36"/>
    </row>
    <row r="161" spans="62:63" x14ac:dyDescent="0.25">
      <c r="BJ161" s="36"/>
      <c r="BK161" s="36"/>
    </row>
    <row r="162" spans="62:63" x14ac:dyDescent="0.25">
      <c r="BJ162" s="36"/>
      <c r="BK162" s="36"/>
    </row>
    <row r="163" spans="62:63" x14ac:dyDescent="0.25">
      <c r="BJ163" s="36"/>
      <c r="BK163" s="36"/>
    </row>
    <row r="164" spans="62:63" x14ac:dyDescent="0.25">
      <c r="BJ164" s="36"/>
      <c r="BK164" s="36"/>
    </row>
    <row r="165" spans="62:63" x14ac:dyDescent="0.25">
      <c r="BJ165" s="36"/>
      <c r="BK165" s="36"/>
    </row>
    <row r="166" spans="62:63" x14ac:dyDescent="0.25">
      <c r="BJ166" s="36"/>
      <c r="BK166" s="36"/>
    </row>
    <row r="167" spans="62:63" x14ac:dyDescent="0.25">
      <c r="BJ167" s="36"/>
      <c r="BK167" s="36"/>
    </row>
    <row r="168" spans="62:63" x14ac:dyDescent="0.25">
      <c r="BJ168" s="36"/>
      <c r="BK168" s="36"/>
    </row>
    <row r="169" spans="62:63" x14ac:dyDescent="0.25">
      <c r="BJ169" s="36"/>
      <c r="BK169" s="36"/>
    </row>
    <row r="170" spans="62:63" x14ac:dyDescent="0.25">
      <c r="BJ170" s="36"/>
      <c r="BK170" s="36"/>
    </row>
    <row r="171" spans="62:63" x14ac:dyDescent="0.25">
      <c r="BJ171" s="36"/>
      <c r="BK171" s="36"/>
    </row>
    <row r="172" spans="62:63" x14ac:dyDescent="0.25">
      <c r="BJ172" s="36"/>
      <c r="BK172" s="36"/>
    </row>
    <row r="173" spans="62:63" x14ac:dyDescent="0.25">
      <c r="BJ173" s="36"/>
      <c r="BK173" s="36"/>
    </row>
    <row r="174" spans="62:63" x14ac:dyDescent="0.25">
      <c r="BJ174" s="36"/>
      <c r="BK174" s="36"/>
    </row>
    <row r="175" spans="62:63" x14ac:dyDescent="0.25">
      <c r="BJ175" s="36"/>
      <c r="BK175" s="36"/>
    </row>
    <row r="176" spans="62:63" x14ac:dyDescent="0.25">
      <c r="BJ176" s="36"/>
      <c r="BK176" s="36"/>
    </row>
    <row r="177" spans="62:63" x14ac:dyDescent="0.25">
      <c r="BJ177" s="36"/>
      <c r="BK177" s="36"/>
    </row>
    <row r="178" spans="62:63" x14ac:dyDescent="0.25">
      <c r="BJ178" s="36"/>
      <c r="BK178" s="36"/>
    </row>
    <row r="179" spans="62:63" x14ac:dyDescent="0.25">
      <c r="BJ179" s="36"/>
      <c r="BK179" s="36"/>
    </row>
    <row r="180" spans="62:63" x14ac:dyDescent="0.25">
      <c r="BJ180" s="36"/>
      <c r="BK180" s="36"/>
    </row>
    <row r="181" spans="62:63" x14ac:dyDescent="0.25">
      <c r="BJ181" s="36"/>
      <c r="BK181" s="36"/>
    </row>
    <row r="182" spans="62:63" x14ac:dyDescent="0.25">
      <c r="BJ182" s="36"/>
      <c r="BK182" s="36"/>
    </row>
    <row r="183" spans="62:63" x14ac:dyDescent="0.25">
      <c r="BJ183" s="36"/>
      <c r="BK183" s="36"/>
    </row>
    <row r="184" spans="62:63" x14ac:dyDescent="0.25">
      <c r="BJ184" s="36"/>
      <c r="BK184" s="36"/>
    </row>
    <row r="185" spans="62:63" x14ac:dyDescent="0.25">
      <c r="BJ185" s="36"/>
      <c r="BK185" s="36"/>
    </row>
    <row r="186" spans="62:63" x14ac:dyDescent="0.25">
      <c r="BJ186" s="36"/>
      <c r="BK186" s="36"/>
    </row>
    <row r="187" spans="62:63" x14ac:dyDescent="0.25">
      <c r="BJ187" s="36"/>
      <c r="BK187" s="36"/>
    </row>
    <row r="188" spans="62:63" x14ac:dyDescent="0.25">
      <c r="BJ188" s="36"/>
      <c r="BK188" s="36"/>
    </row>
    <row r="189" spans="62:63" x14ac:dyDescent="0.25">
      <c r="BJ189" s="36"/>
      <c r="BK189" s="36"/>
    </row>
    <row r="190" spans="62:63" x14ac:dyDescent="0.25">
      <c r="BJ190" s="36"/>
      <c r="BK190" s="36"/>
    </row>
    <row r="191" spans="62:63" x14ac:dyDescent="0.25">
      <c r="BJ191" s="36"/>
      <c r="BK191" s="36"/>
    </row>
    <row r="192" spans="62:63" x14ac:dyDescent="0.25">
      <c r="BJ192" s="36"/>
      <c r="BK192" s="36"/>
    </row>
    <row r="193" spans="62:63" x14ac:dyDescent="0.25">
      <c r="BJ193" s="36"/>
      <c r="BK193" s="36"/>
    </row>
    <row r="194" spans="62:63" x14ac:dyDescent="0.25">
      <c r="BJ194" s="36"/>
      <c r="BK194" s="36"/>
    </row>
    <row r="195" spans="62:63" x14ac:dyDescent="0.25">
      <c r="BJ195" s="36"/>
      <c r="BK195" s="36"/>
    </row>
    <row r="196" spans="62:63" x14ac:dyDescent="0.25">
      <c r="BJ196" s="36"/>
      <c r="BK196" s="36"/>
    </row>
    <row r="197" spans="62:63" x14ac:dyDescent="0.25">
      <c r="BJ197" s="36"/>
      <c r="BK197" s="36"/>
    </row>
    <row r="198" spans="62:63" x14ac:dyDescent="0.25">
      <c r="BJ198" s="36"/>
      <c r="BK198" s="36"/>
    </row>
    <row r="199" spans="62:63" x14ac:dyDescent="0.25">
      <c r="BJ199" s="36"/>
      <c r="BK199" s="36"/>
    </row>
    <row r="200" spans="62:63" x14ac:dyDescent="0.25">
      <c r="BJ200" s="36"/>
      <c r="BK200" s="36"/>
    </row>
    <row r="201" spans="62:63" x14ac:dyDescent="0.25">
      <c r="BJ201" s="36"/>
      <c r="BK201" s="36"/>
    </row>
    <row r="202" spans="62:63" x14ac:dyDescent="0.25">
      <c r="BJ202" s="36"/>
      <c r="BK202" s="36"/>
    </row>
    <row r="203" spans="62:63" x14ac:dyDescent="0.25">
      <c r="BJ203" s="36"/>
      <c r="BK203" s="36"/>
    </row>
    <row r="204" spans="62:63" x14ac:dyDescent="0.25">
      <c r="BJ204" s="36"/>
      <c r="BK204" s="36"/>
    </row>
    <row r="205" spans="62:63" x14ac:dyDescent="0.25">
      <c r="BJ205" s="36"/>
      <c r="BK205" s="36"/>
    </row>
    <row r="206" spans="62:63" x14ac:dyDescent="0.25">
      <c r="BJ206" s="36"/>
      <c r="BK206" s="36"/>
    </row>
    <row r="207" spans="62:63" x14ac:dyDescent="0.25">
      <c r="BJ207" s="36"/>
      <c r="BK207" s="36"/>
    </row>
    <row r="208" spans="62:63" x14ac:dyDescent="0.25">
      <c r="BJ208" s="36"/>
      <c r="BK208" s="36"/>
    </row>
    <row r="209" spans="62:63" x14ac:dyDescent="0.25">
      <c r="BJ209" s="36"/>
      <c r="BK209" s="36"/>
    </row>
    <row r="210" spans="62:63" x14ac:dyDescent="0.25">
      <c r="BJ210" s="36"/>
      <c r="BK210" s="36"/>
    </row>
    <row r="211" spans="62:63" x14ac:dyDescent="0.25">
      <c r="BJ211" s="36"/>
      <c r="BK211" s="36"/>
    </row>
    <row r="212" spans="62:63" x14ac:dyDescent="0.25">
      <c r="BJ212" s="36"/>
      <c r="BK212" s="36"/>
    </row>
    <row r="213" spans="62:63" x14ac:dyDescent="0.25">
      <c r="BJ213" s="36"/>
      <c r="BK213" s="36"/>
    </row>
    <row r="214" spans="62:63" x14ac:dyDescent="0.25">
      <c r="BJ214" s="36"/>
      <c r="BK214" s="36"/>
    </row>
    <row r="215" spans="62:63" x14ac:dyDescent="0.25">
      <c r="BJ215" s="36"/>
      <c r="BK215" s="36"/>
    </row>
    <row r="216" spans="62:63" x14ac:dyDescent="0.25">
      <c r="BJ216" s="36"/>
      <c r="BK216" s="36"/>
    </row>
    <row r="217" spans="62:63" x14ac:dyDescent="0.25">
      <c r="BJ217" s="36"/>
      <c r="BK217" s="36"/>
    </row>
    <row r="218" spans="62:63" x14ac:dyDescent="0.25">
      <c r="BJ218" s="36"/>
      <c r="BK218" s="36"/>
    </row>
    <row r="219" spans="62:63" x14ac:dyDescent="0.25">
      <c r="BJ219" s="36"/>
      <c r="BK219" s="36"/>
    </row>
    <row r="220" spans="62:63" x14ac:dyDescent="0.25">
      <c r="BJ220" s="36"/>
      <c r="BK220" s="36"/>
    </row>
  </sheetData>
  <sheetProtection pivotTables="0"/>
  <pageMargins left="0.23622047244094491" right="0.23622047244094491" top="0.15748031496062992" bottom="0.15748031496062992" header="0.31496062992125984" footer="0.31496062992125984"/>
  <pageSetup paperSize="9" orientation="portrait" r:id="rId47"/>
  <drawing r:id="rId48"/>
  <extLst>
    <ext xmlns:x14="http://schemas.microsoft.com/office/spreadsheetml/2009/9/main" uri="{A8765BA9-456A-4dab-B4F3-ACF838C121DE}">
      <x14:slicerList>
        <x14:slicer r:id="rId49"/>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P88"/>
  <sheetViews>
    <sheetView topLeftCell="IT1" zoomScale="85" zoomScaleNormal="85" workbookViewId="0">
      <selection activeCell="IV7" sqref="IV7"/>
    </sheetView>
  </sheetViews>
  <sheetFormatPr defaultRowHeight="15" x14ac:dyDescent="0.25"/>
  <cols>
    <col min="1" max="1" width="16.42578125" style="2" customWidth="1"/>
    <col min="2" max="2" width="12.42578125" style="2" customWidth="1"/>
    <col min="3" max="3" width="58.85546875" style="2" customWidth="1"/>
    <col min="4" max="4" width="33.140625" style="2" customWidth="1"/>
    <col min="5" max="5" width="22.140625" style="2" customWidth="1"/>
    <col min="6" max="6" width="13.140625" style="2" bestFit="1" customWidth="1"/>
    <col min="7" max="7" width="14.42578125" style="2" bestFit="1" customWidth="1"/>
    <col min="8" max="8" width="14.140625" style="2" customWidth="1"/>
    <col min="9" max="9" width="25.140625" style="2" customWidth="1"/>
    <col min="10" max="11" width="17.5703125" style="2" customWidth="1"/>
    <col min="12" max="12" width="19.85546875" style="2" customWidth="1"/>
    <col min="13" max="13" width="22.140625" style="2" customWidth="1"/>
    <col min="14" max="14" width="27.5703125" style="2" customWidth="1"/>
    <col min="15" max="15" width="32.7109375" style="2" customWidth="1"/>
    <col min="16" max="16" width="42" style="2" customWidth="1"/>
    <col min="17" max="17" width="27.85546875" style="2" customWidth="1"/>
    <col min="18" max="18" width="19.5703125" style="2" customWidth="1"/>
    <col min="19" max="19" width="19.7109375" style="2" customWidth="1"/>
    <col min="20" max="20" width="19.5703125" style="2" customWidth="1"/>
    <col min="21" max="21" width="16.85546875" style="2" customWidth="1"/>
    <col min="22" max="22" width="18.85546875" style="2" customWidth="1"/>
    <col min="23" max="25" width="19.5703125" style="2" customWidth="1"/>
    <col min="26" max="26" width="16.85546875" style="2" customWidth="1"/>
    <col min="27" max="27" width="18.85546875" style="2" customWidth="1"/>
    <col min="28" max="28" width="38.5703125" style="2" customWidth="1"/>
    <col min="29" max="29" width="19.5703125" style="2" customWidth="1"/>
    <col min="30" max="30" width="16.85546875" style="2" customWidth="1"/>
    <col min="31" max="31" width="19.5703125" style="2" customWidth="1"/>
    <col min="32" max="32" width="16.85546875" style="2" customWidth="1"/>
    <col min="33" max="33" width="18.85546875" style="2" customWidth="1"/>
    <col min="34" max="34" width="39.85546875" customWidth="1"/>
    <col min="35" max="35" width="19.5703125" customWidth="1"/>
    <col min="36" max="36" width="16.85546875" customWidth="1"/>
    <col min="37" max="37" width="19.5703125" customWidth="1"/>
    <col min="38" max="38" width="16.85546875" customWidth="1"/>
    <col min="39" max="39" width="18.85546875" customWidth="1"/>
    <col min="40" max="40" width="48.85546875" customWidth="1"/>
    <col min="41" max="41" width="19.5703125" customWidth="1"/>
    <col min="42" max="42" width="16.85546875" customWidth="1"/>
    <col min="43" max="43" width="19.5703125" customWidth="1"/>
    <col min="44" max="44" width="16.85546875" customWidth="1"/>
    <col min="45" max="45" width="18.85546875" customWidth="1"/>
    <col min="46" max="46" width="31.5703125" customWidth="1"/>
    <col min="47" max="48" width="19" customWidth="1"/>
    <col min="49" max="49" width="19.5703125" customWidth="1"/>
    <col min="50" max="50" width="16.85546875" customWidth="1"/>
    <col min="51" max="51" width="20" customWidth="1"/>
    <col min="52" max="52" width="40.5703125" customWidth="1"/>
    <col min="53" max="54" width="19" customWidth="1"/>
    <col min="55" max="55" width="19.5703125" customWidth="1"/>
    <col min="56" max="56" width="16.85546875" customWidth="1"/>
    <col min="57" max="57" width="20" customWidth="1"/>
    <col min="58" max="58" width="40.5703125" customWidth="1"/>
    <col min="59" max="59" width="22.28515625" customWidth="1"/>
    <col min="60" max="60" width="19" customWidth="1"/>
    <col min="61" max="61" width="19.5703125" customWidth="1"/>
    <col min="62" max="62" width="16.85546875" customWidth="1"/>
    <col min="63" max="63" width="20" customWidth="1"/>
    <col min="64" max="64" width="40.5703125" customWidth="1" collapsed="1"/>
    <col min="65" max="65" width="19.42578125" customWidth="1"/>
    <col min="66" max="68" width="19.5703125" customWidth="1"/>
    <col min="69" max="69" width="20" customWidth="1"/>
    <col min="70" max="70" width="32.7109375" customWidth="1"/>
    <col min="71" max="71" width="19.5703125" customWidth="1"/>
    <col min="72" max="72" width="19.28515625" customWidth="1"/>
    <col min="73" max="73" width="19.5703125" customWidth="1"/>
    <col min="74" max="74" width="19.7109375" customWidth="1"/>
    <col min="75" max="75" width="18.85546875" customWidth="1"/>
    <col min="76" max="76" width="36.28515625" customWidth="1"/>
    <col min="77" max="77" width="19.5703125" customWidth="1"/>
    <col min="78" max="78" width="19.7109375" customWidth="1"/>
    <col min="79" max="79" width="19.5703125" customWidth="1"/>
    <col min="80" max="80" width="19.7109375" customWidth="1"/>
    <col min="81" max="81" width="17.42578125" customWidth="1"/>
    <col min="82" max="82" width="34.5703125" customWidth="1"/>
    <col min="83" max="83" width="19.5703125" customWidth="1"/>
    <col min="84" max="84" width="19.28515625" customWidth="1"/>
    <col min="85" max="85" width="19.5703125" customWidth="1"/>
    <col min="86" max="86" width="18.5703125" customWidth="1"/>
    <col min="87" max="87" width="18.85546875" customWidth="1"/>
    <col min="88" max="88" width="32.7109375" customWidth="1"/>
    <col min="89" max="90" width="16.85546875" customWidth="1"/>
    <col min="91" max="91" width="16.5703125" customWidth="1"/>
    <col min="92" max="93" width="16.85546875" customWidth="1"/>
    <col min="94" max="94" width="32.7109375" customWidth="1"/>
    <col min="95" max="96" width="16.85546875" customWidth="1"/>
    <col min="97" max="98" width="17.5703125" customWidth="1"/>
    <col min="99" max="99" width="17.85546875" customWidth="1"/>
    <col min="100" max="100" width="22.140625" customWidth="1"/>
    <col min="101" max="101" width="16.85546875" customWidth="1"/>
    <col min="102" max="102" width="19.5703125" customWidth="1"/>
    <col min="103" max="103" width="19.42578125" customWidth="1"/>
    <col min="104" max="104" width="17.5703125" customWidth="1"/>
    <col min="105" max="105" width="17.85546875" customWidth="1"/>
    <col min="106" max="106" width="17" customWidth="1"/>
    <col min="107" max="107" width="23.85546875" customWidth="1"/>
    <col min="108" max="108" width="20.85546875" customWidth="1"/>
    <col min="109" max="109" width="20" customWidth="1"/>
    <col min="110" max="110" width="21.7109375" customWidth="1"/>
    <col min="111" max="111" width="24.42578125" customWidth="1"/>
    <col min="112" max="112" width="20.85546875" customWidth="1"/>
    <col min="113" max="113" width="22.7109375" customWidth="1"/>
    <col min="114" max="114" width="22.42578125" customWidth="1"/>
    <col min="115" max="115" width="20" customWidth="1"/>
    <col min="116" max="116" width="23.140625" customWidth="1"/>
    <col min="117" max="117" width="21.140625" customWidth="1"/>
    <col min="118" max="118" width="22.42578125" customWidth="1"/>
    <col min="119" max="119" width="23.42578125" customWidth="1"/>
    <col min="120" max="120" width="22.42578125" customWidth="1"/>
    <col min="121" max="121" width="22.5703125" customWidth="1"/>
    <col min="122" max="123" width="13.5703125" style="14" customWidth="1"/>
    <col min="124" max="124" width="17.85546875" customWidth="1"/>
    <col min="125" max="125" width="19.140625" customWidth="1"/>
    <col min="126" max="126" width="17.5703125" customWidth="1"/>
    <col min="127" max="127" width="12.85546875" customWidth="1" collapsed="1"/>
    <col min="128" max="128" width="15.42578125" customWidth="1"/>
    <col min="129" max="129" width="16.5703125" customWidth="1"/>
    <col min="130" max="131" width="15.7109375" customWidth="1"/>
    <col min="132" max="133" width="17.140625" customWidth="1"/>
    <col min="134" max="135" width="16.42578125" customWidth="1"/>
    <col min="136" max="136" width="12" customWidth="1"/>
    <col min="137" max="137" width="13.28515625" customWidth="1"/>
    <col min="138" max="138" width="40.42578125" customWidth="1"/>
    <col min="139" max="139" width="16" customWidth="1"/>
    <col min="140" max="140" width="33.42578125" customWidth="1"/>
    <col min="141" max="141" width="19" customWidth="1"/>
    <col min="142" max="142" width="12.140625" customWidth="1"/>
    <col min="143" max="143" width="14.28515625" customWidth="1"/>
    <col min="144" max="144" width="11.5703125" customWidth="1"/>
    <col min="145" max="145" width="16.85546875" customWidth="1"/>
    <col min="146" max="146" width="13" customWidth="1"/>
    <col min="147" max="147" width="12.140625" customWidth="1"/>
    <col min="148" max="148" width="12.7109375" customWidth="1"/>
    <col min="149" max="149" width="14.28515625" customWidth="1"/>
    <col min="150" max="150" width="53.140625" customWidth="1"/>
    <col min="151" max="151" width="16.42578125" customWidth="1"/>
    <col min="152" max="152" width="57.85546875" customWidth="1"/>
    <col min="153" max="153" width="15.5703125" customWidth="1"/>
    <col min="154" max="154" width="14.5703125" customWidth="1"/>
    <col min="155" max="155" width="15" customWidth="1"/>
    <col min="156" max="156" width="61.28515625" customWidth="1"/>
    <col min="157" max="157" width="15.7109375" customWidth="1"/>
    <col min="158" max="158" width="60.5703125" customWidth="1"/>
    <col min="159" max="159" width="15.7109375" customWidth="1"/>
    <col min="160" max="160" width="16" customWidth="1"/>
    <col min="161" max="161" width="14.42578125" customWidth="1"/>
    <col min="162" max="162" width="15.140625" customWidth="1"/>
    <col min="163" max="163" width="59.28515625" customWidth="1"/>
    <col min="164" max="164" width="16.42578125" customWidth="1"/>
    <col min="165" max="165" width="13" customWidth="1"/>
    <col min="166" max="167" width="13.5703125" customWidth="1"/>
    <col min="168" max="168" width="16.5703125" customWidth="1"/>
    <col min="169" max="169" width="16.85546875" customWidth="1"/>
    <col min="170" max="170" width="16.5703125" customWidth="1"/>
    <col min="171" max="171" width="16.85546875" customWidth="1"/>
    <col min="172" max="172" width="16.5703125" customWidth="1"/>
    <col min="173" max="173" width="16.85546875" customWidth="1"/>
    <col min="174" max="174" width="16.5703125" customWidth="1"/>
    <col min="175" max="175" width="16.85546875" customWidth="1"/>
    <col min="176" max="176" width="16.5703125" customWidth="1"/>
    <col min="177" max="177" width="16.85546875" customWidth="1"/>
    <col min="178" max="178" width="16.5703125" customWidth="1"/>
    <col min="179" max="179" width="16.85546875" customWidth="1"/>
    <col min="180" max="180" width="16.5703125" customWidth="1"/>
    <col min="181" max="181" width="16.85546875" customWidth="1"/>
    <col min="182" max="182" width="16.5703125" customWidth="1"/>
    <col min="183" max="183" width="16.85546875" customWidth="1"/>
    <col min="184" max="184" width="16.5703125" customWidth="1"/>
    <col min="185" max="185" width="16.85546875" customWidth="1"/>
    <col min="186" max="186" width="16.5703125" customWidth="1"/>
    <col min="187" max="187" width="16.85546875" customWidth="1"/>
    <col min="188" max="189" width="18.140625" customWidth="1"/>
    <col min="190" max="190" width="16.5703125" customWidth="1"/>
    <col min="191" max="191" width="16.85546875" customWidth="1"/>
    <col min="192" max="193" width="18.140625" customWidth="1"/>
    <col min="194" max="194" width="16.5703125" customWidth="1"/>
    <col min="195" max="195" width="16.85546875" customWidth="1"/>
    <col min="196" max="197" width="18.140625" customWidth="1"/>
    <col min="198" max="198" width="16.5703125" customWidth="1"/>
    <col min="199" max="199" width="16.85546875" customWidth="1"/>
    <col min="200" max="201" width="18.140625" customWidth="1"/>
    <col min="202" max="202" width="16.5703125" customWidth="1"/>
    <col min="203" max="203" width="16.85546875" customWidth="1"/>
    <col min="204" max="215" width="18.5703125" customWidth="1"/>
    <col min="216" max="227" width="15.42578125" customWidth="1"/>
    <col min="228" max="229" width="12.7109375" customWidth="1"/>
    <col min="230" max="230" width="13.42578125" customWidth="1"/>
    <col min="231" max="231" width="13" customWidth="1"/>
    <col min="232" max="232" width="12.7109375" customWidth="1"/>
    <col min="233" max="233" width="17.140625" customWidth="1"/>
    <col min="234" max="234" width="12.85546875" customWidth="1"/>
    <col min="235" max="235" width="13.85546875" customWidth="1"/>
    <col min="236" max="239" width="14.85546875" customWidth="1"/>
    <col min="240" max="240" width="9.5703125" customWidth="1"/>
    <col min="241" max="241" width="12.7109375" customWidth="1"/>
    <col min="242" max="242" width="13.5703125" customWidth="1"/>
    <col min="243" max="243" width="12.7109375" customWidth="1"/>
    <col min="244" max="244" width="13.140625" customWidth="1"/>
    <col min="245" max="245" width="15" style="28" customWidth="1"/>
    <col min="246" max="246" width="12.140625" style="28" customWidth="1"/>
    <col min="247" max="247" width="12.85546875" style="28" customWidth="1"/>
    <col min="248" max="252" width="12.140625" style="28" customWidth="1"/>
    <col min="253" max="253" width="17.140625" style="28" customWidth="1"/>
    <col min="254" max="254" width="18.7109375" style="28" customWidth="1"/>
    <col min="255" max="255" width="13.85546875" style="28" customWidth="1"/>
    <col min="256" max="256" width="12.140625" style="28" customWidth="1"/>
    <col min="257" max="257" width="13.28515625" style="28" customWidth="1"/>
    <col min="258" max="259" width="16" style="28" customWidth="1"/>
    <col min="260" max="260" width="12.140625" style="28" customWidth="1"/>
    <col min="261" max="261" width="18.42578125" style="28" customWidth="1"/>
    <col min="262" max="262" width="12.140625" style="28" customWidth="1"/>
    <col min="263" max="263" width="17.42578125" style="28" customWidth="1"/>
    <col min="264" max="264" width="13" style="28" customWidth="1"/>
    <col min="265" max="265" width="12.140625" style="28" customWidth="1"/>
    <col min="266" max="266" width="12.7109375" style="28" customWidth="1"/>
    <col min="267" max="267" width="14.28515625" style="28" customWidth="1"/>
    <col min="268" max="269" width="16.42578125" style="28" customWidth="1"/>
    <col min="270" max="270" width="12.140625" style="28" customWidth="1"/>
    <col min="271" max="271" width="15" style="28" customWidth="1"/>
    <col min="272" max="274" width="17.5703125" style="28" customWidth="1"/>
    <col min="275" max="275" width="12.28515625" style="28" customWidth="1"/>
    <col min="276" max="276" width="15.140625" style="28" customWidth="1"/>
    <col min="277" max="277" width="9.7109375" customWidth="1"/>
    <col min="278" max="278" width="22.5703125" customWidth="1"/>
    <col min="279" max="279" width="9.85546875" customWidth="1"/>
    <col min="280" max="280" width="10.140625" customWidth="1"/>
    <col min="281" max="281" width="9.85546875" customWidth="1"/>
    <col min="282" max="282" width="11.42578125" customWidth="1"/>
    <col min="283" max="283" width="11.140625" customWidth="1"/>
    <col min="284" max="284" width="11.42578125" customWidth="1"/>
    <col min="285" max="286" width="12.28515625" customWidth="1"/>
    <col min="287" max="289" width="12.42578125" customWidth="1"/>
    <col min="290" max="295" width="12.28515625" customWidth="1"/>
    <col min="296" max="298" width="11.140625" customWidth="1"/>
    <col min="299" max="299" width="10.5703125" customWidth="1"/>
    <col min="300" max="304" width="12.42578125" customWidth="1"/>
    <col min="305" max="308" width="12.28515625" customWidth="1"/>
    <col min="309" max="310" width="12.42578125" customWidth="1"/>
    <col min="311" max="313" width="11.140625" customWidth="1"/>
    <col min="314" max="314" width="9.42578125" bestFit="1" customWidth="1"/>
    <col min="315" max="315" width="9.5703125" bestFit="1" customWidth="1"/>
    <col min="316" max="316" width="8.85546875" bestFit="1" customWidth="1"/>
  </cols>
  <sheetData>
    <row r="1" spans="1:484" x14ac:dyDescent="0.25">
      <c r="A1" s="2" t="s">
        <v>9</v>
      </c>
      <c r="B1" s="2" t="s">
        <v>9</v>
      </c>
      <c r="C1" s="2" t="s">
        <v>9</v>
      </c>
      <c r="D1" s="2" t="s">
        <v>9</v>
      </c>
      <c r="E1" s="2" t="s">
        <v>9</v>
      </c>
      <c r="F1" s="2" t="s">
        <v>9</v>
      </c>
      <c r="G1" s="2" t="s">
        <v>9</v>
      </c>
      <c r="H1" s="2" t="s">
        <v>9</v>
      </c>
      <c r="I1" s="2" t="s">
        <v>9</v>
      </c>
      <c r="J1" s="2" t="s">
        <v>9</v>
      </c>
      <c r="K1" s="2" t="s">
        <v>9</v>
      </c>
      <c r="L1" s="2" t="s">
        <v>9</v>
      </c>
      <c r="M1" s="2" t="s">
        <v>9</v>
      </c>
      <c r="N1" s="2" t="s">
        <v>9</v>
      </c>
      <c r="O1" s="2" t="s">
        <v>9</v>
      </c>
      <c r="P1" s="2" t="s">
        <v>9</v>
      </c>
      <c r="Q1" s="2" t="s">
        <v>9</v>
      </c>
      <c r="R1" s="2" t="s">
        <v>10</v>
      </c>
      <c r="S1" s="2" t="s">
        <v>10</v>
      </c>
      <c r="T1" s="2" t="s">
        <v>10</v>
      </c>
      <c r="U1" s="2" t="s">
        <v>10</v>
      </c>
      <c r="V1" s="2" t="s">
        <v>10</v>
      </c>
      <c r="W1" s="2" t="s">
        <v>10</v>
      </c>
      <c r="X1" s="2" t="s">
        <v>10</v>
      </c>
      <c r="Y1" s="2" t="s">
        <v>10</v>
      </c>
      <c r="Z1" s="2" t="s">
        <v>10</v>
      </c>
      <c r="AA1" s="2" t="s">
        <v>10</v>
      </c>
      <c r="AB1" s="2" t="s">
        <v>10</v>
      </c>
      <c r="AC1" s="2" t="s">
        <v>10</v>
      </c>
      <c r="AD1" s="2" t="s">
        <v>10</v>
      </c>
      <c r="AE1" s="2" t="s">
        <v>10</v>
      </c>
      <c r="AF1" s="2" t="s">
        <v>10</v>
      </c>
      <c r="AG1" s="2" t="s">
        <v>10</v>
      </c>
      <c r="AH1" t="s">
        <v>10</v>
      </c>
      <c r="AI1" t="s">
        <v>10</v>
      </c>
      <c r="AJ1" t="s">
        <v>10</v>
      </c>
      <c r="AK1" t="s">
        <v>10</v>
      </c>
      <c r="AL1" t="s">
        <v>10</v>
      </c>
      <c r="AM1" t="s">
        <v>10</v>
      </c>
      <c r="AN1" t="s">
        <v>10</v>
      </c>
      <c r="AO1" t="s">
        <v>10</v>
      </c>
      <c r="AP1" t="s">
        <v>10</v>
      </c>
      <c r="AQ1" t="s">
        <v>10</v>
      </c>
      <c r="AR1" t="s">
        <v>10</v>
      </c>
      <c r="AS1" t="s">
        <v>10</v>
      </c>
      <c r="AT1" t="s">
        <v>10</v>
      </c>
      <c r="AU1" t="s">
        <v>10</v>
      </c>
      <c r="AV1" t="s">
        <v>10</v>
      </c>
      <c r="AW1" t="s">
        <v>10</v>
      </c>
      <c r="AX1" t="s">
        <v>10</v>
      </c>
      <c r="AY1" t="s">
        <v>10</v>
      </c>
      <c r="AZ1" t="s">
        <v>10</v>
      </c>
      <c r="BA1" t="s">
        <v>10</v>
      </c>
      <c r="BB1" t="s">
        <v>10</v>
      </c>
      <c r="BC1" t="s">
        <v>10</v>
      </c>
      <c r="BD1" t="s">
        <v>10</v>
      </c>
      <c r="BE1" t="s">
        <v>10</v>
      </c>
      <c r="BF1" t="s">
        <v>10</v>
      </c>
      <c r="BG1" t="s">
        <v>10</v>
      </c>
      <c r="BH1" t="s">
        <v>10</v>
      </c>
      <c r="BI1" t="s">
        <v>10</v>
      </c>
      <c r="BJ1" t="s">
        <v>10</v>
      </c>
      <c r="BK1" t="s">
        <v>10</v>
      </c>
      <c r="BL1" t="s">
        <v>10</v>
      </c>
      <c r="BM1" t="s">
        <v>10</v>
      </c>
      <c r="BN1" t="s">
        <v>10</v>
      </c>
      <c r="BO1" t="s">
        <v>10</v>
      </c>
      <c r="BP1" t="s">
        <v>10</v>
      </c>
      <c r="BQ1" t="s">
        <v>10</v>
      </c>
      <c r="BR1" t="s">
        <v>10</v>
      </c>
      <c r="BS1" t="s">
        <v>10</v>
      </c>
      <c r="BT1" t="s">
        <v>10</v>
      </c>
      <c r="BU1" t="s">
        <v>10</v>
      </c>
      <c r="BV1" t="s">
        <v>10</v>
      </c>
      <c r="BW1" t="s">
        <v>10</v>
      </c>
      <c r="BX1" t="s">
        <v>10</v>
      </c>
      <c r="BY1" t="s">
        <v>10</v>
      </c>
      <c r="BZ1" t="s">
        <v>10</v>
      </c>
      <c r="CA1" t="s">
        <v>10</v>
      </c>
      <c r="CB1" t="s">
        <v>10</v>
      </c>
      <c r="CC1" t="s">
        <v>10</v>
      </c>
      <c r="CD1" t="s">
        <v>10</v>
      </c>
      <c r="CE1" t="s">
        <v>10</v>
      </c>
      <c r="CF1" t="s">
        <v>10</v>
      </c>
      <c r="CG1" t="s">
        <v>10</v>
      </c>
      <c r="CH1" t="s">
        <v>10</v>
      </c>
      <c r="CI1" t="s">
        <v>10</v>
      </c>
      <c r="CJ1" t="s">
        <v>10</v>
      </c>
      <c r="CK1" t="s">
        <v>10</v>
      </c>
      <c r="CL1" t="s">
        <v>10</v>
      </c>
      <c r="CM1" t="s">
        <v>10</v>
      </c>
      <c r="CN1" t="s">
        <v>10</v>
      </c>
      <c r="CO1" t="s">
        <v>10</v>
      </c>
      <c r="CP1" t="s">
        <v>10</v>
      </c>
      <c r="CQ1" t="s">
        <v>10</v>
      </c>
      <c r="CR1" t="s">
        <v>10</v>
      </c>
      <c r="CS1" t="s">
        <v>10</v>
      </c>
      <c r="CT1" t="s">
        <v>10</v>
      </c>
      <c r="CU1" t="s">
        <v>10</v>
      </c>
      <c r="CV1" t="s">
        <v>10</v>
      </c>
      <c r="CW1" t="s">
        <v>10</v>
      </c>
      <c r="CX1" t="s">
        <v>10</v>
      </c>
      <c r="CY1" t="s">
        <v>10</v>
      </c>
      <c r="CZ1" t="s">
        <v>10</v>
      </c>
      <c r="DA1" t="s">
        <v>10</v>
      </c>
      <c r="DB1" t="s">
        <v>10</v>
      </c>
      <c r="DC1" t="s">
        <v>264</v>
      </c>
      <c r="DD1" t="s">
        <v>264</v>
      </c>
      <c r="DE1" t="s">
        <v>264</v>
      </c>
      <c r="DF1" t="s">
        <v>264</v>
      </c>
      <c r="DG1" t="s">
        <v>264</v>
      </c>
      <c r="DH1" t="s">
        <v>264</v>
      </c>
      <c r="DI1" t="s">
        <v>264</v>
      </c>
      <c r="DJ1" t="s">
        <v>264</v>
      </c>
      <c r="DK1" t="s">
        <v>264</v>
      </c>
      <c r="DL1" t="s">
        <v>264</v>
      </c>
      <c r="DM1" t="s">
        <v>264</v>
      </c>
      <c r="DN1" t="s">
        <v>264</v>
      </c>
      <c r="DO1" t="s">
        <v>264</v>
      </c>
      <c r="DP1" t="s">
        <v>264</v>
      </c>
      <c r="DQ1" t="s">
        <v>264</v>
      </c>
      <c r="DR1" s="14" t="s">
        <v>319</v>
      </c>
      <c r="DS1" s="14" t="s">
        <v>319</v>
      </c>
      <c r="DT1" t="s">
        <v>319</v>
      </c>
      <c r="DU1" t="s">
        <v>319</v>
      </c>
      <c r="DV1" t="s">
        <v>319</v>
      </c>
      <c r="DW1" t="s">
        <v>319</v>
      </c>
      <c r="DX1" t="s">
        <v>319</v>
      </c>
      <c r="DY1" t="s">
        <v>319</v>
      </c>
      <c r="DZ1" t="s">
        <v>319</v>
      </c>
      <c r="EA1" t="s">
        <v>319</v>
      </c>
      <c r="EB1" t="s">
        <v>319</v>
      </c>
      <c r="EC1" t="s">
        <v>319</v>
      </c>
      <c r="ED1" t="s">
        <v>319</v>
      </c>
      <c r="EE1" t="s">
        <v>319</v>
      </c>
      <c r="EF1" t="s">
        <v>319</v>
      </c>
      <c r="EG1" t="s">
        <v>319</v>
      </c>
      <c r="EH1" t="s">
        <v>319</v>
      </c>
      <c r="EI1" t="s">
        <v>319</v>
      </c>
      <c r="EJ1" t="s">
        <v>319</v>
      </c>
      <c r="EK1" t="s">
        <v>319</v>
      </c>
      <c r="EL1" t="s">
        <v>319</v>
      </c>
      <c r="EM1" t="s">
        <v>319</v>
      </c>
      <c r="EN1" t="s">
        <v>319</v>
      </c>
      <c r="EO1" t="s">
        <v>319</v>
      </c>
      <c r="EP1" t="s">
        <v>319</v>
      </c>
      <c r="EQ1" t="s">
        <v>319</v>
      </c>
      <c r="ER1" t="s">
        <v>319</v>
      </c>
      <c r="ES1" t="s">
        <v>319</v>
      </c>
      <c r="ET1" t="s">
        <v>319</v>
      </c>
      <c r="EU1" t="s">
        <v>319</v>
      </c>
      <c r="EV1" t="s">
        <v>319</v>
      </c>
      <c r="EW1" t="s">
        <v>319</v>
      </c>
      <c r="EX1" t="s">
        <v>319</v>
      </c>
      <c r="EY1" t="s">
        <v>319</v>
      </c>
      <c r="EZ1" t="s">
        <v>319</v>
      </c>
      <c r="FA1" t="s">
        <v>319</v>
      </c>
      <c r="FB1" t="s">
        <v>319</v>
      </c>
      <c r="FC1" t="s">
        <v>319</v>
      </c>
      <c r="FD1" t="s">
        <v>319</v>
      </c>
      <c r="FE1" t="s">
        <v>319</v>
      </c>
      <c r="FF1" t="s">
        <v>319</v>
      </c>
    </row>
    <row r="2" spans="1:484" x14ac:dyDescent="0.25">
      <c r="A2" s="2" t="s">
        <v>121</v>
      </c>
      <c r="B2" s="2" t="s">
        <v>122</v>
      </c>
      <c r="C2" s="2" t="s">
        <v>123</v>
      </c>
      <c r="D2" s="2" t="s">
        <v>243</v>
      </c>
      <c r="E2" s="2" t="s">
        <v>135</v>
      </c>
      <c r="F2" s="2" t="s">
        <v>124</v>
      </c>
      <c r="G2" s="2" t="s">
        <v>125</v>
      </c>
      <c r="H2" s="2" t="s">
        <v>126</v>
      </c>
      <c r="I2" s="2" t="s">
        <v>127</v>
      </c>
      <c r="J2" s="2" t="s">
        <v>128</v>
      </c>
      <c r="K2" s="2" t="s">
        <v>250</v>
      </c>
      <c r="L2" s="2" t="s">
        <v>129</v>
      </c>
      <c r="M2" s="2" t="s">
        <v>130</v>
      </c>
      <c r="N2" s="2" t="s">
        <v>132</v>
      </c>
      <c r="O2" s="2" t="s">
        <v>251</v>
      </c>
      <c r="P2" s="2" t="s">
        <v>252</v>
      </c>
      <c r="Q2" s="2" t="s">
        <v>186</v>
      </c>
      <c r="R2" s="2" t="s">
        <v>133</v>
      </c>
      <c r="S2" s="2" t="s">
        <v>135</v>
      </c>
      <c r="T2" s="2" t="s">
        <v>134</v>
      </c>
      <c r="U2" s="2" t="s">
        <v>136</v>
      </c>
      <c r="V2" s="2" t="s">
        <v>137</v>
      </c>
      <c r="W2" s="2" t="s">
        <v>138</v>
      </c>
      <c r="X2" s="2" t="s">
        <v>124</v>
      </c>
      <c r="Y2" s="2" t="s">
        <v>139</v>
      </c>
      <c r="Z2" s="2" t="s">
        <v>140</v>
      </c>
      <c r="AA2" s="2" t="s">
        <v>141</v>
      </c>
      <c r="AB2" s="2" t="s">
        <v>147</v>
      </c>
      <c r="AC2" s="2" t="s">
        <v>142</v>
      </c>
      <c r="AD2" s="2" t="s">
        <v>125</v>
      </c>
      <c r="AE2" s="2" t="s">
        <v>143</v>
      </c>
      <c r="AF2" s="2" t="s">
        <v>144</v>
      </c>
      <c r="AG2" s="2" t="s">
        <v>145</v>
      </c>
      <c r="AH2" s="2" t="s">
        <v>148</v>
      </c>
      <c r="AI2" s="2" t="s">
        <v>146</v>
      </c>
      <c r="AJ2" s="2" t="s">
        <v>126</v>
      </c>
      <c r="AK2" s="2" t="s">
        <v>149</v>
      </c>
      <c r="AL2" s="2" t="s">
        <v>150</v>
      </c>
      <c r="AM2" s="2" t="s">
        <v>151</v>
      </c>
      <c r="AN2" s="2" t="s">
        <v>152</v>
      </c>
      <c r="AO2" s="2" t="s">
        <v>153</v>
      </c>
      <c r="AP2" s="2" t="s">
        <v>127</v>
      </c>
      <c r="AQ2" s="2" t="s">
        <v>154</v>
      </c>
      <c r="AR2" s="2" t="s">
        <v>155</v>
      </c>
      <c r="AS2" s="2" t="s">
        <v>156</v>
      </c>
      <c r="AT2" s="2" t="s">
        <v>157</v>
      </c>
      <c r="AU2" s="2" t="s">
        <v>158</v>
      </c>
      <c r="AV2" s="2" t="s">
        <v>129</v>
      </c>
      <c r="AW2" s="2" t="s">
        <v>159</v>
      </c>
      <c r="AX2" s="2" t="s">
        <v>160</v>
      </c>
      <c r="AY2" s="2" t="s">
        <v>161</v>
      </c>
      <c r="AZ2" s="2" t="s">
        <v>162</v>
      </c>
      <c r="BA2" s="2" t="s">
        <v>163</v>
      </c>
      <c r="BB2" s="2" t="s">
        <v>130</v>
      </c>
      <c r="BC2" s="2" t="s">
        <v>164</v>
      </c>
      <c r="BD2" s="2" t="s">
        <v>165</v>
      </c>
      <c r="BE2" s="2" t="s">
        <v>166</v>
      </c>
      <c r="BF2" t="s">
        <v>167</v>
      </c>
      <c r="BG2" t="s">
        <v>168</v>
      </c>
      <c r="BH2" t="s">
        <v>131</v>
      </c>
      <c r="BI2" t="s">
        <v>169</v>
      </c>
      <c r="BJ2" t="s">
        <v>170</v>
      </c>
      <c r="BK2" t="s">
        <v>171</v>
      </c>
      <c r="BL2" t="s">
        <v>179</v>
      </c>
      <c r="BM2" t="s">
        <v>180</v>
      </c>
      <c r="BN2" t="s">
        <v>132</v>
      </c>
      <c r="BO2" t="s">
        <v>181</v>
      </c>
      <c r="BP2" t="s">
        <v>182</v>
      </c>
      <c r="BQ2" t="s">
        <v>183</v>
      </c>
      <c r="BR2" t="s">
        <v>184</v>
      </c>
      <c r="BS2" t="s">
        <v>185</v>
      </c>
      <c r="BT2" t="s">
        <v>186</v>
      </c>
      <c r="BU2" t="s">
        <v>187</v>
      </c>
      <c r="BV2" t="s">
        <v>188</v>
      </c>
      <c r="BW2" t="s">
        <v>189</v>
      </c>
      <c r="BX2" t="s">
        <v>190</v>
      </c>
      <c r="BY2" t="s">
        <v>191</v>
      </c>
      <c r="BZ2" t="s">
        <v>192</v>
      </c>
      <c r="CA2" t="s">
        <v>193</v>
      </c>
      <c r="CB2" t="s">
        <v>194</v>
      </c>
      <c r="CC2" t="s">
        <v>195</v>
      </c>
      <c r="CD2" t="s">
        <v>196</v>
      </c>
      <c r="CE2" t="s">
        <v>197</v>
      </c>
      <c r="CF2" t="s">
        <v>198</v>
      </c>
      <c r="CG2" t="s">
        <v>199</v>
      </c>
      <c r="CH2" t="s">
        <v>200</v>
      </c>
      <c r="CI2" t="s">
        <v>201</v>
      </c>
      <c r="CJ2" t="s">
        <v>202</v>
      </c>
      <c r="CK2" t="s">
        <v>203</v>
      </c>
      <c r="CL2" t="s">
        <v>204</v>
      </c>
      <c r="CM2" t="s">
        <v>205</v>
      </c>
      <c r="CN2" t="s">
        <v>206</v>
      </c>
      <c r="CO2" t="s">
        <v>207</v>
      </c>
      <c r="CP2" t="s">
        <v>208</v>
      </c>
      <c r="CQ2" t="s">
        <v>209</v>
      </c>
      <c r="CR2" t="s">
        <v>210</v>
      </c>
      <c r="CS2" t="s">
        <v>211</v>
      </c>
      <c r="CT2" t="s">
        <v>212</v>
      </c>
      <c r="CU2" t="s">
        <v>213</v>
      </c>
      <c r="CV2" t="s">
        <v>259</v>
      </c>
      <c r="CW2" t="s">
        <v>260</v>
      </c>
      <c r="CX2" t="s">
        <v>261</v>
      </c>
      <c r="CY2" t="s">
        <v>262</v>
      </c>
      <c r="CZ2" t="s">
        <v>178</v>
      </c>
      <c r="DA2" t="s">
        <v>263</v>
      </c>
      <c r="DB2" t="s">
        <v>215</v>
      </c>
      <c r="DC2" t="s">
        <v>123</v>
      </c>
      <c r="DD2" t="s">
        <v>221</v>
      </c>
      <c r="DE2" t="s">
        <v>222</v>
      </c>
      <c r="DF2" t="s">
        <v>279</v>
      </c>
      <c r="DG2" t="s">
        <v>280</v>
      </c>
      <c r="DH2" t="s">
        <v>281</v>
      </c>
      <c r="DI2" t="s">
        <v>135</v>
      </c>
      <c r="DJ2" t="s">
        <v>134</v>
      </c>
      <c r="DK2" t="s">
        <v>136</v>
      </c>
      <c r="DL2" t="s">
        <v>137</v>
      </c>
      <c r="DM2" t="s">
        <v>220</v>
      </c>
      <c r="DN2" t="s">
        <v>282</v>
      </c>
      <c r="DO2" t="s">
        <v>283</v>
      </c>
      <c r="DP2" t="s">
        <v>158</v>
      </c>
      <c r="DQ2" t="s">
        <v>163</v>
      </c>
      <c r="DR2" s="14" t="s">
        <v>221</v>
      </c>
      <c r="DS2" s="14" t="s">
        <v>222</v>
      </c>
      <c r="DT2" t="s">
        <v>135</v>
      </c>
      <c r="DU2" t="s">
        <v>223</v>
      </c>
      <c r="DV2" t="s">
        <v>160</v>
      </c>
      <c r="DW2" t="s">
        <v>165</v>
      </c>
      <c r="DX2" t="s">
        <v>170</v>
      </c>
      <c r="DY2" t="s">
        <v>182</v>
      </c>
      <c r="DZ2" t="s">
        <v>225</v>
      </c>
      <c r="EA2" t="s">
        <v>226</v>
      </c>
      <c r="EB2" t="s">
        <v>188</v>
      </c>
      <c r="EC2" t="s">
        <v>227</v>
      </c>
      <c r="ED2" t="s">
        <v>228</v>
      </c>
      <c r="EE2" t="s">
        <v>206</v>
      </c>
      <c r="EF2" t="s">
        <v>212</v>
      </c>
      <c r="EG2" t="s">
        <v>178</v>
      </c>
      <c r="EH2" t="s">
        <v>307</v>
      </c>
      <c r="EI2" t="s">
        <v>229</v>
      </c>
      <c r="EJ2" t="s">
        <v>320</v>
      </c>
      <c r="EK2" t="s">
        <v>214</v>
      </c>
      <c r="EL2" t="s">
        <v>230</v>
      </c>
      <c r="EM2" t="s">
        <v>231</v>
      </c>
      <c r="EN2" t="s">
        <v>216</v>
      </c>
      <c r="EO2" t="s">
        <v>217</v>
      </c>
      <c r="EP2" t="s">
        <v>218</v>
      </c>
      <c r="EQ2" t="s">
        <v>232</v>
      </c>
      <c r="ER2" t="s">
        <v>233</v>
      </c>
      <c r="ES2" t="s">
        <v>234</v>
      </c>
      <c r="ET2" t="s">
        <v>308</v>
      </c>
      <c r="EU2" t="s">
        <v>235</v>
      </c>
      <c r="EV2" t="s">
        <v>219</v>
      </c>
      <c r="EW2" t="s">
        <v>236</v>
      </c>
      <c r="EX2" t="s">
        <v>309</v>
      </c>
      <c r="EY2" t="s">
        <v>310</v>
      </c>
      <c r="EZ2" t="s">
        <v>312</v>
      </c>
      <c r="FA2" t="s">
        <v>237</v>
      </c>
      <c r="FB2" t="s">
        <v>311</v>
      </c>
      <c r="FC2" t="s">
        <v>238</v>
      </c>
      <c r="FD2" t="s">
        <v>313</v>
      </c>
      <c r="FE2" t="s">
        <v>239</v>
      </c>
      <c r="FF2" t="s">
        <v>314</v>
      </c>
    </row>
    <row r="3" spans="1:484" s="1" customFormat="1" x14ac:dyDescent="0.25">
      <c r="A3" s="4" t="s">
        <v>9</v>
      </c>
      <c r="R3" s="6" t="s">
        <v>10</v>
      </c>
      <c r="DC3" s="10" t="s">
        <v>264</v>
      </c>
      <c r="DR3" s="15" t="s">
        <v>89</v>
      </c>
      <c r="DS3" s="16"/>
      <c r="IK3" s="29"/>
      <c r="IL3" s="28"/>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row>
    <row r="4" spans="1:484" s="1" customFormat="1" ht="24.6" customHeight="1" x14ac:dyDescent="0.2">
      <c r="A4" s="3"/>
      <c r="R4" s="6" t="s">
        <v>24</v>
      </c>
      <c r="AT4" s="7" t="s">
        <v>56</v>
      </c>
      <c r="BR4" s="6" t="s">
        <v>57</v>
      </c>
      <c r="CJ4" s="6" t="s">
        <v>69</v>
      </c>
      <c r="DB4" s="9" t="s">
        <v>86</v>
      </c>
      <c r="DC4" s="10" t="s">
        <v>88</v>
      </c>
      <c r="DR4" s="15" t="s">
        <v>120</v>
      </c>
      <c r="DS4" s="16"/>
      <c r="DU4" s="12" t="s">
        <v>92</v>
      </c>
      <c r="FL4" s="6" t="s">
        <v>24</v>
      </c>
      <c r="GF4" s="7" t="s">
        <v>56</v>
      </c>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row>
    <row r="5" spans="1:484" s="1" customFormat="1" ht="45" x14ac:dyDescent="0.2">
      <c r="A5" s="3"/>
      <c r="R5" s="6" t="s">
        <v>11</v>
      </c>
      <c r="W5" s="6" t="s">
        <v>12</v>
      </c>
      <c r="AB5" s="6" t="s">
        <v>13</v>
      </c>
      <c r="AC5" s="6"/>
      <c r="AH5" s="6" t="s">
        <v>13</v>
      </c>
      <c r="AI5" s="6"/>
      <c r="AN5" s="6" t="s">
        <v>13</v>
      </c>
      <c r="AT5" s="7" t="s">
        <v>40</v>
      </c>
      <c r="AZ5" s="7" t="s">
        <v>40</v>
      </c>
      <c r="BF5" s="7" t="s">
        <v>40</v>
      </c>
      <c r="BL5" s="7" t="s">
        <v>40</v>
      </c>
      <c r="BR5" s="6" t="s">
        <v>58</v>
      </c>
      <c r="BX5" s="6" t="s">
        <v>58</v>
      </c>
      <c r="CD5" s="6" t="s">
        <v>58</v>
      </c>
      <c r="CJ5" s="6" t="s">
        <v>70</v>
      </c>
      <c r="CP5" s="6" t="s">
        <v>70</v>
      </c>
      <c r="CV5" s="6" t="s">
        <v>70</v>
      </c>
      <c r="DC5" s="10" t="s">
        <v>265</v>
      </c>
      <c r="DI5" s="10" t="s">
        <v>272</v>
      </c>
      <c r="DR5" s="16"/>
      <c r="DS5" s="16"/>
      <c r="DU5" s="12" t="s">
        <v>293</v>
      </c>
      <c r="EC5" s="13" t="s">
        <v>294</v>
      </c>
      <c r="EL5" s="13" t="s">
        <v>295</v>
      </c>
      <c r="EX5" s="13" t="s">
        <v>306</v>
      </c>
      <c r="FD5" s="13" t="s">
        <v>105</v>
      </c>
      <c r="FL5" s="6" t="s">
        <v>11</v>
      </c>
      <c r="FP5" s="6" t="s">
        <v>12</v>
      </c>
      <c r="FT5" s="6" t="s">
        <v>13</v>
      </c>
      <c r="FX5" s="6" t="s">
        <v>13</v>
      </c>
      <c r="GB5" s="6" t="s">
        <v>13</v>
      </c>
      <c r="GF5" s="7" t="s">
        <v>40</v>
      </c>
      <c r="GJ5" s="7" t="s">
        <v>40</v>
      </c>
      <c r="GN5" s="7" t="s">
        <v>40</v>
      </c>
      <c r="GR5" s="7" t="s">
        <v>40</v>
      </c>
    </row>
    <row r="6" spans="1:484" s="1" customFormat="1" ht="101.25" x14ac:dyDescent="0.2">
      <c r="A6" s="3" t="s">
        <v>0</v>
      </c>
      <c r="B6" s="3" t="s">
        <v>1</v>
      </c>
      <c r="C6" s="3" t="s">
        <v>2</v>
      </c>
      <c r="D6" s="3" t="s">
        <v>241</v>
      </c>
      <c r="E6" s="3" t="s">
        <v>242</v>
      </c>
      <c r="F6" s="3" t="s">
        <v>3</v>
      </c>
      <c r="G6" s="3" t="s">
        <v>4</v>
      </c>
      <c r="H6" s="3" t="s">
        <v>244</v>
      </c>
      <c r="I6" s="3" t="s">
        <v>245</v>
      </c>
      <c r="J6" s="3" t="s">
        <v>246</v>
      </c>
      <c r="K6" s="3" t="s">
        <v>247</v>
      </c>
      <c r="L6" s="3" t="s">
        <v>248</v>
      </c>
      <c r="M6" s="3" t="s">
        <v>249</v>
      </c>
      <c r="N6" s="3" t="s">
        <v>5</v>
      </c>
      <c r="O6" s="3" t="s">
        <v>6</v>
      </c>
      <c r="P6" s="3" t="s">
        <v>7</v>
      </c>
      <c r="Q6" s="3" t="s">
        <v>8</v>
      </c>
      <c r="R6" s="1" t="s">
        <v>14</v>
      </c>
      <c r="S6" s="1" t="s">
        <v>15</v>
      </c>
      <c r="T6" s="1" t="s">
        <v>16</v>
      </c>
      <c r="U6" s="1" t="s">
        <v>17</v>
      </c>
      <c r="V6" s="1" t="s">
        <v>18</v>
      </c>
      <c r="W6" s="1" t="s">
        <v>19</v>
      </c>
      <c r="X6" s="1" t="s">
        <v>20</v>
      </c>
      <c r="Y6" s="1" t="s">
        <v>21</v>
      </c>
      <c r="Z6" s="1" t="s">
        <v>22</v>
      </c>
      <c r="AA6" s="1" t="s">
        <v>23</v>
      </c>
      <c r="AB6" s="1" t="s">
        <v>119</v>
      </c>
      <c r="AC6" s="1" t="s">
        <v>25</v>
      </c>
      <c r="AD6" s="1" t="s">
        <v>26</v>
      </c>
      <c r="AE6" s="1" t="s">
        <v>27</v>
      </c>
      <c r="AF6" s="1" t="s">
        <v>28</v>
      </c>
      <c r="AG6" s="1" t="s">
        <v>29</v>
      </c>
      <c r="AH6" s="1" t="s">
        <v>118</v>
      </c>
      <c r="AI6" s="1" t="s">
        <v>30</v>
      </c>
      <c r="AJ6" s="1" t="s">
        <v>31</v>
      </c>
      <c r="AK6" s="1" t="s">
        <v>32</v>
      </c>
      <c r="AL6" s="1" t="s">
        <v>33</v>
      </c>
      <c r="AM6" s="1" t="s">
        <v>34</v>
      </c>
      <c r="AN6" s="1" t="s">
        <v>109</v>
      </c>
      <c r="AO6" s="1" t="s">
        <v>35</v>
      </c>
      <c r="AP6" s="1" t="s">
        <v>36</v>
      </c>
      <c r="AQ6" s="1" t="s">
        <v>37</v>
      </c>
      <c r="AR6" s="1" t="s">
        <v>38</v>
      </c>
      <c r="AS6" s="1" t="s">
        <v>39</v>
      </c>
      <c r="AT6" s="1" t="s">
        <v>110</v>
      </c>
      <c r="AU6" s="1" t="s">
        <v>41</v>
      </c>
      <c r="AV6" s="1" t="s">
        <v>42</v>
      </c>
      <c r="AW6" s="1" t="s">
        <v>43</v>
      </c>
      <c r="AX6" s="1" t="s">
        <v>44</v>
      </c>
      <c r="AY6" s="1" t="s">
        <v>45</v>
      </c>
      <c r="AZ6" s="1" t="s">
        <v>111</v>
      </c>
      <c r="BA6" s="1" t="s">
        <v>46</v>
      </c>
      <c r="BB6" s="1" t="s">
        <v>47</v>
      </c>
      <c r="BC6" s="1" t="s">
        <v>48</v>
      </c>
      <c r="BD6" s="1" t="s">
        <v>49</v>
      </c>
      <c r="BE6" s="1" t="s">
        <v>50</v>
      </c>
      <c r="BF6" s="1" t="s">
        <v>112</v>
      </c>
      <c r="BG6" s="1" t="s">
        <v>51</v>
      </c>
      <c r="BH6" s="1" t="s">
        <v>52</v>
      </c>
      <c r="BI6" s="1" t="s">
        <v>53</v>
      </c>
      <c r="BJ6" s="1" t="s">
        <v>54</v>
      </c>
      <c r="BK6" s="1" t="s">
        <v>55</v>
      </c>
      <c r="BL6" s="1" t="s">
        <v>172</v>
      </c>
      <c r="BM6" s="1" t="s">
        <v>173</v>
      </c>
      <c r="BN6" s="1" t="s">
        <v>174</v>
      </c>
      <c r="BO6" s="1" t="s">
        <v>175</v>
      </c>
      <c r="BP6" s="1" t="s">
        <v>176</v>
      </c>
      <c r="BQ6" s="1" t="s">
        <v>177</v>
      </c>
      <c r="BR6" s="1" t="s">
        <v>113</v>
      </c>
      <c r="BS6" s="1" t="s">
        <v>59</v>
      </c>
      <c r="BT6" s="1" t="s">
        <v>60</v>
      </c>
      <c r="BU6" s="1" t="s">
        <v>61</v>
      </c>
      <c r="BV6" s="1" t="s">
        <v>62</v>
      </c>
      <c r="BW6" s="1" t="s">
        <v>63</v>
      </c>
      <c r="BX6" s="1" t="s">
        <v>114</v>
      </c>
      <c r="BY6" s="1" t="s">
        <v>64</v>
      </c>
      <c r="BZ6" s="1" t="s">
        <v>65</v>
      </c>
      <c r="CA6" s="1" t="s">
        <v>66</v>
      </c>
      <c r="CB6" s="1" t="s">
        <v>67</v>
      </c>
      <c r="CC6" s="1" t="s">
        <v>68</v>
      </c>
      <c r="CD6" s="1" t="s">
        <v>253</v>
      </c>
      <c r="CE6" s="1" t="s">
        <v>254</v>
      </c>
      <c r="CF6" s="1" t="s">
        <v>255</v>
      </c>
      <c r="CG6" s="1" t="s">
        <v>256</v>
      </c>
      <c r="CH6" s="1" t="s">
        <v>257</v>
      </c>
      <c r="CI6" s="1" t="s">
        <v>258</v>
      </c>
      <c r="CJ6" s="1" t="s">
        <v>115</v>
      </c>
      <c r="CK6" s="1" t="s">
        <v>71</v>
      </c>
      <c r="CL6" s="1" t="s">
        <v>72</v>
      </c>
      <c r="CM6" s="1" t="s">
        <v>73</v>
      </c>
      <c r="CN6" s="1" t="s">
        <v>74</v>
      </c>
      <c r="CO6" s="1" t="s">
        <v>75</v>
      </c>
      <c r="CP6" s="1" t="s">
        <v>116</v>
      </c>
      <c r="CQ6" s="1" t="s">
        <v>76</v>
      </c>
      <c r="CR6" s="1" t="s">
        <v>77</v>
      </c>
      <c r="CS6" s="1" t="s">
        <v>78</v>
      </c>
      <c r="CT6" s="1" t="s">
        <v>79</v>
      </c>
      <c r="CU6" s="1" t="s">
        <v>80</v>
      </c>
      <c r="CV6" s="1" t="s">
        <v>117</v>
      </c>
      <c r="CW6" s="1" t="s">
        <v>81</v>
      </c>
      <c r="CX6" s="1" t="s">
        <v>82</v>
      </c>
      <c r="CY6" s="1" t="s">
        <v>83</v>
      </c>
      <c r="CZ6" s="1" t="s">
        <v>84</v>
      </c>
      <c r="DA6" s="1" t="s">
        <v>85</v>
      </c>
      <c r="DB6" s="5" t="s">
        <v>87</v>
      </c>
      <c r="DC6" s="8" t="s">
        <v>266</v>
      </c>
      <c r="DD6" s="8" t="s">
        <v>267</v>
      </c>
      <c r="DE6" s="8" t="s">
        <v>268</v>
      </c>
      <c r="DF6" s="8" t="s">
        <v>269</v>
      </c>
      <c r="DG6" s="8" t="s">
        <v>270</v>
      </c>
      <c r="DH6" s="8" t="s">
        <v>271</v>
      </c>
      <c r="DI6" s="8" t="s">
        <v>273</v>
      </c>
      <c r="DJ6" s="8" t="s">
        <v>274</v>
      </c>
      <c r="DK6" s="8" t="s">
        <v>275</v>
      </c>
      <c r="DL6" s="8" t="s">
        <v>276</v>
      </c>
      <c r="DM6" s="8" t="s">
        <v>277</v>
      </c>
      <c r="DN6" s="8" t="s">
        <v>278</v>
      </c>
      <c r="DO6" s="8" t="s">
        <v>286</v>
      </c>
      <c r="DP6" s="8" t="s">
        <v>285</v>
      </c>
      <c r="DQ6" s="8" t="s">
        <v>284</v>
      </c>
      <c r="DR6" s="17" t="s">
        <v>90</v>
      </c>
      <c r="DS6" s="17" t="s">
        <v>91</v>
      </c>
      <c r="DT6" s="11" t="s">
        <v>287</v>
      </c>
      <c r="DU6" s="11" t="s">
        <v>224</v>
      </c>
      <c r="DV6" s="11" t="s">
        <v>93</v>
      </c>
      <c r="DW6" s="11" t="s">
        <v>94</v>
      </c>
      <c r="DX6" s="11" t="s">
        <v>95</v>
      </c>
      <c r="DY6" s="11" t="s">
        <v>96</v>
      </c>
      <c r="DZ6" s="11" t="s">
        <v>288</v>
      </c>
      <c r="EA6" s="11" t="s">
        <v>289</v>
      </c>
      <c r="EB6" s="11" t="s">
        <v>97</v>
      </c>
      <c r="EC6" s="11" t="s">
        <v>290</v>
      </c>
      <c r="ED6" s="11" t="s">
        <v>99</v>
      </c>
      <c r="EE6" s="11" t="s">
        <v>101</v>
      </c>
      <c r="EF6" s="11" t="s">
        <v>291</v>
      </c>
      <c r="EG6" s="11" t="s">
        <v>292</v>
      </c>
      <c r="EH6" s="11" t="s">
        <v>301</v>
      </c>
      <c r="EI6" s="11" t="s">
        <v>302</v>
      </c>
      <c r="EJ6" s="11" t="s">
        <v>303</v>
      </c>
      <c r="EK6" s="11" t="s">
        <v>304</v>
      </c>
      <c r="EL6" s="11" t="s">
        <v>296</v>
      </c>
      <c r="EM6" s="11" t="s">
        <v>297</v>
      </c>
      <c r="EN6" s="11" t="s">
        <v>98</v>
      </c>
      <c r="EO6" s="11" t="s">
        <v>102</v>
      </c>
      <c r="EP6" s="11" t="s">
        <v>298</v>
      </c>
      <c r="EQ6" s="11" t="s">
        <v>100</v>
      </c>
      <c r="ER6" s="11" t="s">
        <v>299</v>
      </c>
      <c r="ES6" s="11" t="s">
        <v>300</v>
      </c>
      <c r="ET6" s="11" t="s">
        <v>788</v>
      </c>
      <c r="EU6" s="11" t="s">
        <v>789</v>
      </c>
      <c r="EV6" s="11" t="s">
        <v>790</v>
      </c>
      <c r="EW6" s="11" t="s">
        <v>791</v>
      </c>
      <c r="EX6" s="11" t="s">
        <v>103</v>
      </c>
      <c r="EY6" s="11" t="s">
        <v>104</v>
      </c>
      <c r="EZ6" s="11" t="s">
        <v>784</v>
      </c>
      <c r="FA6" s="11" t="s">
        <v>782</v>
      </c>
      <c r="FB6" s="11" t="s">
        <v>785</v>
      </c>
      <c r="FC6" s="11" t="s">
        <v>783</v>
      </c>
      <c r="FD6" s="11" t="s">
        <v>106</v>
      </c>
      <c r="FE6" s="11" t="s">
        <v>107</v>
      </c>
      <c r="FF6" s="11" t="s">
        <v>108</v>
      </c>
      <c r="FG6" s="1" t="s">
        <v>321</v>
      </c>
      <c r="FH6" s="1" t="s">
        <v>322</v>
      </c>
      <c r="FI6" s="1" t="s">
        <v>646</v>
      </c>
      <c r="FJ6" s="1" t="s">
        <v>817</v>
      </c>
      <c r="FK6" s="1" t="s">
        <v>648</v>
      </c>
      <c r="FL6" s="1" t="s">
        <v>649</v>
      </c>
      <c r="FM6" s="1" t="s">
        <v>650</v>
      </c>
      <c r="FN6" s="1" t="s">
        <v>651</v>
      </c>
      <c r="FO6" s="1" t="s">
        <v>652</v>
      </c>
      <c r="FP6" s="1" t="s">
        <v>653</v>
      </c>
      <c r="FQ6" s="1" t="s">
        <v>654</v>
      </c>
      <c r="FR6" s="1" t="s">
        <v>655</v>
      </c>
      <c r="FS6" s="1" t="s">
        <v>656</v>
      </c>
      <c r="FT6" s="1" t="s">
        <v>657</v>
      </c>
      <c r="FU6" s="1" t="s">
        <v>658</v>
      </c>
      <c r="FV6" s="1" t="s">
        <v>659</v>
      </c>
      <c r="FW6" s="1" t="s">
        <v>660</v>
      </c>
      <c r="FX6" s="1" t="s">
        <v>661</v>
      </c>
      <c r="FY6" s="1" t="s">
        <v>662</v>
      </c>
      <c r="FZ6" s="1" t="s">
        <v>663</v>
      </c>
      <c r="GA6" s="1" t="s">
        <v>664</v>
      </c>
      <c r="GB6" s="1" t="s">
        <v>665</v>
      </c>
      <c r="GC6" s="1" t="s">
        <v>666</v>
      </c>
      <c r="GD6" s="1" t="s">
        <v>667</v>
      </c>
      <c r="GE6" s="1" t="s">
        <v>668</v>
      </c>
      <c r="GF6" s="1" t="s">
        <v>669</v>
      </c>
      <c r="GG6" s="1" t="s">
        <v>670</v>
      </c>
      <c r="GH6" s="1" t="s">
        <v>671</v>
      </c>
      <c r="GI6" s="1" t="s">
        <v>672</v>
      </c>
      <c r="GJ6" s="1" t="s">
        <v>673</v>
      </c>
      <c r="GK6" s="1" t="s">
        <v>674</v>
      </c>
      <c r="GL6" s="1" t="s">
        <v>675</v>
      </c>
      <c r="GM6" s="1" t="s">
        <v>676</v>
      </c>
      <c r="GN6" s="1" t="s">
        <v>677</v>
      </c>
      <c r="GO6" s="1" t="s">
        <v>678</v>
      </c>
      <c r="GP6" s="1" t="s">
        <v>679</v>
      </c>
      <c r="GQ6" s="1" t="s">
        <v>680</v>
      </c>
      <c r="GR6" s="1" t="s">
        <v>681</v>
      </c>
      <c r="GS6" s="1" t="s">
        <v>682</v>
      </c>
      <c r="GT6" s="1" t="s">
        <v>683</v>
      </c>
      <c r="GU6" s="1" t="s">
        <v>684</v>
      </c>
      <c r="GV6" s="1" t="s">
        <v>685</v>
      </c>
      <c r="GW6" s="1" t="s">
        <v>686</v>
      </c>
      <c r="GX6" s="1" t="s">
        <v>687</v>
      </c>
      <c r="GY6" s="1" t="s">
        <v>688</v>
      </c>
      <c r="GZ6" s="1" t="s">
        <v>689</v>
      </c>
      <c r="HA6" s="1" t="s">
        <v>690</v>
      </c>
      <c r="HB6" s="1" t="s">
        <v>691</v>
      </c>
      <c r="HC6" s="1" t="s">
        <v>692</v>
      </c>
      <c r="HD6" s="1" t="s">
        <v>693</v>
      </c>
      <c r="HE6" s="1" t="s">
        <v>694</v>
      </c>
      <c r="HF6" s="1" t="s">
        <v>695</v>
      </c>
      <c r="HG6" s="1" t="s">
        <v>696</v>
      </c>
      <c r="HH6" s="1" t="s">
        <v>697</v>
      </c>
      <c r="HI6" s="1" t="s">
        <v>698</v>
      </c>
      <c r="HJ6" s="1" t="s">
        <v>699</v>
      </c>
      <c r="HK6" s="1" t="s">
        <v>700</v>
      </c>
      <c r="HL6" s="1" t="s">
        <v>701</v>
      </c>
      <c r="HM6" s="1" t="s">
        <v>702</v>
      </c>
      <c r="HN6" s="1" t="s">
        <v>703</v>
      </c>
      <c r="HO6" s="1" t="s">
        <v>704</v>
      </c>
      <c r="HP6" s="1" t="s">
        <v>705</v>
      </c>
      <c r="HQ6" s="1" t="s">
        <v>706</v>
      </c>
      <c r="HR6" s="1" t="s">
        <v>707</v>
      </c>
      <c r="HS6" s="1" t="s">
        <v>708</v>
      </c>
      <c r="HT6" s="208" t="s">
        <v>1208</v>
      </c>
      <c r="HU6" s="208" t="s">
        <v>1209</v>
      </c>
      <c r="HV6" s="208" t="s">
        <v>1210</v>
      </c>
      <c r="HW6" s="208" t="s">
        <v>1211</v>
      </c>
      <c r="HX6" s="208" t="s">
        <v>1212</v>
      </c>
      <c r="HY6" s="208" t="s">
        <v>1213</v>
      </c>
      <c r="HZ6" s="208" t="s">
        <v>1214</v>
      </c>
      <c r="IA6" s="208" t="s">
        <v>1215</v>
      </c>
      <c r="IB6" s="208" t="s">
        <v>1216</v>
      </c>
      <c r="IC6" s="208" t="s">
        <v>1217</v>
      </c>
      <c r="ID6" s="208" t="s">
        <v>1218</v>
      </c>
      <c r="IE6" s="208" t="s">
        <v>1219</v>
      </c>
      <c r="IF6" s="208" t="s">
        <v>1220</v>
      </c>
      <c r="IG6" s="208" t="s">
        <v>1221</v>
      </c>
      <c r="IH6" s="208" t="s">
        <v>1222</v>
      </c>
      <c r="II6" s="208" t="s">
        <v>1223</v>
      </c>
      <c r="IJ6" s="208" t="s">
        <v>1224</v>
      </c>
      <c r="IK6" s="208" t="s">
        <v>1225</v>
      </c>
      <c r="IL6" s="208" t="s">
        <v>1226</v>
      </c>
      <c r="IM6" s="208" t="s">
        <v>1227</v>
      </c>
      <c r="IN6" s="208" t="s">
        <v>1228</v>
      </c>
      <c r="IO6" s="208" t="s">
        <v>1229</v>
      </c>
      <c r="IP6" s="208" t="s">
        <v>1230</v>
      </c>
      <c r="IQ6" s="208" t="s">
        <v>1231</v>
      </c>
      <c r="IR6" s="208" t="s">
        <v>1232</v>
      </c>
      <c r="IS6" s="208" t="s">
        <v>1233</v>
      </c>
      <c r="IT6" s="208" t="s">
        <v>1234</v>
      </c>
      <c r="IU6" s="208" t="s">
        <v>1235</v>
      </c>
      <c r="IV6" s="208" t="s">
        <v>1236</v>
      </c>
      <c r="IW6" s="208" t="s">
        <v>1237</v>
      </c>
      <c r="IX6" s="208" t="s">
        <v>1238</v>
      </c>
      <c r="IY6" s="208" t="s">
        <v>1239</v>
      </c>
      <c r="IZ6" s="208" t="s">
        <v>1240</v>
      </c>
      <c r="JA6" s="208" t="s">
        <v>1241</v>
      </c>
      <c r="JB6" s="208" t="s">
        <v>1242</v>
      </c>
      <c r="JC6" s="208" t="s">
        <v>1243</v>
      </c>
      <c r="JD6" s="208" t="s">
        <v>1244</v>
      </c>
      <c r="JE6" s="208" t="s">
        <v>1245</v>
      </c>
      <c r="JF6" s="208" t="s">
        <v>1246</v>
      </c>
      <c r="JG6" s="208" t="s">
        <v>1247</v>
      </c>
      <c r="JH6" s="208" t="s">
        <v>1248</v>
      </c>
      <c r="JI6" s="208" t="s">
        <v>1249</v>
      </c>
      <c r="JJ6" s="208" t="s">
        <v>1250</v>
      </c>
      <c r="JK6" s="208" t="s">
        <v>1251</v>
      </c>
      <c r="JL6" s="208" t="s">
        <v>1252</v>
      </c>
      <c r="JM6" s="208" t="s">
        <v>1253</v>
      </c>
      <c r="JN6" s="208" t="s">
        <v>1254</v>
      </c>
      <c r="JO6" s="208" t="s">
        <v>1255</v>
      </c>
      <c r="JP6" s="208" t="s">
        <v>1256</v>
      </c>
      <c r="JQ6" s="208" t="s">
        <v>1257</v>
      </c>
      <c r="JR6" s="208" t="s">
        <v>1258</v>
      </c>
      <c r="JS6" s="208" t="s">
        <v>1259</v>
      </c>
      <c r="JT6" s="208" t="s">
        <v>1260</v>
      </c>
      <c r="JU6" s="208" t="s">
        <v>1261</v>
      </c>
      <c r="JV6" s="208" t="s">
        <v>1262</v>
      </c>
      <c r="JW6" s="208" t="s">
        <v>1263</v>
      </c>
      <c r="JX6" s="208" t="s">
        <v>1264</v>
      </c>
      <c r="JY6" s="208" t="s">
        <v>1265</v>
      </c>
      <c r="JZ6" s="208" t="s">
        <v>1266</v>
      </c>
      <c r="KA6" s="208" t="s">
        <v>1267</v>
      </c>
      <c r="KB6" s="22" t="s">
        <v>709</v>
      </c>
      <c r="KC6" s="22" t="s">
        <v>710</v>
      </c>
      <c r="KD6" s="22" t="s">
        <v>711</v>
      </c>
      <c r="KE6" s="22" t="s">
        <v>1203</v>
      </c>
      <c r="KF6" s="22" t="s">
        <v>712</v>
      </c>
      <c r="KG6" s="1" t="s">
        <v>716</v>
      </c>
      <c r="KH6" s="1" t="s">
        <v>717</v>
      </c>
      <c r="KI6" s="1" t="s">
        <v>718</v>
      </c>
      <c r="KJ6" s="1" t="s">
        <v>730</v>
      </c>
      <c r="KK6" s="1" t="s">
        <v>731</v>
      </c>
      <c r="KL6" s="1" t="s">
        <v>732</v>
      </c>
      <c r="KM6" s="1" t="s">
        <v>733</v>
      </c>
      <c r="KN6" s="1" t="s">
        <v>734</v>
      </c>
      <c r="KO6" s="1" t="s">
        <v>809</v>
      </c>
      <c r="KP6" s="1" t="s">
        <v>810</v>
      </c>
      <c r="KQ6" s="1" t="s">
        <v>811</v>
      </c>
      <c r="KR6" s="1" t="s">
        <v>812</v>
      </c>
      <c r="KS6" s="29" t="s">
        <v>772</v>
      </c>
      <c r="KT6" s="29" t="s">
        <v>773</v>
      </c>
      <c r="KU6" s="29" t="s">
        <v>774</v>
      </c>
      <c r="KV6" s="29" t="s">
        <v>775</v>
      </c>
      <c r="KW6" s="29" t="s">
        <v>776</v>
      </c>
      <c r="KX6" s="29" t="s">
        <v>777</v>
      </c>
      <c r="KY6" s="29" t="s">
        <v>778</v>
      </c>
      <c r="KZ6" s="29" t="s">
        <v>779</v>
      </c>
      <c r="LA6" s="29" t="s">
        <v>735</v>
      </c>
      <c r="LB6" s="29" t="s">
        <v>736</v>
      </c>
      <c r="LC6" s="29" t="s">
        <v>737</v>
      </c>
      <c r="LD6" s="29" t="s">
        <v>738</v>
      </c>
      <c r="LE6" s="29" t="s">
        <v>739</v>
      </c>
      <c r="LF6" s="29" t="s">
        <v>740</v>
      </c>
      <c r="LG6" s="29" t="s">
        <v>741</v>
      </c>
      <c r="LH6" s="29" t="s">
        <v>742</v>
      </c>
      <c r="LI6" s="29" t="s">
        <v>743</v>
      </c>
      <c r="LJ6" s="29" t="s">
        <v>744</v>
      </c>
      <c r="LK6" s="29" t="s">
        <v>745</v>
      </c>
      <c r="LL6" s="29" t="s">
        <v>746</v>
      </c>
      <c r="LM6" s="29" t="s">
        <v>747</v>
      </c>
      <c r="LN6" s="29" t="s">
        <v>748</v>
      </c>
      <c r="LO6" s="29" t="s">
        <v>749</v>
      </c>
      <c r="LP6" s="29" t="s">
        <v>787</v>
      </c>
      <c r="LQ6" s="29" t="s">
        <v>750</v>
      </c>
      <c r="LR6" s="29" t="s">
        <v>751</v>
      </c>
      <c r="LS6" s="29" t="s">
        <v>752</v>
      </c>
      <c r="LT6" s="29" t="s">
        <v>786</v>
      </c>
      <c r="LU6" s="29" t="s">
        <v>781</v>
      </c>
      <c r="LV6" s="29" t="s">
        <v>988</v>
      </c>
      <c r="LW6" s="29" t="s">
        <v>797</v>
      </c>
      <c r="LX6" s="29" t="s">
        <v>798</v>
      </c>
      <c r="LY6" s="1" t="s">
        <v>813</v>
      </c>
      <c r="LZ6" s="1" t="s">
        <v>814</v>
      </c>
      <c r="MA6" s="1" t="s">
        <v>821</v>
      </c>
      <c r="MB6" s="1" t="s">
        <v>822</v>
      </c>
      <c r="MC6" s="1" t="s">
        <v>835</v>
      </c>
      <c r="MD6" s="1" t="s">
        <v>836</v>
      </c>
      <c r="ME6" s="1" t="s">
        <v>841</v>
      </c>
      <c r="MF6" s="1" t="s">
        <v>855</v>
      </c>
      <c r="MG6" s="32" t="s">
        <v>856</v>
      </c>
      <c r="MH6" s="32" t="s">
        <v>857</v>
      </c>
      <c r="MI6" s="32" t="s">
        <v>858</v>
      </c>
      <c r="MJ6" s="32" t="s">
        <v>859</v>
      </c>
      <c r="MK6" s="32" t="s">
        <v>860</v>
      </c>
      <c r="ML6" s="32" t="s">
        <v>861</v>
      </c>
      <c r="MM6" s="32" t="s">
        <v>862</v>
      </c>
      <c r="MN6" s="32" t="s">
        <v>863</v>
      </c>
      <c r="MO6" s="32" t="s">
        <v>864</v>
      </c>
      <c r="MP6" s="32" t="s">
        <v>865</v>
      </c>
      <c r="MQ6" s="32" t="s">
        <v>866</v>
      </c>
      <c r="MR6" s="32" t="s">
        <v>867</v>
      </c>
      <c r="MS6" s="32" t="s">
        <v>868</v>
      </c>
      <c r="MT6" s="32" t="s">
        <v>869</v>
      </c>
      <c r="MU6" s="32" t="s">
        <v>870</v>
      </c>
      <c r="MV6" s="34" t="s">
        <v>871</v>
      </c>
      <c r="MW6" s="34" t="s">
        <v>872</v>
      </c>
      <c r="MX6" s="34" t="s">
        <v>873</v>
      </c>
      <c r="MY6" s="34" t="s">
        <v>874</v>
      </c>
      <c r="MZ6" s="34" t="s">
        <v>875</v>
      </c>
      <c r="NA6" s="34" t="s">
        <v>876</v>
      </c>
      <c r="NB6" s="34" t="s">
        <v>877</v>
      </c>
      <c r="NC6" s="34" t="s">
        <v>878</v>
      </c>
      <c r="ND6" s="34" t="s">
        <v>879</v>
      </c>
      <c r="NE6" s="34" t="s">
        <v>880</v>
      </c>
      <c r="NF6" s="34" t="s">
        <v>881</v>
      </c>
      <c r="NG6" s="34" t="s">
        <v>882</v>
      </c>
      <c r="NH6" s="34" t="s">
        <v>883</v>
      </c>
      <c r="NI6" s="34" t="s">
        <v>884</v>
      </c>
      <c r="NJ6" s="1" t="s">
        <v>968</v>
      </c>
      <c r="NK6" s="1" t="s">
        <v>969</v>
      </c>
      <c r="NL6" s="1" t="s">
        <v>970</v>
      </c>
      <c r="NM6" s="1" t="s">
        <v>984</v>
      </c>
      <c r="NN6" s="1" t="s">
        <v>985</v>
      </c>
      <c r="NO6" s="1" t="s">
        <v>986</v>
      </c>
      <c r="NP6" s="1" t="s">
        <v>987</v>
      </c>
      <c r="NQ6" s="33" t="s">
        <v>1006</v>
      </c>
      <c r="NR6" s="33" t="s">
        <v>1007</v>
      </c>
      <c r="NS6" s="33" t="s">
        <v>1008</v>
      </c>
      <c r="NT6" s="33" t="s">
        <v>1009</v>
      </c>
      <c r="NU6" s="33" t="s">
        <v>1010</v>
      </c>
      <c r="NV6" s="33" t="s">
        <v>1011</v>
      </c>
      <c r="NW6" s="33" t="s">
        <v>1012</v>
      </c>
      <c r="NX6" s="33" t="s">
        <v>1013</v>
      </c>
      <c r="NY6" s="33" t="s">
        <v>1014</v>
      </c>
      <c r="NZ6" s="33" t="s">
        <v>1015</v>
      </c>
      <c r="OA6" s="33" t="s">
        <v>1016</v>
      </c>
      <c r="OB6" s="33" t="s">
        <v>1017</v>
      </c>
      <c r="OC6" s="33" t="s">
        <v>1018</v>
      </c>
      <c r="OD6" s="33" t="s">
        <v>1019</v>
      </c>
      <c r="OE6" s="33" t="s">
        <v>1020</v>
      </c>
      <c r="OF6" s="8" t="s">
        <v>1021</v>
      </c>
      <c r="OG6" s="8" t="s">
        <v>1022</v>
      </c>
      <c r="OH6" s="8" t="s">
        <v>1023</v>
      </c>
      <c r="OI6" s="8" t="s">
        <v>1024</v>
      </c>
      <c r="OJ6" s="8" t="s">
        <v>1025</v>
      </c>
      <c r="OK6" s="8" t="s">
        <v>1026</v>
      </c>
      <c r="OL6" s="8" t="s">
        <v>1027</v>
      </c>
      <c r="OM6" s="8" t="s">
        <v>1028</v>
      </c>
      <c r="ON6" s="8" t="s">
        <v>1029</v>
      </c>
      <c r="OO6" s="8" t="s">
        <v>1030</v>
      </c>
      <c r="OP6" s="8" t="s">
        <v>1031</v>
      </c>
      <c r="OQ6" s="8" t="s">
        <v>1032</v>
      </c>
      <c r="OR6" s="8" t="s">
        <v>1033</v>
      </c>
      <c r="OS6" s="8" t="s">
        <v>1034</v>
      </c>
      <c r="OT6" s="35" t="s">
        <v>1069</v>
      </c>
      <c r="OU6" s="35" t="s">
        <v>1070</v>
      </c>
      <c r="OV6" s="35" t="s">
        <v>1071</v>
      </c>
      <c r="OW6" s="35" t="s">
        <v>1072</v>
      </c>
      <c r="OX6" s="35" t="s">
        <v>1073</v>
      </c>
      <c r="OY6" s="35" t="s">
        <v>1074</v>
      </c>
      <c r="OZ6" s="35" t="s">
        <v>1075</v>
      </c>
      <c r="PA6" s="35" t="s">
        <v>1076</v>
      </c>
      <c r="PB6" s="35" t="s">
        <v>1077</v>
      </c>
      <c r="PC6" s="35" t="s">
        <v>1078</v>
      </c>
      <c r="PD6" s="35" t="s">
        <v>1079</v>
      </c>
      <c r="PE6" s="35" t="s">
        <v>1080</v>
      </c>
      <c r="PF6" s="35" t="s">
        <v>1081</v>
      </c>
      <c r="PG6" s="35" t="s">
        <v>1082</v>
      </c>
      <c r="PH6" s="35" t="s">
        <v>1083</v>
      </c>
      <c r="PI6" s="35" t="s">
        <v>1084</v>
      </c>
      <c r="PJ6" s="35" t="s">
        <v>1085</v>
      </c>
      <c r="PK6" s="35" t="s">
        <v>1086</v>
      </c>
      <c r="PL6" s="35" t="s">
        <v>1087</v>
      </c>
      <c r="PM6" s="35" t="s">
        <v>1088</v>
      </c>
      <c r="PN6" s="35" t="s">
        <v>1089</v>
      </c>
      <c r="PO6" s="35" t="s">
        <v>1090</v>
      </c>
      <c r="PP6" s="35" t="s">
        <v>1091</v>
      </c>
      <c r="PQ6" s="35" t="s">
        <v>1092</v>
      </c>
      <c r="PR6" s="35" t="s">
        <v>1093</v>
      </c>
      <c r="PS6" s="35" t="s">
        <v>1094</v>
      </c>
      <c r="PT6" s="35" t="s">
        <v>1095</v>
      </c>
      <c r="PU6" s="35" t="s">
        <v>1096</v>
      </c>
      <c r="PV6" s="35" t="s">
        <v>1097</v>
      </c>
      <c r="PW6" s="35" t="s">
        <v>1098</v>
      </c>
      <c r="PX6" s="35" t="s">
        <v>1099</v>
      </c>
      <c r="PY6" s="35" t="s">
        <v>1100</v>
      </c>
      <c r="PZ6" s="35" t="s">
        <v>1101</v>
      </c>
      <c r="QA6" s="35" t="s">
        <v>1102</v>
      </c>
      <c r="QB6" s="35" t="s">
        <v>1103</v>
      </c>
      <c r="QC6" s="35" t="s">
        <v>1104</v>
      </c>
      <c r="QD6" s="35" t="s">
        <v>1105</v>
      </c>
      <c r="QE6" s="35" t="s">
        <v>1106</v>
      </c>
      <c r="QF6" s="35" t="s">
        <v>1107</v>
      </c>
      <c r="QG6" s="35" t="s">
        <v>1108</v>
      </c>
      <c r="QH6" s="35" t="s">
        <v>1109</v>
      </c>
      <c r="QI6" s="35" t="s">
        <v>1110</v>
      </c>
      <c r="QJ6" s="35" t="s">
        <v>1111</v>
      </c>
      <c r="QK6" s="35" t="s">
        <v>1112</v>
      </c>
      <c r="QL6" s="35" t="s">
        <v>1113</v>
      </c>
      <c r="QM6" s="35" t="s">
        <v>1114</v>
      </c>
      <c r="QN6" s="35" t="s">
        <v>1115</v>
      </c>
      <c r="QO6" s="35" t="s">
        <v>1116</v>
      </c>
      <c r="QP6" s="35" t="s">
        <v>1117</v>
      </c>
      <c r="QQ6" s="35" t="s">
        <v>1118</v>
      </c>
      <c r="QR6" s="35" t="s">
        <v>1119</v>
      </c>
      <c r="QS6" s="35" t="s">
        <v>1120</v>
      </c>
      <c r="QT6" s="35" t="s">
        <v>1121</v>
      </c>
      <c r="QU6" s="35" t="s">
        <v>1122</v>
      </c>
      <c r="QV6" s="35" t="s">
        <v>1123</v>
      </c>
      <c r="QW6" s="35" t="s">
        <v>1124</v>
      </c>
      <c r="QX6" s="35" t="s">
        <v>1125</v>
      </c>
      <c r="QY6" s="35" t="s">
        <v>1126</v>
      </c>
      <c r="QZ6" s="35" t="s">
        <v>1127</v>
      </c>
      <c r="RA6" s="35" t="s">
        <v>1128</v>
      </c>
      <c r="RB6" s="209" t="s">
        <v>1268</v>
      </c>
      <c r="RC6" s="209" t="s">
        <v>1269</v>
      </c>
      <c r="RD6" s="209" t="s">
        <v>1270</v>
      </c>
      <c r="RE6" s="209" t="s">
        <v>1271</v>
      </c>
      <c r="RF6" s="209" t="s">
        <v>1272</v>
      </c>
      <c r="RG6" s="209" t="s">
        <v>1273</v>
      </c>
      <c r="RH6" s="209" t="s">
        <v>1274</v>
      </c>
      <c r="RI6" s="209" t="s">
        <v>1275</v>
      </c>
      <c r="RJ6" s="209" t="s">
        <v>1276</v>
      </c>
      <c r="RK6" s="209" t="s">
        <v>1277</v>
      </c>
      <c r="RL6" s="209" t="s">
        <v>1278</v>
      </c>
      <c r="RM6" s="209" t="s">
        <v>1296</v>
      </c>
      <c r="RN6" s="209" t="s">
        <v>1279</v>
      </c>
      <c r="RO6" s="209" t="s">
        <v>1280</v>
      </c>
      <c r="RP6" s="209" t="s">
        <v>1281</v>
      </c>
    </row>
    <row r="7" spans="1:484" x14ac:dyDescent="0.25">
      <c r="G7" s="2">
        <v>1</v>
      </c>
      <c r="H7" s="2">
        <v>0</v>
      </c>
      <c r="I7" s="2">
        <v>9</v>
      </c>
      <c r="J7" s="2">
        <v>0</v>
      </c>
      <c r="K7" s="2">
        <v>1</v>
      </c>
      <c r="L7" s="2" t="s">
        <v>323</v>
      </c>
      <c r="M7" s="2" t="s">
        <v>323</v>
      </c>
      <c r="R7" s="2">
        <v>15.72</v>
      </c>
      <c r="S7" s="2">
        <v>15.72</v>
      </c>
      <c r="T7" s="2">
        <v>16.82</v>
      </c>
      <c r="U7" s="2">
        <v>16.82</v>
      </c>
      <c r="V7" s="2">
        <v>1</v>
      </c>
      <c r="W7" s="2">
        <v>0</v>
      </c>
      <c r="X7" s="2">
        <v>0</v>
      </c>
      <c r="Y7" s="2">
        <v>0</v>
      </c>
      <c r="Z7" s="2">
        <v>0</v>
      </c>
      <c r="AA7" s="2">
        <v>0</v>
      </c>
      <c r="AB7" s="2" t="s">
        <v>315</v>
      </c>
      <c r="AC7" s="2">
        <v>0</v>
      </c>
      <c r="AD7" s="2">
        <v>0</v>
      </c>
      <c r="AE7" s="2">
        <v>0</v>
      </c>
      <c r="AF7" s="2">
        <v>0</v>
      </c>
      <c r="AG7" s="2">
        <v>0</v>
      </c>
      <c r="AH7" s="2" t="s">
        <v>315</v>
      </c>
      <c r="AI7" s="2">
        <v>0</v>
      </c>
      <c r="AJ7" s="2">
        <v>0</v>
      </c>
      <c r="AK7" s="2">
        <v>0</v>
      </c>
      <c r="AL7" s="2">
        <v>0</v>
      </c>
      <c r="AM7" s="2">
        <v>0</v>
      </c>
      <c r="AN7" s="2" t="s">
        <v>315</v>
      </c>
      <c r="AO7" s="2">
        <v>0</v>
      </c>
      <c r="AP7" s="2">
        <v>0</v>
      </c>
      <c r="AQ7" s="2">
        <v>0</v>
      </c>
      <c r="AR7" s="2">
        <v>0</v>
      </c>
      <c r="AS7" s="2">
        <v>0</v>
      </c>
      <c r="AT7" s="2" t="s">
        <v>316</v>
      </c>
      <c r="AU7" s="2">
        <v>9</v>
      </c>
      <c r="AV7" s="2">
        <v>9</v>
      </c>
      <c r="AW7" s="2">
        <v>8.81</v>
      </c>
      <c r="AX7" s="2">
        <v>8.81</v>
      </c>
      <c r="AY7" s="2">
        <v>22.7</v>
      </c>
      <c r="AZ7" s="2" t="s">
        <v>316</v>
      </c>
      <c r="BA7" s="2">
        <v>0</v>
      </c>
      <c r="BB7" s="2">
        <v>0</v>
      </c>
      <c r="BC7" s="2">
        <v>0</v>
      </c>
      <c r="BD7" s="2">
        <v>0</v>
      </c>
      <c r="BE7" s="2">
        <v>0</v>
      </c>
      <c r="BF7" s="2" t="s">
        <v>316</v>
      </c>
      <c r="BG7" s="2">
        <v>0</v>
      </c>
      <c r="BH7" s="2">
        <v>0</v>
      </c>
      <c r="BI7" s="2">
        <v>0</v>
      </c>
      <c r="BJ7" s="2">
        <v>0</v>
      </c>
      <c r="BK7" s="2">
        <v>0</v>
      </c>
      <c r="BL7" s="2" t="s">
        <v>316</v>
      </c>
      <c r="BM7" s="2">
        <v>0</v>
      </c>
      <c r="BN7" s="2">
        <v>0</v>
      </c>
      <c r="BO7" s="2">
        <v>0</v>
      </c>
      <c r="BP7" s="2">
        <v>0</v>
      </c>
      <c r="BQ7" s="2">
        <v>0</v>
      </c>
      <c r="BR7" s="2" t="s">
        <v>317</v>
      </c>
      <c r="BS7" s="2">
        <v>0</v>
      </c>
      <c r="BT7" s="2">
        <v>0</v>
      </c>
      <c r="BU7" s="2">
        <v>0</v>
      </c>
      <c r="BV7" s="2">
        <v>0</v>
      </c>
      <c r="BW7" s="2">
        <v>0</v>
      </c>
      <c r="BX7" s="2" t="s">
        <v>317</v>
      </c>
      <c r="BY7" s="2">
        <v>0</v>
      </c>
      <c r="BZ7" s="2">
        <v>0</v>
      </c>
      <c r="CA7" s="2">
        <v>0</v>
      </c>
      <c r="CB7" s="2">
        <v>0</v>
      </c>
      <c r="CC7" s="2">
        <v>0</v>
      </c>
      <c r="CD7" s="2" t="s">
        <v>317</v>
      </c>
      <c r="CE7" s="2">
        <v>0</v>
      </c>
      <c r="CF7" s="2">
        <v>0</v>
      </c>
      <c r="CG7" s="2">
        <v>0</v>
      </c>
      <c r="CH7" s="2">
        <v>0</v>
      </c>
      <c r="CI7" s="2">
        <v>0</v>
      </c>
      <c r="CJ7" s="2" t="s">
        <v>318</v>
      </c>
      <c r="CK7" s="2">
        <v>0</v>
      </c>
      <c r="CL7" s="2">
        <v>0</v>
      </c>
      <c r="CM7" s="2">
        <v>0</v>
      </c>
      <c r="CN7" s="2">
        <v>0</v>
      </c>
      <c r="CO7" s="2">
        <v>0</v>
      </c>
      <c r="CP7" s="2" t="s">
        <v>318</v>
      </c>
      <c r="CQ7" s="2">
        <v>0</v>
      </c>
      <c r="CR7" s="2">
        <v>0</v>
      </c>
      <c r="CS7" s="2">
        <v>0</v>
      </c>
      <c r="CT7" s="2">
        <v>0</v>
      </c>
      <c r="CU7" s="2">
        <v>0</v>
      </c>
      <c r="CV7" s="2" t="s">
        <v>318</v>
      </c>
      <c r="CW7" s="2">
        <v>0</v>
      </c>
      <c r="CX7" s="2">
        <v>0</v>
      </c>
      <c r="CY7" s="2">
        <v>0</v>
      </c>
      <c r="CZ7" s="2">
        <v>0</v>
      </c>
      <c r="DA7" s="2">
        <v>0</v>
      </c>
      <c r="DB7" s="2"/>
      <c r="DC7" s="2">
        <v>0</v>
      </c>
      <c r="DD7" s="2">
        <v>0</v>
      </c>
      <c r="DE7" s="2">
        <v>0</v>
      </c>
      <c r="DF7" s="2">
        <v>0</v>
      </c>
      <c r="DG7" s="2">
        <v>0</v>
      </c>
      <c r="DH7" s="2">
        <v>0</v>
      </c>
      <c r="DI7" s="2">
        <v>0</v>
      </c>
      <c r="DJ7" s="2">
        <v>0</v>
      </c>
      <c r="DK7" s="2">
        <v>0</v>
      </c>
      <c r="DL7" s="2">
        <v>0</v>
      </c>
      <c r="DM7" s="2">
        <v>0</v>
      </c>
      <c r="DN7" s="2">
        <v>0</v>
      </c>
      <c r="DO7" s="2">
        <v>0</v>
      </c>
      <c r="DP7" s="2">
        <v>0</v>
      </c>
      <c r="DQ7" s="2">
        <v>0</v>
      </c>
      <c r="DR7" s="18">
        <v>43922</v>
      </c>
      <c r="DS7" s="18">
        <v>44286</v>
      </c>
      <c r="DT7" s="2">
        <v>44384.18</v>
      </c>
      <c r="DU7" s="2">
        <v>42485.856299999999</v>
      </c>
      <c r="DV7" s="2">
        <v>492716.83929999999</v>
      </c>
      <c r="DW7" s="2">
        <v>0</v>
      </c>
      <c r="DX7" s="2">
        <v>0</v>
      </c>
      <c r="DY7" s="2">
        <v>0</v>
      </c>
      <c r="DZ7" s="2">
        <v>5960.7947000000004</v>
      </c>
      <c r="EA7" s="2">
        <v>0</v>
      </c>
      <c r="EB7" s="2">
        <v>1671.6224999999999</v>
      </c>
      <c r="EC7" s="2">
        <v>2544.7842999999998</v>
      </c>
      <c r="ED7" s="2">
        <v>3274.9333000000001</v>
      </c>
      <c r="EE7" s="2">
        <v>0</v>
      </c>
      <c r="EF7" s="2">
        <v>0</v>
      </c>
      <c r="EG7" s="2">
        <v>0</v>
      </c>
      <c r="EH7" s="2" t="s">
        <v>324</v>
      </c>
      <c r="EI7" s="2">
        <v>0</v>
      </c>
      <c r="EJ7" s="2" t="s">
        <v>324</v>
      </c>
      <c r="EK7" s="2">
        <v>0</v>
      </c>
      <c r="EL7" s="2">
        <v>0</v>
      </c>
      <c r="EM7" s="2">
        <v>6453.8950000000004</v>
      </c>
      <c r="EN7" s="2">
        <v>0</v>
      </c>
      <c r="EO7" s="2">
        <v>0</v>
      </c>
      <c r="EP7" s="2">
        <v>0</v>
      </c>
      <c r="EQ7" s="2">
        <v>0</v>
      </c>
      <c r="ER7" s="2">
        <v>0</v>
      </c>
      <c r="ES7" s="2">
        <v>0</v>
      </c>
      <c r="ET7" s="2" t="s">
        <v>325</v>
      </c>
      <c r="EU7" s="2">
        <v>31512.764299999999</v>
      </c>
      <c r="EV7" s="2" t="s">
        <v>324</v>
      </c>
      <c r="EW7" s="2">
        <v>0</v>
      </c>
      <c r="EX7" s="2">
        <v>76438.426200000002</v>
      </c>
      <c r="EY7" s="2">
        <v>0</v>
      </c>
      <c r="EZ7" s="2" t="s">
        <v>326</v>
      </c>
      <c r="FA7" s="2">
        <v>0</v>
      </c>
      <c r="FB7" s="2" t="s">
        <v>326</v>
      </c>
      <c r="FC7" s="2">
        <v>0</v>
      </c>
      <c r="FD7" s="2">
        <v>47996.4352</v>
      </c>
      <c r="FE7" s="2">
        <v>0</v>
      </c>
      <c r="FF7" s="2">
        <v>0</v>
      </c>
      <c r="FG7" s="2"/>
      <c r="FH7" s="19">
        <v>44480.623240740744</v>
      </c>
      <c r="FI7" s="2" t="s">
        <v>345</v>
      </c>
      <c r="FJ7" s="2">
        <f>SUM(DATA[[#This Row],[Number of Home support clients:]],DATA[[#This Row],[Number of supported living clients:]])</f>
        <v>9</v>
      </c>
      <c r="FK7"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7"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15.72</v>
      </c>
      <c r="FM7"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15.72</v>
      </c>
      <c r="FN7"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16.82</v>
      </c>
      <c r="FO7"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16.82</v>
      </c>
      <c r="FP7"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7"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7"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7"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7"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7"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7"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7"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7"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7"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7"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v>
      </c>
      <c r="GG7"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v>
      </c>
      <c r="GH7"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8.81</v>
      </c>
      <c r="GI7"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8.81</v>
      </c>
      <c r="GJ7"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7"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7"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7"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7"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7"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7"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7"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7"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7"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7"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7"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7"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15.72</v>
      </c>
      <c r="HU7"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15.72</v>
      </c>
      <c r="HV7"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16.82</v>
      </c>
      <c r="HW7"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16.82</v>
      </c>
      <c r="HX7"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7"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7"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7"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7"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7"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7"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7"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7"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7"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7"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7"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7"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v>
      </c>
      <c r="IO7"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v>
      </c>
      <c r="IP7"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8.81</v>
      </c>
      <c r="IQ7"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8.81</v>
      </c>
      <c r="IR7"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7"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7"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7"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7"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7"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7"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7"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7"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7"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7"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7"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7"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7"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7"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7"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7"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v>
      </c>
      <c r="KC7" s="21">
        <f>SUM(DATA[[#This Row],[Care Assistant 1: Numbers employed (Full Time Equivalent)]],DATA[[#This Row],[Care Assistant 2: Numbers employed (Full Time Equivalent)]],DATA[[#This Row],[Care Assistant 3: Numbers employed (Full Time Equivalent)]],DATA[[#This Row],[Care Assistant 4: Numbers employed (Full Time Equivalent)]])</f>
        <v>22.7</v>
      </c>
      <c r="KD7" s="21">
        <f>SUM(DATA[[#This Row],[Administrative Officer 1: Numbers employed (Full Time Equivalent)]],DATA[[#This Row],[Administrative Officer 2: Numbers employed (Full Time Equivalent)]])</f>
        <v>0</v>
      </c>
      <c r="KE7" s="21">
        <f>SUM(DATA[[#This Row],[Other staff 1: Numbers employed (Full Time Equivalent)]],DATA[[#This Row],[Other staff 2: Numbers employed (Full Time Equivalent)]],DATA[[#This Row],[Other staff 3: Numbers employed (Full Time Equivalent)]])</f>
        <v>0</v>
      </c>
      <c r="KF7" s="21">
        <f>SUM(DATA[[#This Row],[Total FTE Management Employees]:[Total FTE Other Employees]])</f>
        <v>23.7</v>
      </c>
      <c r="KG7" s="21" t="str">
        <f>IF(SUM(DATA[[#This Row],[Home Support service split percentage (Expenditure):]],DATA[[#This Row],[Supported Living service split percentage (Expenditure):]])&gt;0, IF(DATA[[#This Row],[Home Support service split percentage (Expenditure):]]&gt;0.5,"Home Support","Supported Living"), "Unknown")</f>
        <v>Supported Living</v>
      </c>
      <c r="KH7" s="21">
        <f>SUM(DATA[[#This Row],[Home Support: Birmingham City Council]:[Home Support: Self-funded]])</f>
        <v>0</v>
      </c>
      <c r="KI7" s="21">
        <f>SUM(DATA[[#This Row],[Supported Living: Birmingham City Council]:[Supported Living: Self-funded]])</f>
        <v>0</v>
      </c>
      <c r="KJ7"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 s="21" t="b">
        <f>SUM(DATA[[#This Row],[Number of hours of care charged for in last full accounting year]:[Corporate Overheads: Other  - please specify (category) 1]])&gt;0</f>
        <v>1</v>
      </c>
      <c r="KO7" s="21">
        <f>SUM(DATA[[#This Row],[Total annual expenditure: Management staff]:[Total annual expenditure: Training and development]])</f>
        <v>542835.1128</v>
      </c>
      <c r="KP7" s="21">
        <f>SUM(DATA[[#This Row],[Recruitment &amp; advertising (including DBS checks)]:[Non-Staffing Direct Cost: Other  - please specify (amount) 2]])</f>
        <v>5819.7175999999999</v>
      </c>
      <c r="KQ7" s="21">
        <f>SUM(DATA[[#This Row],[Insurance ]:[Indirect costs: Other 2 - please specify (amount)]])</f>
        <v>37966.659299999999</v>
      </c>
      <c r="KR7" s="21">
        <f>SUM(DATA[[#This Row],[Central / Regional Management]],DATA[[#This Row],[Support Services (finance / HR / Payroll / legal etc.)]],DATA[[#This Row],[Corporate Overheads: Other  - please specify (amount) 1]],DATA[[#This Row],[Corporate Overheads: Other  - please specify (amount) 2]])</f>
        <v>76438.426200000002</v>
      </c>
      <c r="KS7"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0.95722972239207749</v>
      </c>
      <c r="KT7"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11.10118153134743</v>
      </c>
      <c r="KU7"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7"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7"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7" s="30">
        <f>IF(OR(NOT(DATA[[#This Row],[Total annual expenditure: Travel Cost]]&gt;0),NOT(DATA[[#This Row],[Number of hours of care charged for in last full accounting year]]&gt;0)),0,DATA[[#This Row],[Total annual expenditure: Travel Cost]]/DATA[[#This Row],[Number of hours of care charged for in last full accounting year]])</f>
        <v>0.13429998481440911</v>
      </c>
      <c r="KY7"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3.7662574818324905E-2</v>
      </c>
      <c r="LA7"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5.7335390672983023E-2</v>
      </c>
      <c r="LB7"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7.3786049443743243E-2</v>
      </c>
      <c r="LC7" s="30">
        <f>IF(OR(NOT(DATA[[#This Row],[Care consumables &amp; uniforms]]&gt;0),NOT(DATA[[#This Row],[Number of hours of care charged for in last full accounting year]]&gt;0)),0,DATA[[#This Row],[Care consumables &amp; uniforms]]/DATA[[#This Row],[Number of hours of care charged for in last full accounting year]])</f>
        <v>0</v>
      </c>
      <c r="LD7" s="30">
        <f>IF(OR(NOT(DATA[[#This Row],[Electronic call monitoring]]&gt;0),NOT(DATA[[#This Row],[Number of hours of care charged for in last full accounting year]]&gt;0)),0,DATA[[#This Row],[Electronic call monitoring]]/DATA[[#This Row],[Number of hours of care charged for in last full accounting year]])</f>
        <v>0</v>
      </c>
      <c r="LE7" s="30">
        <f>IF(OR(NOT(DATA[[#This Row],[IT Equipment &amp; Telephoney]]&gt;0),NOT(DATA[[#This Row],[Number of hours of care charged for in last full accounting year]]&gt;0)),0,DATA[[#This Row],[IT Equipment &amp; Telephoney]]/DATA[[#This Row],[Number of hours of care charged for in last full accounting year]])</f>
        <v>0</v>
      </c>
      <c r="LF7"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7"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 s="30">
        <f>IF(OR(NOT(DATA[[#This Row],[Insurance ]]&gt;0),NOT(DATA[[#This Row],[Number of hours of care charged for in last full accounting year]]&gt;0)),0,DATA[[#This Row],[Insurance ]]/DATA[[#This Row],[Number of hours of care charged for in last full accounting year]])</f>
        <v>0</v>
      </c>
      <c r="LI7"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0.14540980592634584</v>
      </c>
      <c r="LJ7" s="30">
        <f>IF(OR(NOT(DATA[[#This Row],[Repairs and maintenance]]&gt;0),NOT(DATA[[#This Row],[Number of hours of care charged for in last full accounting year]]&gt;0)),0,DATA[[#This Row],[Repairs and maintenance]]/DATA[[#This Row],[Number of hours of care charged for in last full accounting year]])</f>
        <v>0</v>
      </c>
      <c r="LK7"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7" s="30">
        <f>IF(OR(NOT(DATA[[#This Row],[Registration &amp; Inspection fees ]]&gt;0),NOT(DATA[[#This Row],[Number of hours of care charged for in last full accounting year]]&gt;0)),0,DATA[[#This Row],[Registration &amp; Inspection fees ]]/DATA[[#This Row],[Number of hours of care charged for in last full accounting year]])</f>
        <v>0</v>
      </c>
      <c r="LM7" s="30">
        <f>IF(OR(NOT(DATA[[#This Row],[Subscriptions]]&gt;0),NOT(DATA[[#This Row],[Number of hours of care charged for in last full accounting year]]&gt;0)),0,DATA[[#This Row],[Subscriptions]]/DATA[[#This Row],[Number of hours of care charged for in last full accounting year]])</f>
        <v>0</v>
      </c>
      <c r="LN7" s="30">
        <f>IF(OR(NOT(DATA[[#This Row],[Cost of finance]]&gt;0),NOT(DATA[[#This Row],[Number of hours of care charged for in last full accounting year]]&gt;0)),0,DATA[[#This Row],[Cost of finance]]/DATA[[#This Row],[Number of hours of care charged for in last full accounting year]])</f>
        <v>0</v>
      </c>
      <c r="LO7" s="30">
        <f>IF(OR(NOT(DATA[[#This Row],[Other non-staff current expenses]]&gt;0),NOT(DATA[[#This Row],[Number of hours of care charged for in last full accounting year]]&gt;0)),0,DATA[[#This Row],[Other non-staff current expenses]]/DATA[[#This Row],[Number of hours of care charged for in last full accounting year]])</f>
        <v>0</v>
      </c>
      <c r="LP7"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0.70999992114307398</v>
      </c>
      <c r="LQ7"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 s="30">
        <f>IF(OR(NOT(DATA[[#This Row],[Central / Regional Management]]&gt;0),NOT(DATA[[#This Row],[Number of hours of care charged for in last full accounting year]]&gt;0)),0,DATA[[#This Row],[Central / Regional Management]]/DATA[[#This Row],[Number of hours of care charged for in last full accounting year]])</f>
        <v>1.7221998063273896</v>
      </c>
      <c r="LS7"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7"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 s="30">
        <f>SUM(DATA[[#This Row],[Management staff HOURLY RATE]:[Corporate Overheads: Other  - please specify (amount) 2 HOURLY RATE]])</f>
        <v>14.939104786885778</v>
      </c>
      <c r="LW7" s="30">
        <f>IF(OR(NOT(DATA[[#This Row],[Net Operating Profit]]&gt;0),NOT(DATA[[#This Row],[Number of hours of care charged for in last full accounting year]]&gt;0)),"",DATA[[#This Row],[Net Operating Profit]]/DATA[[#This Row],[Number of hours of care charged for in last full accounting year]])</f>
        <v>1.0813860974788765</v>
      </c>
      <c r="LX7" s="30">
        <f>IF(OR(NOT(DATA[[#This Row],[Return on Capital employed]]&gt;0),NOT(DATA[[#This Row],[Number of hours of care charged for in last full accounting year]]&gt;0)),0,DATA[[#This Row],[Return on Capital employed]]/DATA[[#This Row],[Number of hours of care charged for in last full accounting year]])</f>
        <v>0</v>
      </c>
      <c r="LY7" s="31">
        <v>1</v>
      </c>
      <c r="LZ7" s="30" t="s">
        <v>345</v>
      </c>
      <c r="MA7" s="30" t="b">
        <f>DATA[[#This Row],[Number of Home support clients:]]&gt;0</f>
        <v>0</v>
      </c>
      <c r="MB7" s="30" t="b">
        <f>DATA[[#This Row],[Number of supported living clients:]]&gt;0</f>
        <v>1</v>
      </c>
      <c r="MC7" s="30" t="b">
        <f>DATA[[#This Row],[Total Home Support Hours]]&gt;0</f>
        <v>0</v>
      </c>
      <c r="MD7" s="30" t="b">
        <f>DATA[[#This Row],[Total Supported Living Hours]]&gt;0</f>
        <v>0</v>
      </c>
      <c r="ME7" s="30" t="b">
        <f>DATA[[#This Row],[Home Support service split percentage (Expenditure):]]&gt;0.5</f>
        <v>0</v>
      </c>
      <c r="MF7" s="30" t="b">
        <f>DATA[[#This Row],[Agency staff HOURLY RATE]]=0</f>
        <v>1</v>
      </c>
      <c r="MG7" s="30">
        <f>IFERROR(IF(AVERAGE(DATA[[#This Row],[Registered manager: Current 2021/22 Minimum hourly pay rate ADJUSTED]],DATA[[#This Row],[Registered manager: Current 2021/22 Maximum hourly pay rate ADJUSTED]])&lt;LIVING_WAGE_22_23,DATA[[#This Row],[Registered manager: Numbers employed (Full Time Equivalent)]],0),"")</f>
        <v>0</v>
      </c>
      <c r="MH7" s="30" t="str">
        <f>IFERROR(IF(AVERAGE(DATA[[#This Row],[Deputy manager: Current 2021/22 Minimum hourly pay rate ADJUSTED]],DATA[[#This Row],[Deputy manager: Current 2021/22 Maximum hourly pay rate ADJUSTED]])&lt;LIVING_WAGE_22_23,DATA[[#This Row],[Deputy manager: Numbers employed (Full Time Equivalent)]],0),"")</f>
        <v/>
      </c>
      <c r="MI7" s="30" t="str">
        <f>IFERROR(IF(AVERAGE(DATA[[#This Row],[Other manager 1: Current 2021/22 Minimum hourly pay rate ADJUSTED]],DATA[[#This Row],[Other manager 1: Current 2021/22 Maximum hourly pay rate ADJUSTED]])&lt;LIVING_WAGE_22_23,DATA[[#This Row],[Other manager 1: Numbers employed (Full Time Equivalent)]],0),"")</f>
        <v/>
      </c>
      <c r="MJ7" s="30" t="str">
        <f>IFERROR(IF(AVERAGE(DATA[[#This Row],[Other manager 2: Current 2021/22 Minimum hourly pay rate ADJUSTED]],DATA[[#This Row],[Other manager 2: Current 2021/22 Maximum hourly pay rate ADJUSTED]])&lt;LIVING_WAGE_22_23,DATA[[#This Row],[Other manager 2: Numbers employed (Full Time Equivalent)]],0),"")</f>
        <v/>
      </c>
      <c r="MK7" s="30" t="str">
        <f>IFERROR(IF(AVERAGE(DATA[[#This Row],[Other manager 3: Current 2021/22 Minimum hourly pay rate ADJUSTED]],DATA[[#This Row],[Other manager 3: Current 2021/22 Maximum hourly pay rate ADJUSTED]])&lt;LIVING_WAGE_22_23,DATA[[#This Row],[Other manager 3: Numbers employed (Full Time Equivalent)]],0),"")</f>
        <v/>
      </c>
      <c r="ML7" s="30">
        <f>IFERROR(IF(AVERAGE(DATA[[#This Row],[Care Assistant 1: Current 2021/22 Minimum hourly pay rate ADJUSTED]],DATA[[#This Row],[Care Assistant 1: Current 2021/22 Maximum hourly pay rate ADJUSTED]])&lt;LIVING_WAGE_22_23,DATA[[#This Row],[Care Assistant 1: Numbers employed (Full Time Equivalent)]],0),"")</f>
        <v>22.7</v>
      </c>
      <c r="MM7" s="30" t="str">
        <f>IFERROR(IF(AVERAGE(DATA[[#This Row],[Care Assistant 2: Current 2021/22 Minimum hourly pay rate ADJUSTED]],DATA[[#This Row],[Care Assistant 2: Current 2021/22 Maximum hourly pay rate ADJUSTED]])&lt;LIVING_WAGE_22_23,DATA[[#This Row],[Care Assistant 2: Numbers employed (Full Time Equivalent)]],0),"")</f>
        <v/>
      </c>
      <c r="MN7" s="30" t="str">
        <f>IFERROR(IF(AVERAGE(DATA[[#This Row],[Care Assistant 3: Current 2021/22 Minimum hourly pay rate ADJUSTED]],DATA[[#This Row],[Care Assistant 3: Current 2021/22 Maximum hourly pay rate ADJUSTED]])&lt;LIVING_WAGE_22_23,DATA[[#This Row],[Care Assistant 3: Numbers employed (Full Time Equivalent)]],0),"")</f>
        <v/>
      </c>
      <c r="MO7" s="30" t="str">
        <f>IFERROR(IF(AVERAGE(DATA[[#This Row],[Care Assistant 4: Current 2021/22 Minimum hourly pay rate ADJUSTED]],DATA[[#This Row],[Care Assistant 4: Current 2021/22 Maximum hourly pay rate ADJUSTED]])&lt;LIVING_WAGE_22_23,DATA[[#This Row],[Care Assistant 4: Numbers employed (Full Time Equivalent)]],0),"")</f>
        <v/>
      </c>
      <c r="MP7"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7"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 s="30" t="str">
        <f>IFERROR(IF(AVERAGE(DATA[[#This Row],[Other staff 1: Current 2021/22 Minimum hourly pay rate ADJUSTED]],DATA[[#This Row],[Other staff 1: Current 2021/22 Maximum hourly pay rate ADJUSTED]])&lt;LIVING_WAGE_22_23,DATA[[#This Row],[Other staff 1: Numbers employed (Full Time Equivalent)]],0),"")</f>
        <v/>
      </c>
      <c r="MS7" s="30" t="str">
        <f>IFERROR(IF(AVERAGE(DATA[[#This Row],[Other staff 2: Current 2021/22 Minimum hourly pay rate ADJUSTED]],DATA[[#This Row],[Other staff 2: Current 2021/22 Maximum hourly pay rate ADJUSTED]])&lt;LIVING_WAGE_22_23,DATA[[#This Row],[Other staff 2: Numbers employed (Full Time Equivalent)]],0),"")</f>
        <v/>
      </c>
      <c r="MT7" s="30" t="str">
        <f>IFERROR(IF(AVERAGE(DATA[[#This Row],[Other staff 3: Current 2021/22 Minimum hourly pay rate ADJUSTED]],DATA[[#This Row],[Other staff 3: Current 2021/22 Maximum hourly pay rate ADJUSTED]])&lt;LIVING_WAGE_22_23,DATA[[#This Row],[Other staff 3: Numbers employed (Full Time Equivalent)]],0),"")</f>
        <v/>
      </c>
      <c r="MU7" s="30">
        <f>SUM(DATA[[#This Row],[Registered Manager FTE earning less than NLW 23yrs 2022/23]:[Other staff 3 FTE earning less than NLW 23yrs 2022/23]])</f>
        <v>22.7</v>
      </c>
      <c r="MV7"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7"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7"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7"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7"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11.35</v>
      </c>
      <c r="NB7"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7"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7"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7"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7"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 s="30" t="b">
        <v>0</v>
      </c>
      <c r="NK7" s="30" t="b">
        <v>0</v>
      </c>
      <c r="NL7" s="30" t="s">
        <v>971</v>
      </c>
      <c r="NM7" s="30">
        <f>SUM(DATA[[#This Row],[Management staff HOURLY RATE]:[Training and development HOURLY RATE]])</f>
        <v>12.230373813372243</v>
      </c>
      <c r="NN7" s="30">
        <f>SUM(DATA[[#This Row],[Recruitment &amp; advertising (including DBS checks) HOURLY RATE]:[Non-Staffing Direct Cost: Other  - please specify (amount) 2 HOURLY RATE]])</f>
        <v>0.13112144011672627</v>
      </c>
      <c r="NO7" s="30">
        <f>SUM(DATA[[#This Row],[Insurance  HOURLY RATE]:[Indirect costs: Other  - please specify (amount) 2 HOURLY RATE]])</f>
        <v>0.85540972706941987</v>
      </c>
      <c r="NP7" s="30">
        <f>SUM(DATA[[#This Row],[Central / Regional Management HOURLY RATE]:[Corporate Overheads: Other  - please specify (amount) 2 HOURLY RATE]])</f>
        <v>1.7221998063273896</v>
      </c>
      <c r="NQ7"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7" s="30" t="str">
        <f>IFERROR(IF(AVERAGE(DATA[[#This Row],[Deputy manager: Current 2021/22 Minimum hourly pay rate ADJUSTED]],DATA[[#This Row],[Deputy manager: Current 2021/22 Maximum hourly pay rate ADJUSTED]])&lt;REAL_LIVING_WAGE_22_23,DATA[[#This Row],[Deputy manager: Numbers employed (Full Time Equivalent)]],0),"")</f>
        <v/>
      </c>
      <c r="NS7" s="30" t="str">
        <f>IFERROR(IF(AVERAGE(DATA[[#This Row],[Other manager 1: Current 2021/22 Minimum hourly pay rate ADJUSTED]],DATA[[#This Row],[Other manager 1: Current 2021/22 Maximum hourly pay rate ADJUSTED]])&lt;REAL_LIVING_WAGE_22_23,DATA[[#This Row],[Other manager 1: Numbers employed (Full Time Equivalent)]],0),"")</f>
        <v/>
      </c>
      <c r="NT7" s="30" t="str">
        <f>IFERROR(IF(AVERAGE(DATA[[#This Row],[Other manager 2: Current 2021/22 Minimum hourly pay rate ADJUSTED]],DATA[[#This Row],[Other manager 2: Current 2021/22 Maximum hourly pay rate ADJUSTED]])&lt;REAL_LIVING_WAGE_22_23,DATA[[#This Row],[Other manager 2: Numbers employed (Full Time Equivalent)]],0),"")</f>
        <v/>
      </c>
      <c r="NU7" s="30" t="str">
        <f>IFERROR(IF(AVERAGE(DATA[[#This Row],[Other manager 3: Current 2021/22 Minimum hourly pay rate ADJUSTED]],DATA[[#This Row],[Other manager 3: Current 2021/22 Maximum hourly pay rate ADJUSTED]])&lt;REAL_LIVING_WAGE_22_23,DATA[[#This Row],[Other manager 3: Numbers employed (Full Time Equivalent)]],0),"")</f>
        <v/>
      </c>
      <c r="NV7" s="30">
        <f>IFERROR(IF(AVERAGE(DATA[[#This Row],[Care Assistant 1: Current 2021/22 Minimum hourly pay rate ADJUSTED]],DATA[[#This Row],[Care Assistant 1: Current 2021/22 Maximum hourly pay rate ADJUSTED]])&lt;REAL_LIVING_WAGE_22_23,DATA[[#This Row],[Care Assistant 1: Numbers employed (Full Time Equivalent)]],0),"")</f>
        <v>22.7</v>
      </c>
      <c r="NW7"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7"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7"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7"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7"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 s="30" t="str">
        <f>IFERROR(IF(AVERAGE(DATA[[#This Row],[Other staff 1: Current 2021/22 Minimum hourly pay rate ADJUSTED]],DATA[[#This Row],[Other staff 1: Current 2021/22 Maximum hourly pay rate ADJUSTED]])&lt;REAL_LIVING_WAGE_22_23,DATA[[#This Row],[Other staff 1: Numbers employed (Full Time Equivalent)]],0),"")</f>
        <v/>
      </c>
      <c r="OC7" s="30" t="str">
        <f>IFERROR(IF(AVERAGE(DATA[[#This Row],[Other staff 2: Current 2021/22 Minimum hourly pay rate ADJUSTED]],DATA[[#This Row],[Other staff 2: Current 2021/22 Maximum hourly pay rate ADJUSTED]])&lt;REAL_LIVING_WAGE_22_23,DATA[[#This Row],[Other staff 2: Numbers employed (Full Time Equivalent)]],0),"")</f>
        <v/>
      </c>
      <c r="OD7" s="30" t="str">
        <f>IFERROR(IF(AVERAGE(DATA[[#This Row],[Other staff 3: Current 2021/22 Minimum hourly pay rate ADJUSTED]],DATA[[#This Row],[Other staff 3: Current 2021/22 Maximum hourly pay rate ADJUSTED]])&lt;REAL_LIVING_WAGE_22_23,DATA[[#This Row],[Other staff 3: Numbers employed (Full Time Equivalent)]],0),"")</f>
        <v/>
      </c>
      <c r="OE7" s="30">
        <f>SUM(DATA[[#This Row],[Registered Manager FTE earning less than RLW 23yrs 2022/23]:[Other staff 3 FTE earning less than RLW 23yrs 2022/23]])</f>
        <v>22.7</v>
      </c>
      <c r="OF7"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7"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7"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7"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7"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20.430000000000007</v>
      </c>
      <c r="OL7"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7"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7"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7"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7"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 s="30">
        <f>IFERROR(IF(DATA[[#This Row],[Registered manager: Numbers employed (Full Time Equivalent)]]=0,"",DATA[[#This Row],[Registered manager: Current 2021/22 Minimum hourly pay rate ADJUSTED 2]]*DATA[[#This Row],[Registered manager: Numbers employed (Full Time Equivalent)]]),"")</f>
        <v>15.72</v>
      </c>
      <c r="OU7" s="30">
        <f>IFERROR(IF(DATA[[#This Row],[Registered manager: Numbers employed (Full Time Equivalent)]]=0,"",DATA[[#This Row],[Registered manager: Current 2021/22 Maximum hourly pay rate ADJUSTED 2]]*DATA[[#This Row],[Registered manager: Numbers employed (Full Time Equivalent)]]),"")</f>
        <v>15.72</v>
      </c>
      <c r="OV7" s="30">
        <f>IFERROR(IF(DATA[[#This Row],[Registered manager: Numbers employed (Full Time Equivalent)]]=0,"",DATA[[#This Row],[Registered manager: Previous 2020/21 Minimum hourly pay rate ADJUSTED 2]]*DATA[[#This Row],[Registered manager: Numbers employed (Full Time Equivalent)]]),"")</f>
        <v>16.82</v>
      </c>
      <c r="OW7" s="30">
        <f>IFERROR(IF(DATA[[#This Row],[Registered manager: Numbers employed (Full Time Equivalent)]]=0,"",DATA[[#This Row],[Registered manager: Previous 2020/21 Maximum hourly pay rate ADJUSTED 2]]*DATA[[#This Row],[Registered manager: Numbers employed (Full Time Equivalent)]]),"")</f>
        <v>16.82</v>
      </c>
      <c r="OX7" s="30" t="str">
        <f>IFERROR(IF(DATA[[#This Row],[Deputy manager: Numbers employed (Full Time Equivalent)]]=0,"",DATA[[#This Row],[Deputy manager: Current 2021/22 Minimum hourly pay rate ADJUSTED 2]]*DATA[[#This Row],[Deputy manager: Numbers employed (Full Time Equivalent)]]),"")</f>
        <v/>
      </c>
      <c r="OY7" s="30" t="str">
        <f>IFERROR(IF(DATA[[#This Row],[Deputy manager: Numbers employed (Full Time Equivalent)]]=0,"",DATA[[#This Row],[Deputy manager: Current 2021/22 Maximum hourly pay rate ADJUSTED 2]]*DATA[[#This Row],[Deputy manager: Numbers employed (Full Time Equivalent)]]),"")</f>
        <v/>
      </c>
      <c r="OZ7" s="30" t="str">
        <f>IFERROR(IF(DATA[[#This Row],[Deputy manager: Numbers employed (Full Time Equivalent)]]=0,"",DATA[[#This Row],[Deputy manager: Previous 2020/21 Minimum hourly pay rate ADJUSTED 2]]*DATA[[#This Row],[Deputy manager: Numbers employed (Full Time Equivalent)]]),"")</f>
        <v/>
      </c>
      <c r="PA7" s="30" t="str">
        <f>IFERROR(IF(DATA[[#This Row],[Deputy manager: Numbers employed (Full Time Equivalent)]]=0,"",DATA[[#This Row],[Deputy manager: Previous 2020/21 Maximum hourly pay rate ADJUSTED 2]]*DATA[[#This Row],[Deputy manager: Numbers employed (Full Time Equivalent)]]),"")</f>
        <v/>
      </c>
      <c r="PB7" s="30" t="str">
        <f>IFERROR(IF(DATA[[#This Row],[Other manager 1: Numbers employed (Full Time Equivalent)]]=0,"",DATA[[#This Row],[Other manager 1: Current 2021/22 Minimum hourly pay rate ADJUSTED 2]]*DATA[[#This Row],[Other manager 1: Numbers employed (Full Time Equivalent)]]),"")</f>
        <v/>
      </c>
      <c r="PC7" s="30" t="str">
        <f>IFERROR(IF(DATA[[#This Row],[Other manager 1: Numbers employed (Full Time Equivalent)]]=0,"",DATA[[#This Row],[Other manager 1: Current 2021/22 Maximum hourly pay rate ADJUSTED 2]]*DATA[[#This Row],[Other manager 1: Numbers employed (Full Time Equivalent)]]),"")</f>
        <v/>
      </c>
      <c r="PD7" s="30" t="str">
        <f>IFERROR(IF(DATA[[#This Row],[Other manager 1: Numbers employed (Full Time Equivalent)]]=0,"",DATA[[#This Row],[Other manager 1: Previous 2020/21 Minimum hourly pay rate ADJUSTED 2]]*DATA[[#This Row],[Other manager 1: Numbers employed (Full Time Equivalent)]]),"")</f>
        <v/>
      </c>
      <c r="PE7" s="30" t="str">
        <f>IFERROR(IF(DATA[[#This Row],[Other manager 1: Numbers employed (Full Time Equivalent)]]=0,"",DATA[[#This Row],[Other manager 1: Previous 2020/21 Maximum hourly pay rate ADJUSTED 2]]*DATA[[#This Row],[Other manager 1: Numbers employed (Full Time Equivalent)]]),"")</f>
        <v/>
      </c>
      <c r="PF7" s="30" t="str">
        <f>IFERROR(IF(DATA[[#This Row],[Other manager 2: Numbers employed (Full Time Equivalent)]]=0,"",DATA[[#This Row],[Other manager 2: Current 2021/22 Minimum hourly pay rate ADJUSTED 2]]*DATA[[#This Row],[Other manager 2: Numbers employed (Full Time Equivalent)]]),"")</f>
        <v/>
      </c>
      <c r="PG7" s="30" t="str">
        <f>IFERROR(IF(DATA[[#This Row],[Other manager 2: Numbers employed (Full Time Equivalent)]]=0,"",DATA[[#This Row],[Other manager 2: Current 2021/22 Maximum hourly pay rate ADJUSTED 2]]*DATA[[#This Row],[Other manager 2: Numbers employed (Full Time Equivalent)]]),"")</f>
        <v/>
      </c>
      <c r="PH7" s="30" t="str">
        <f>IFERROR(IF(DATA[[#This Row],[Other manager 2: Numbers employed (Full Time Equivalent)]]=0,"",DATA[[#This Row],[Other manager 2: Previous 2020/21 Minimum hourly pay rate ADJUSTED 2]]*DATA[[#This Row],[Other manager 2: Numbers employed (Full Time Equivalent)]]),"")</f>
        <v/>
      </c>
      <c r="PI7" s="30" t="str">
        <f>IFERROR(IF(DATA[[#This Row],[Other manager 2: Numbers employed (Full Time Equivalent)]]=0,"",DATA[[#This Row],[Other manager 2: Previous 2020/21 Maximum hourly pay rate ADJUSTED 2]]*DATA[[#This Row],[Other manager 2: Numbers employed (Full Time Equivalent)]]),"")</f>
        <v/>
      </c>
      <c r="PJ7" s="30" t="str">
        <f>IFERROR(IF(DATA[[#This Row],[Other manager 3: Numbers employed (Full Time Equivalent)]]=0,"",DATA[[#This Row],[Other manager 3: Current 2021/22 Minimum hourly pay rate ADJUSTED 2]]*DATA[[#This Row],[Other manager 3: Numbers employed (Full Time Equivalent)]]),"")</f>
        <v/>
      </c>
      <c r="PK7" s="30" t="str">
        <f>IFERROR(IF(DATA[[#This Row],[Other manager 3: Numbers employed (Full Time Equivalent)]]=0,"",DATA[[#This Row],[Other manager 3: Current 2021/22 Maximum hourly pay rate ADJUSTED 2]]*DATA[[#This Row],[Other manager 3: Numbers employed (Full Time Equivalent)]]),"")</f>
        <v/>
      </c>
      <c r="PL7" s="30" t="str">
        <f>IFERROR(IF(DATA[[#This Row],[Other manager 3: Numbers employed (Full Time Equivalent)]]=0,"",DATA[[#This Row],[Other manager 3: Previous 2020/21 Minimum hourly pay rate ADJUSTED 2]]*DATA[[#This Row],[Other manager 3: Numbers employed (Full Time Equivalent)]]),"")</f>
        <v/>
      </c>
      <c r="PM7" s="30" t="str">
        <f>IFERROR(IF(DATA[[#This Row],[Other manager 3: Numbers employed (Full Time Equivalent)]]=0,"",DATA[[#This Row],[Other manager 3: Previous 2020/21 Maximum hourly pay rate ADJUSTED 2]]*DATA[[#This Row],[Other manager 3: Numbers employed (Full Time Equivalent)]]),"")</f>
        <v/>
      </c>
      <c r="PN7" s="30">
        <f>IFERROR(IF(DATA[[#This Row],[Care Assistant 1: Numbers employed (Full Time Equivalent)]]=0,"",DATA[[#This Row],[Care Assistant 1: Current 2021/22 Minimum hourly pay rate ADJUSTED 2]]*DATA[[#This Row],[Care Assistant 1: Numbers employed (Full Time Equivalent)]]),"")</f>
        <v>204.29999999999998</v>
      </c>
      <c r="PO7" s="30">
        <f>IFERROR(IF(DATA[[#This Row],[Care Assistant 1: Numbers employed (Full Time Equivalent)]]=0,"",DATA[[#This Row],[Care Assistant 1: Current 2021/22 Maximum hourly pay rate ADJUSTED 2]]*DATA[[#This Row],[Care Assistant 1: Numbers employed (Full Time Equivalent)]]),"")</f>
        <v>204.29999999999998</v>
      </c>
      <c r="PP7" s="30">
        <f>IFERROR(IF(DATA[[#This Row],[Care Assistant 1: Numbers employed (Full Time Equivalent)]]=0,"",DATA[[#This Row],[Care Assistant 1: Previous 2020/21 Minimum hourly pay rate ADJUSTED 2]]*DATA[[#This Row],[Care Assistant 1: Numbers employed (Full Time Equivalent)]]),"")</f>
        <v>199.98699999999999</v>
      </c>
      <c r="PQ7" s="30">
        <f>IFERROR(IF(DATA[[#This Row],[Care Assistant 1: Numbers employed (Full Time Equivalent)]]=0,"",DATA[[#This Row],[Care Assistant 1: Previous 2020/21 Maximum hourly pay rate ADJUSTED 2]]*DATA[[#This Row],[Care Assistant 1: Numbers employed (Full Time Equivalent)]]),"")</f>
        <v>199.98699999999999</v>
      </c>
      <c r="PR7" s="30" t="str">
        <f>IFERROR(IF(DATA[[#This Row],[Care Assistant 2: Numbers employed (Full Time Equivalent)]]=0,"",DATA[[#This Row],[Care Assistant 2: Current 2021/22 Minimum hourly pay rate ADJUSTED 2]]*DATA[[#This Row],[Care Assistant 2: Numbers employed (Full Time Equivalent)]]),"")</f>
        <v/>
      </c>
      <c r="PS7" s="30" t="str">
        <f>IFERROR(IF(DATA[[#This Row],[Care Assistant 2: Numbers employed (Full Time Equivalent)]]=0,"",DATA[[#This Row],[Care Assistant 2: Current 2021/22 Maximum hourly pay rate ADJUSTED 2]]*DATA[[#This Row],[Care Assistant 2: Numbers employed (Full Time Equivalent)]]),"")</f>
        <v/>
      </c>
      <c r="PT7" s="30" t="str">
        <f>IFERROR(IF(DATA[[#This Row],[Care Assistant 2: Numbers employed (Full Time Equivalent)]]=0,"",DATA[[#This Row],[Care Assistant 2: Previous 2020/21 Minimum hourly pay rate ADJUSTED 2]]*DATA[[#This Row],[Care Assistant 2: Numbers employed (Full Time Equivalent)]]),"")</f>
        <v/>
      </c>
      <c r="PU7" s="30" t="str">
        <f>IFERROR(IF(DATA[[#This Row],[Care Assistant 2: Numbers employed (Full Time Equivalent)]]=0,"",DATA[[#This Row],[Care Assistant 2: Previous 2020/21 Maximum hourly pay rate ADJUSTED 2]]*DATA[[#This Row],[Care Assistant 2: Numbers employed (Full Time Equivalent)]]),"")</f>
        <v/>
      </c>
      <c r="PV7" s="30" t="str">
        <f>IFERROR(IF(DATA[[#This Row],[Care Assistant 3: Numbers employed (Full Time Equivalent)]]=0,"",DATA[[#This Row],[Care Assistant 3: Current 2021/22 Minimum hourly pay rate ADJUSTED 2]]*DATA[[#This Row],[Care Assistant 3: Numbers employed (Full Time Equivalent)]]),"")</f>
        <v/>
      </c>
      <c r="PW7" s="30" t="str">
        <f>IFERROR(IF(DATA[[#This Row],[Care Assistant 3: Numbers employed (Full Time Equivalent)]]=0,"",DATA[[#This Row],[Care Assistant 3: Current 2021/22 Maximum hourly pay rate ADJUSTED 2]]*DATA[[#This Row],[Care Assistant 3: Numbers employed (Full Time Equivalent)]]),"")</f>
        <v/>
      </c>
      <c r="PX7" s="30" t="str">
        <f>IFERROR(IF(DATA[[#This Row],[Care Assistant 3: Numbers employed (Full Time Equivalent)]]=0,"",DATA[[#This Row],[Care Assistant 3: Previous 2020/21 Minimum hourly pay rate ADJUSTED 2]]*DATA[[#This Row],[Care Assistant 3: Numbers employed (Full Time Equivalent)]]),"")</f>
        <v/>
      </c>
      <c r="PY7" s="30" t="str">
        <f>IFERROR(IF(DATA[[#This Row],[Care Assistant 3: Numbers employed (Full Time Equivalent)]]=0,"",DATA[[#This Row],[Care Assistant 3: Previous 2020/21 Maximum hourly pay rate ADJUSTED 2]]*DATA[[#This Row],[Care Assistant 3: Numbers employed (Full Time Equivalent)]]),"")</f>
        <v/>
      </c>
      <c r="PZ7" s="30" t="str">
        <f>IFERROR(IF(DATA[[#This Row],[Care Assistant 4: Numbers employed (Full Time Equivalent)]]=0,"",DATA[[#This Row],[Care Assistant 4: Current 2021/22 Minimum hourly pay rate ADJUSTED 2]]*DATA[[#This Row],[Care Assistant 4: Numbers employed (Full Time Equivalent)]]),"")</f>
        <v/>
      </c>
      <c r="QA7" s="30" t="str">
        <f>IFERROR(IF(DATA[[#This Row],[Care Assistant 4: Numbers employed (Full Time Equivalent)]]=0,"",DATA[[#This Row],[Care Assistant 4: Current 2021/22 Maximum hourly pay rate ADJUSTED 2]]*DATA[[#This Row],[Care Assistant 4: Numbers employed (Full Time Equivalent)]]),"")</f>
        <v/>
      </c>
      <c r="QB7" s="30" t="str">
        <f>IFERROR(IF(DATA[[#This Row],[Care Assistant 4: Numbers employed (Full Time Equivalent)]]=0,"",DATA[[#This Row],[Care Assistant 4: Previous 2020/21 Minimum hourly pay rate ADJUSTED 2]]*DATA[[#This Row],[Care Assistant 4: Numbers employed (Full Time Equivalent)]]),"")</f>
        <v/>
      </c>
      <c r="QC7" s="30" t="str">
        <f>IFERROR(IF(DATA[[#This Row],[Care Assistant 4: Numbers employed (Full Time Equivalent)]]=0,"",DATA[[#This Row],[Care Assistant 4: Previous 2020/21 Maximum hourly pay rate ADJUSTED 2]]*DATA[[#This Row],[Care Assistant 4: Numbers employed (Full Time Equivalent)]]),"")</f>
        <v/>
      </c>
      <c r="QD7" s="30" t="str">
        <f>IFERROR(IF(DATA[[#This Row],[Administrative Officer 1: Numbers employed (Full Time Equivalent)]]=0,"",DATA[[#This Row],[Administrative Officer 1: Current 2021/22 Minimum hourly pay rate ADJUSTED 2]]*DATA[[#This Row],[Administrative Officer 1: Numbers employed (Full Time Equivalent)]]),"")</f>
        <v/>
      </c>
      <c r="QE7" s="30" t="str">
        <f>IFERROR(IF(DATA[[#This Row],[Administrative Officer 1: Numbers employed (Full Time Equivalent)]]=0,"",DATA[[#This Row],[Administrative Officer 1: Current 2021/22 Maximum hourly pay rate ADJUSTED 2]]*DATA[[#This Row],[Administrative Officer 1: Numbers employed (Full Time Equivalent)]]),"")</f>
        <v/>
      </c>
      <c r="QF7" s="30" t="str">
        <f>IFERROR(IF(DATA[[#This Row],[Administrative Officer 1: Numbers employed (Full Time Equivalent)]]=0,"",DATA[[#This Row],[Administrative Officer 1: Previous 2020/21 Minimum hourly pay rate ADJUSTED 2]]*DATA[[#This Row],[Administrative Officer 1: Numbers employed (Full Time Equivalent)]]),"")</f>
        <v/>
      </c>
      <c r="QG7" s="30" t="str">
        <f>IFERROR(IF(DATA[[#This Row],[Administrative Officer 1: Numbers employed (Full Time Equivalent)]]=0,"",DATA[[#This Row],[Administrative Officer 1: Previous 2020/21 Maximum hourly pay rate ADJUSTED 2]]*DATA[[#This Row],[Administrative Officer 1: Numbers employed (Full Time Equivalent)]]),"")</f>
        <v/>
      </c>
      <c r="QH7" s="30" t="str">
        <f>IFERROR(IF(DATA[[#This Row],[Administrative Officer 2: Numbers employed (Full Time Equivalent)]]=0,"",DATA[[#This Row],[Administrative Officer 2: Current 2021/22 Minimum hourly pay rate ADJUSTED 2]]*DATA[[#This Row],[Administrative Officer 2: Numbers employed (Full Time Equivalent)]]),"")</f>
        <v/>
      </c>
      <c r="QI7" s="30" t="str">
        <f>IFERROR(IF(DATA[[#This Row],[Administrative Officer 2: Numbers employed (Full Time Equivalent)]]=0,"",DATA[[#This Row],[Administrative Officer 2: Current 2021/22 Maximum hourly pay rate ADJUSTED 2]]*DATA[[#This Row],[Administrative Officer 2: Numbers employed (Full Time Equivalent)]]),"")</f>
        <v/>
      </c>
      <c r="QJ7" s="30" t="str">
        <f>IFERROR(IF(DATA[[#This Row],[Administrative Officer 2: Numbers employed (Full Time Equivalent)]]=0,"",DATA[[#This Row],[Administrative Officer 2: Previous 2020/21 Minimum hourly pay rate ADJUSTED 2]]*DATA[[#This Row],[Administrative Officer 2: Numbers employed (Full Time Equivalent)]]),"")</f>
        <v/>
      </c>
      <c r="QK7" s="30" t="str">
        <f>IFERROR(IF(DATA[[#This Row],[Administrative Officer 2: Numbers employed (Full Time Equivalent)]]=0,"",DATA[[#This Row],[Administrative Officer 2: Previous 2020/21 Maximum hourly pay rate ADJUSTED 2]]*DATA[[#This Row],[Administrative Officer 2: Numbers employed (Full Time Equivalent)]]),"")</f>
        <v/>
      </c>
      <c r="QL7" s="30" t="str">
        <f>IFERROR(IF(DATA[[#This Row],[Administrative Officer 3: Numbers employed (Full Time Equivalent)]]=0,"",DATA[[#This Row],[Administrative Officer 3: Current 2021/22 Minimum hourly pay rate ADJUSTED 2]]*DATA[[#This Row],[Administrative Officer 3: Numbers employed (Full Time Equivalent)]]),"")</f>
        <v/>
      </c>
      <c r="QM7" s="30" t="str">
        <f>IFERROR(IF(DATA[[#This Row],[Administrative Officer 3: Numbers employed (Full Time Equivalent)]]=0,"",DATA[[#This Row],[Administrative Officer 3: Current 2021/22 Maximum hourly pay rate ADJUSTED 2]]*DATA[[#This Row],[Administrative Officer 3: Numbers employed (Full Time Equivalent)]]),"")</f>
        <v/>
      </c>
      <c r="QN7" s="30" t="str">
        <f>IFERROR(IF(DATA[[#This Row],[Administrative Officer 3: Numbers employed (Full Time Equivalent)]]=0,"",DATA[[#This Row],[Administrative Officer 3: Previous 2020/21 Minimum hourly pay rate ADJUSTED 2]]*DATA[[#This Row],[Administrative Officer 3: Numbers employed (Full Time Equivalent)]]),"")</f>
        <v/>
      </c>
      <c r="QO7" s="30" t="str">
        <f>IFERROR(IF(DATA[[#This Row],[Administrative Officer 3: Numbers employed (Full Time Equivalent)]]=0,"",DATA[[#This Row],[Administrative Officer 3: Previous 2020/21 Maximum hourly pay rate ADJUSTED 2]]*DATA[[#This Row],[Administrative Officer 3: Numbers employed (Full Time Equivalent)]]),"")</f>
        <v/>
      </c>
      <c r="QP7" s="28" t="str">
        <f>IFERROR(IF(DATA[[#This Row],[Other staff 1: Numbers employed (Full Time Equivalent)]]=0,"",DATA[[#This Row],[Other staff 1: Current 2021/22 Minimum hourly pay rate ADJUSTED 2]]*DATA[[#This Row],[Other staff 1: Numbers employed (Full Time Equivalent)]]),"")</f>
        <v/>
      </c>
      <c r="QQ7" s="28" t="str">
        <f>IFERROR(IF(DATA[[#This Row],[Other staff 1: Numbers employed (Full Time Equivalent)]]=0,"",DATA[[#This Row],[Other staff 1: Current 2021/22 Maximum hourly pay rate ADJUSTED 2]]*DATA[[#This Row],[Other staff 1: Numbers employed (Full Time Equivalent)]]),"")</f>
        <v/>
      </c>
      <c r="QR7" s="28" t="str">
        <f>IFERROR(IF(DATA[[#This Row],[Other staff 1: Numbers employed (Full Time Equivalent)]]=0,"",DATA[[#This Row],[Other staff 1: Previous 2020/21 Minimum hourly pay rate ADJUSTED 2]]*DATA[[#This Row],[Other staff 1: Numbers employed (Full Time Equivalent)]]),"")</f>
        <v/>
      </c>
      <c r="QS7" s="28" t="str">
        <f>IFERROR(IF(DATA[[#This Row],[Other staff 1: Numbers employed (Full Time Equivalent)]]=0,"",DATA[[#This Row],[Other staff 1: Previous 2020/21 Maximum hourly pay rate ADJUSTED 2]]*DATA[[#This Row],[Other staff 1: Numbers employed (Full Time Equivalent)]]),"")</f>
        <v/>
      </c>
      <c r="QT7" s="28" t="str">
        <f>IFERROR(IF(DATA[[#This Row],[Other staff 2: Numbers employed (Full Time Equivalent)]]=0,"",DATA[[#This Row],[Other staff 2: Current 2021/22 Minimum hourly pay rate ADJUSTED 2]]*DATA[[#This Row],[Other staff 2: Numbers employed (Full Time Equivalent)]]),"")</f>
        <v/>
      </c>
      <c r="QU7" s="28" t="str">
        <f>IFERROR(IF(DATA[[#This Row],[Other staff 2: Numbers employed (Full Time Equivalent)]]=0,"",DATA[[#This Row],[Other staff 2: Current 2021/22 Maximum hourly pay rate ADJUSTED 2]]*DATA[[#This Row],[Other staff 2: Numbers employed (Full Time Equivalent)]]),"")</f>
        <v/>
      </c>
      <c r="QV7" s="28" t="str">
        <f>IFERROR(IF(DATA[[#This Row],[Other staff 2: Numbers employed (Full Time Equivalent)]]=0,"",DATA[[#This Row],[Other staff 2: Previous 2020/21 Minimum hourly pay rate ADJUSTED 2]]*DATA[[#This Row],[Other staff 2: Numbers employed (Full Time Equivalent)]]),"")</f>
        <v/>
      </c>
      <c r="QW7" s="28" t="str">
        <f>IFERROR(IF(DATA[[#This Row],[Other staff 2: Numbers employed (Full Time Equivalent)]]=0,"",DATA[[#This Row],[Other staff 2: Previous 2020/21 Maximum hourly pay rate ADJUSTED 2]]*DATA[[#This Row],[Other staff 2: Numbers employed (Full Time Equivalent)]]),"")</f>
        <v/>
      </c>
      <c r="QX7" s="28" t="str">
        <f>IFERROR(IF(DATA[[#This Row],[Other staff 3: Numbers employed (Full Time Equivalent)]]=0,"",DATA[[#This Row],[Other staff 3: Current 2021/22 Minimum hourly pay rate ADJUSTED 2]]*DATA[[#This Row],[Other staff 3: Numbers employed (Full Time Equivalent)]]),"")</f>
        <v/>
      </c>
      <c r="QY7" s="28" t="str">
        <f>IFERROR(IF(DATA[[#This Row],[Other staff 3: Numbers employed (Full Time Equivalent)]]=0,"",DATA[[#This Row],[Other staff 3: Current 2021/22 Maximum hourly pay rate ADJUSTED 2]]*DATA[[#This Row],[Other staff 3: Numbers employed (Full Time Equivalent)]]),"")</f>
        <v/>
      </c>
      <c r="QZ7" s="28" t="str">
        <f>IFERROR(IF(DATA[[#This Row],[Other staff 3: Numbers employed (Full Time Equivalent)]]=0,"",DATA[[#This Row],[Other staff 3: Previous 2020/21 Minimum hourly pay rate ADJUSTED 2]]*DATA[[#This Row],[Other staff 3: Numbers employed (Full Time Equivalent)]]),"")</f>
        <v/>
      </c>
      <c r="RA7" s="28" t="str">
        <f>IFERROR(IF(DATA[[#This Row],[Other staff 3: Numbers employed (Full Time Equivalent)]]=0,"",DATA[[#This Row],[Other staff 3: Previous 2020/21 Maximum hourly pay rate ADJUSTED 2]]*DATA[[#This Row],[Other staff 3: Numbers employed (Full Time Equivalent)]]),"")</f>
        <v/>
      </c>
      <c r="RB7"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7"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7"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7"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7"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22.7</v>
      </c>
      <c r="RH7"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7"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7"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8" spans="1:484" x14ac:dyDescent="0.25">
      <c r="G8" s="2">
        <v>2</v>
      </c>
      <c r="H8" s="2">
        <v>0</v>
      </c>
      <c r="I8" s="2">
        <v>11</v>
      </c>
      <c r="K8" s="2">
        <v>1</v>
      </c>
      <c r="L8" s="2" t="s">
        <v>328</v>
      </c>
      <c r="M8" s="2" t="s">
        <v>328</v>
      </c>
      <c r="R8" s="2">
        <v>25.64</v>
      </c>
      <c r="S8" s="2">
        <v>0</v>
      </c>
      <c r="T8" s="2">
        <v>25.64</v>
      </c>
      <c r="U8" s="2">
        <v>0</v>
      </c>
      <c r="V8" s="2">
        <v>1</v>
      </c>
      <c r="W8" s="2">
        <v>20.149999999999999</v>
      </c>
      <c r="X8" s="2">
        <v>0</v>
      </c>
      <c r="Y8" s="2">
        <v>20.149999999999999</v>
      </c>
      <c r="Z8" s="2">
        <v>0</v>
      </c>
      <c r="AA8" s="2">
        <v>1</v>
      </c>
      <c r="AB8" s="2" t="s">
        <v>315</v>
      </c>
      <c r="AC8" s="2">
        <v>10.63</v>
      </c>
      <c r="AD8" s="2">
        <v>0</v>
      </c>
      <c r="AE8" s="2">
        <v>10.19</v>
      </c>
      <c r="AF8" s="2">
        <v>0</v>
      </c>
      <c r="AG8" s="2">
        <v>0</v>
      </c>
      <c r="AH8" s="2" t="s">
        <v>315</v>
      </c>
      <c r="AI8" s="2">
        <v>10.93</v>
      </c>
      <c r="AJ8" s="2">
        <v>0</v>
      </c>
      <c r="AK8" s="2">
        <v>10.49</v>
      </c>
      <c r="AL8" s="2">
        <v>0</v>
      </c>
      <c r="AM8" s="2">
        <v>0</v>
      </c>
      <c r="AN8" s="2" t="s">
        <v>315</v>
      </c>
      <c r="AO8" s="2">
        <v>11.23</v>
      </c>
      <c r="AP8" s="2">
        <v>0</v>
      </c>
      <c r="AQ8" s="2">
        <v>10.79</v>
      </c>
      <c r="AR8" s="2">
        <v>0</v>
      </c>
      <c r="AS8" s="2">
        <v>0</v>
      </c>
      <c r="AT8" s="2" t="s">
        <v>316</v>
      </c>
      <c r="AU8" s="2">
        <v>9.16</v>
      </c>
      <c r="AV8" s="2">
        <v>0</v>
      </c>
      <c r="AW8" s="2">
        <v>8.7200000000000006</v>
      </c>
      <c r="AX8" s="2">
        <v>0</v>
      </c>
      <c r="AY8" s="2">
        <v>4</v>
      </c>
      <c r="AZ8" s="2" t="s">
        <v>316</v>
      </c>
      <c r="BA8" s="2">
        <v>9.31</v>
      </c>
      <c r="BB8" s="2">
        <v>0</v>
      </c>
      <c r="BC8" s="2">
        <v>8.8699999999999992</v>
      </c>
      <c r="BD8" s="2">
        <v>0</v>
      </c>
      <c r="BE8" s="2">
        <v>3</v>
      </c>
      <c r="BF8" s="2" t="s">
        <v>316</v>
      </c>
      <c r="BG8" s="2">
        <v>9.73</v>
      </c>
      <c r="BH8" s="2">
        <v>0</v>
      </c>
      <c r="BI8" s="2">
        <v>9.2899999999999991</v>
      </c>
      <c r="BJ8" s="2">
        <v>0</v>
      </c>
      <c r="BK8" s="2">
        <v>17</v>
      </c>
      <c r="BL8" s="2" t="s">
        <v>316</v>
      </c>
      <c r="BM8" s="2">
        <v>0</v>
      </c>
      <c r="BN8" s="2">
        <v>0</v>
      </c>
      <c r="BO8" s="2">
        <v>0</v>
      </c>
      <c r="BP8" s="2">
        <v>0</v>
      </c>
      <c r="BQ8" s="2">
        <v>0</v>
      </c>
      <c r="BR8" s="2" t="s">
        <v>317</v>
      </c>
      <c r="BS8" s="2">
        <v>0</v>
      </c>
      <c r="BT8" s="2">
        <v>0</v>
      </c>
      <c r="BU8" s="2">
        <v>0</v>
      </c>
      <c r="BV8" s="2">
        <v>0</v>
      </c>
      <c r="BW8" s="2">
        <v>0</v>
      </c>
      <c r="BX8" s="2" t="s">
        <v>317</v>
      </c>
      <c r="BY8" s="2">
        <v>0</v>
      </c>
      <c r="BZ8" s="2">
        <v>0</v>
      </c>
      <c r="CA8" s="2">
        <v>0</v>
      </c>
      <c r="CB8" s="2">
        <v>0</v>
      </c>
      <c r="CC8" s="2">
        <v>0</v>
      </c>
      <c r="CD8" s="2" t="s">
        <v>317</v>
      </c>
      <c r="CE8" s="2">
        <v>0</v>
      </c>
      <c r="CF8" s="2">
        <v>0</v>
      </c>
      <c r="CG8" s="2">
        <v>0</v>
      </c>
      <c r="CH8" s="2">
        <v>0</v>
      </c>
      <c r="CI8" s="2">
        <v>0</v>
      </c>
      <c r="CJ8" s="2" t="s">
        <v>318</v>
      </c>
      <c r="CK8" s="2">
        <v>0</v>
      </c>
      <c r="CL8" s="2">
        <v>0</v>
      </c>
      <c r="CM8" s="2">
        <v>0</v>
      </c>
      <c r="CN8" s="2">
        <v>0</v>
      </c>
      <c r="CO8" s="2">
        <v>0</v>
      </c>
      <c r="CP8" s="2" t="s">
        <v>318</v>
      </c>
      <c r="CQ8" s="2">
        <v>0</v>
      </c>
      <c r="CR8" s="2">
        <v>0</v>
      </c>
      <c r="CS8" s="2">
        <v>0</v>
      </c>
      <c r="CT8" s="2">
        <v>0</v>
      </c>
      <c r="CU8" s="2">
        <v>0</v>
      </c>
      <c r="CV8" s="2" t="s">
        <v>318</v>
      </c>
      <c r="CW8" s="2">
        <v>0</v>
      </c>
      <c r="CX8" s="2">
        <v>0</v>
      </c>
      <c r="CY8" s="2">
        <v>0</v>
      </c>
      <c r="CZ8" s="2">
        <v>0</v>
      </c>
      <c r="DA8" s="2">
        <v>0</v>
      </c>
      <c r="DB8" s="2">
        <v>0.03</v>
      </c>
      <c r="DC8" s="2">
        <v>0</v>
      </c>
      <c r="DD8" s="2">
        <v>0</v>
      </c>
      <c r="DE8" s="2">
        <v>0</v>
      </c>
      <c r="DF8" s="2">
        <v>0</v>
      </c>
      <c r="DG8" s="2">
        <v>0</v>
      </c>
      <c r="DH8" s="2">
        <v>0</v>
      </c>
      <c r="DI8" s="2">
        <v>0</v>
      </c>
      <c r="DJ8" s="2">
        <v>774.15</v>
      </c>
      <c r="DK8" s="2">
        <v>0</v>
      </c>
      <c r="DL8" s="2">
        <v>0</v>
      </c>
      <c r="DM8" s="2">
        <v>0</v>
      </c>
      <c r="DN8" s="2">
        <v>0</v>
      </c>
      <c r="DO8" s="2">
        <v>16</v>
      </c>
      <c r="DP8" s="2">
        <v>0</v>
      </c>
      <c r="DQ8" s="2">
        <v>16</v>
      </c>
      <c r="DR8" s="18">
        <v>43922</v>
      </c>
      <c r="DS8" s="18">
        <v>44286</v>
      </c>
      <c r="DT8" s="2">
        <v>40256</v>
      </c>
      <c r="DU8" s="2">
        <v>0</v>
      </c>
      <c r="DV8" s="2">
        <v>484024</v>
      </c>
      <c r="DW8" s="2">
        <v>0</v>
      </c>
      <c r="DX8" s="2">
        <v>0</v>
      </c>
      <c r="DY8" s="2">
        <v>0</v>
      </c>
      <c r="DZ8" s="2">
        <v>3537</v>
      </c>
      <c r="EA8" s="2">
        <v>0</v>
      </c>
      <c r="EB8" s="2">
        <v>851</v>
      </c>
      <c r="EC8" s="2">
        <v>0</v>
      </c>
      <c r="ED8" s="2">
        <v>1519</v>
      </c>
      <c r="EE8" s="2">
        <v>5431</v>
      </c>
      <c r="EF8" s="2">
        <v>0</v>
      </c>
      <c r="EG8" s="2">
        <v>3866</v>
      </c>
      <c r="EH8" s="2" t="s">
        <v>324</v>
      </c>
      <c r="EI8" s="2">
        <v>0</v>
      </c>
      <c r="EJ8" s="2" t="s">
        <v>324</v>
      </c>
      <c r="EK8" s="2">
        <v>0</v>
      </c>
      <c r="EL8" s="2">
        <v>6416</v>
      </c>
      <c r="EM8" s="2">
        <v>6176</v>
      </c>
      <c r="EN8" s="2">
        <v>30366</v>
      </c>
      <c r="EO8" s="2">
        <v>34488</v>
      </c>
      <c r="EP8" s="2">
        <v>0</v>
      </c>
      <c r="EQ8" s="2">
        <v>0</v>
      </c>
      <c r="ER8" s="2">
        <v>0</v>
      </c>
      <c r="ES8" s="2">
        <v>0</v>
      </c>
      <c r="ET8" s="2" t="s">
        <v>329</v>
      </c>
      <c r="EU8" s="2">
        <v>8011</v>
      </c>
      <c r="EV8" s="2" t="s">
        <v>330</v>
      </c>
      <c r="EW8" s="2">
        <v>9683</v>
      </c>
      <c r="EX8" s="2">
        <v>46450</v>
      </c>
      <c r="EY8" s="2">
        <v>0</v>
      </c>
      <c r="EZ8" s="2" t="s">
        <v>326</v>
      </c>
      <c r="FA8" s="2">
        <v>0</v>
      </c>
      <c r="FB8" s="2" t="s">
        <v>326</v>
      </c>
      <c r="FC8" s="2">
        <v>0</v>
      </c>
      <c r="FD8" s="2">
        <v>64082</v>
      </c>
      <c r="FE8" s="2">
        <v>0</v>
      </c>
      <c r="FF8" s="2">
        <v>0</v>
      </c>
      <c r="FG8" s="2"/>
      <c r="FH8" s="19">
        <v>44480.623287037037</v>
      </c>
      <c r="FI8" s="2" t="s">
        <v>327</v>
      </c>
      <c r="FJ8" s="2">
        <f>SUM(DATA[[#This Row],[Number of Home support clients:]],DATA[[#This Row],[Number of supported living clients:]])</f>
        <v>11</v>
      </c>
      <c r="FK8"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8"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25.64</v>
      </c>
      <c r="FM8"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25.64</v>
      </c>
      <c r="FN8"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25.64</v>
      </c>
      <c r="FO8"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25.64</v>
      </c>
      <c r="FP8"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20.149999999999999</v>
      </c>
      <c r="FQ8"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8"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20.149999999999999</v>
      </c>
      <c r="FS8"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20.149999999999999</v>
      </c>
      <c r="FT8"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10.63</v>
      </c>
      <c r="FU8"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10.63</v>
      </c>
      <c r="FV8"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10.19</v>
      </c>
      <c r="FW8"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10.19</v>
      </c>
      <c r="FX8"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10.93</v>
      </c>
      <c r="FY8"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10.93</v>
      </c>
      <c r="FZ8"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10.49</v>
      </c>
      <c r="GA8"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10.49</v>
      </c>
      <c r="GB8"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11.23</v>
      </c>
      <c r="GC8"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11.23</v>
      </c>
      <c r="GD8"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10.79</v>
      </c>
      <c r="GE8"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10.79</v>
      </c>
      <c r="GF8"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9.16</v>
      </c>
      <c r="GG8"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9.16</v>
      </c>
      <c r="GH8"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8"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8.7200000000000006</v>
      </c>
      <c r="GJ8"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9.31</v>
      </c>
      <c r="GK8"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9.31</v>
      </c>
      <c r="GL8"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8.8699999999999992</v>
      </c>
      <c r="GM8"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8.8699999999999992</v>
      </c>
      <c r="GN8"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9.73</v>
      </c>
      <c r="GO8"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9.73</v>
      </c>
      <c r="GP8"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9.2899999999999991</v>
      </c>
      <c r="GQ8"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9.2899999999999991</v>
      </c>
      <c r="GR8"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8"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8"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8"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8"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8"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8"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8"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8"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8"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8"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8"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8"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8"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8"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8"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8"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8"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8"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8"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8"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8"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8"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8"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8"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8"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8"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8"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8"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25.64</v>
      </c>
      <c r="HU8"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25.64</v>
      </c>
      <c r="HV8"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25.64</v>
      </c>
      <c r="HW8"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25.64</v>
      </c>
      <c r="HX8"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20.149999999999999</v>
      </c>
      <c r="HY8"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20.149999999999999</v>
      </c>
      <c r="HZ8"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20.149999999999999</v>
      </c>
      <c r="IA8"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20.149999999999999</v>
      </c>
      <c r="IB8"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10.63</v>
      </c>
      <c r="IC8"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10.63</v>
      </c>
      <c r="ID8"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10.19</v>
      </c>
      <c r="IE8"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10.19</v>
      </c>
      <c r="IF8"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10.93</v>
      </c>
      <c r="IG8"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10.93</v>
      </c>
      <c r="IH8"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10.49</v>
      </c>
      <c r="II8"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10.49</v>
      </c>
      <c r="IJ8"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11.23</v>
      </c>
      <c r="IK8"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11.23</v>
      </c>
      <c r="IL8"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10.79</v>
      </c>
      <c r="IM8"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10.79</v>
      </c>
      <c r="IN8"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9.16</v>
      </c>
      <c r="IO8"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9.16</v>
      </c>
      <c r="IP8"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8"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8.7200000000000006</v>
      </c>
      <c r="IR8"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9.31</v>
      </c>
      <c r="IS8"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9.31</v>
      </c>
      <c r="IT8"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8.8699999999999992</v>
      </c>
      <c r="IU8"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8.8699999999999992</v>
      </c>
      <c r="IV8"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9.73</v>
      </c>
      <c r="IW8"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9.73</v>
      </c>
      <c r="IX8"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9.2899999999999991</v>
      </c>
      <c r="IY8"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9.2899999999999991</v>
      </c>
      <c r="IZ8"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8"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8"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8"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8"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8"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8"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8"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8"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8"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8"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8"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8"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8"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8"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8"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8"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8"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8"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8"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8"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8"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8"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8"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8"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8"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8"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8"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8"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8" s="21">
        <f>SUM(DATA[[#This Row],[Care Assistant 1: Numbers employed (Full Time Equivalent)]],DATA[[#This Row],[Care Assistant 2: Numbers employed (Full Time Equivalent)]],DATA[[#This Row],[Care Assistant 3: Numbers employed (Full Time Equivalent)]],DATA[[#This Row],[Care Assistant 4: Numbers employed (Full Time Equivalent)]])</f>
        <v>24</v>
      </c>
      <c r="KD8" s="21">
        <f>SUM(DATA[[#This Row],[Administrative Officer 1: Numbers employed (Full Time Equivalent)]],DATA[[#This Row],[Administrative Officer 2: Numbers employed (Full Time Equivalent)]])</f>
        <v>0</v>
      </c>
      <c r="KE8" s="21">
        <f>SUM(DATA[[#This Row],[Other staff 1: Numbers employed (Full Time Equivalent)]],DATA[[#This Row],[Other staff 2: Numbers employed (Full Time Equivalent)]],DATA[[#This Row],[Other staff 3: Numbers employed (Full Time Equivalent)]])</f>
        <v>0</v>
      </c>
      <c r="KF8" s="21">
        <f>SUM(DATA[[#This Row],[Total FTE Management Employees]:[Total FTE Other Employees]])</f>
        <v>26</v>
      </c>
      <c r="KG8" s="21" t="str">
        <f>IF(SUM(DATA[[#This Row],[Home Support service split percentage (Expenditure):]],DATA[[#This Row],[Supported Living service split percentage (Expenditure):]])&gt;0, IF(DATA[[#This Row],[Home Support service split percentage (Expenditure):]]&gt;0.5,"Home Support","Supported Living"), "Unknown")</f>
        <v>Supported Living</v>
      </c>
      <c r="KH8" s="21">
        <f>SUM(DATA[[#This Row],[Home Support: Birmingham City Council]:[Home Support: Self-funded]])</f>
        <v>0</v>
      </c>
      <c r="KI8" s="21">
        <f>SUM(DATA[[#This Row],[Supported Living: Birmingham City Council]:[Supported Living: Self-funded]])</f>
        <v>774.15</v>
      </c>
      <c r="KJ8"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45.79</v>
      </c>
      <c r="KK8"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45.79</v>
      </c>
      <c r="KL8"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45.79</v>
      </c>
      <c r="KM8"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8" s="21" t="b">
        <f>SUM(DATA[[#This Row],[Number of hours of care charged for in last full accounting year]:[Corporate Overheads: Other  - please specify (category) 1]])&gt;0</f>
        <v>1</v>
      </c>
      <c r="KO8" s="21">
        <f>SUM(DATA[[#This Row],[Total annual expenditure: Management staff]:[Total annual expenditure: Training and development]])</f>
        <v>488412</v>
      </c>
      <c r="KP8" s="21">
        <f>SUM(DATA[[#This Row],[Recruitment &amp; advertising (including DBS checks)]:[Non-Staffing Direct Cost: Other  - please specify (amount) 2]])</f>
        <v>10816</v>
      </c>
      <c r="KQ8" s="21">
        <f>SUM(DATA[[#This Row],[Insurance ]:[Indirect costs: Other 2 - please specify (amount)]])</f>
        <v>95140</v>
      </c>
      <c r="KR8" s="21">
        <f>SUM(DATA[[#This Row],[Central / Regional Management]],DATA[[#This Row],[Support Services (finance / HR / Payroll / legal etc.)]],DATA[[#This Row],[Corporate Overheads: Other  - please specify (amount) 1]],DATA[[#This Row],[Corporate Overheads: Other  - please specify (amount) 2]])</f>
        <v>46450</v>
      </c>
      <c r="KS8"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8"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12.023648648648649</v>
      </c>
      <c r="KU8"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8"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8"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8" s="30">
        <f>IF(OR(NOT(DATA[[#This Row],[Total annual expenditure: Travel Cost]]&gt;0),NOT(DATA[[#This Row],[Number of hours of care charged for in last full accounting year]]&gt;0)),0,DATA[[#This Row],[Total annual expenditure: Travel Cost]]/DATA[[#This Row],[Number of hours of care charged for in last full accounting year]])</f>
        <v>8.7862678855325921E-2</v>
      </c>
      <c r="KY8"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8"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2.1139705882352942E-2</v>
      </c>
      <c r="LA8"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8"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3.7733505564387919E-2</v>
      </c>
      <c r="LC8" s="30">
        <f>IF(OR(NOT(DATA[[#This Row],[Care consumables &amp; uniforms]]&gt;0),NOT(DATA[[#This Row],[Number of hours of care charged for in last full accounting year]]&gt;0)),0,DATA[[#This Row],[Care consumables &amp; uniforms]]/DATA[[#This Row],[Number of hours of care charged for in last full accounting year]])</f>
        <v>0.13491156597774245</v>
      </c>
      <c r="LD8" s="30">
        <f>IF(OR(NOT(DATA[[#This Row],[Electronic call monitoring]]&gt;0),NOT(DATA[[#This Row],[Number of hours of care charged for in last full accounting year]]&gt;0)),0,DATA[[#This Row],[Electronic call monitoring]]/DATA[[#This Row],[Number of hours of care charged for in last full accounting year]])</f>
        <v>0</v>
      </c>
      <c r="LE8" s="30">
        <f>IF(OR(NOT(DATA[[#This Row],[IT Equipment &amp; Telephoney]]&gt;0),NOT(DATA[[#This Row],[Number of hours of care charged for in last full accounting year]]&gt;0)),0,DATA[[#This Row],[IT Equipment &amp; Telephoney]]/DATA[[#This Row],[Number of hours of care charged for in last full accounting year]])</f>
        <v>9.6035373608903019E-2</v>
      </c>
      <c r="LF8"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8"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 s="30">
        <f>IF(OR(NOT(DATA[[#This Row],[Insurance ]]&gt;0),NOT(DATA[[#This Row],[Number of hours of care charged for in last full accounting year]]&gt;0)),0,DATA[[#This Row],[Insurance ]]/DATA[[#This Row],[Number of hours of care charged for in last full accounting year]])</f>
        <v>0.15937996820349762</v>
      </c>
      <c r="LI8"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0.15341812400635929</v>
      </c>
      <c r="LJ8" s="30">
        <f>IF(OR(NOT(DATA[[#This Row],[Repairs and maintenance]]&gt;0),NOT(DATA[[#This Row],[Number of hours of care charged for in last full accounting year]]&gt;0)),0,DATA[[#This Row],[Repairs and maintenance]]/DATA[[#This Row],[Number of hours of care charged for in last full accounting year]])</f>
        <v>0.75432233704292528</v>
      </c>
      <c r="LK8"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0.85671701112877585</v>
      </c>
      <c r="LL8" s="30">
        <f>IF(OR(NOT(DATA[[#This Row],[Registration &amp; Inspection fees ]]&gt;0),NOT(DATA[[#This Row],[Number of hours of care charged for in last full accounting year]]&gt;0)),0,DATA[[#This Row],[Registration &amp; Inspection fees ]]/DATA[[#This Row],[Number of hours of care charged for in last full accounting year]])</f>
        <v>0</v>
      </c>
      <c r="LM8" s="30">
        <f>IF(OR(NOT(DATA[[#This Row],[Subscriptions]]&gt;0),NOT(DATA[[#This Row],[Number of hours of care charged for in last full accounting year]]&gt;0)),0,DATA[[#This Row],[Subscriptions]]/DATA[[#This Row],[Number of hours of care charged for in last full accounting year]])</f>
        <v>0</v>
      </c>
      <c r="LN8" s="30">
        <f>IF(OR(NOT(DATA[[#This Row],[Cost of finance]]&gt;0),NOT(DATA[[#This Row],[Number of hours of care charged for in last full accounting year]]&gt;0)),0,DATA[[#This Row],[Cost of finance]]/DATA[[#This Row],[Number of hours of care charged for in last full accounting year]])</f>
        <v>0</v>
      </c>
      <c r="LO8" s="30">
        <f>IF(OR(NOT(DATA[[#This Row],[Other non-staff current expenses]]&gt;0),NOT(DATA[[#This Row],[Number of hours of care charged for in last full accounting year]]&gt;0)),0,DATA[[#This Row],[Other non-staff current expenses]]/DATA[[#This Row],[Number of hours of care charged for in last full accounting year]])</f>
        <v>0</v>
      </c>
      <c r="LP8"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0.19900139109697934</v>
      </c>
      <c r="LQ8"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0.24053557233704292</v>
      </c>
      <c r="LR8" s="30">
        <f>IF(OR(NOT(DATA[[#This Row],[Central / Regional Management]]&gt;0),NOT(DATA[[#This Row],[Number of hours of care charged for in last full accounting year]]&gt;0)),0,DATA[[#This Row],[Central / Regional Management]]/DATA[[#This Row],[Number of hours of care charged for in last full accounting year]])</f>
        <v>1.1538652623211447</v>
      </c>
      <c r="LS8"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8"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 s="30">
        <f>SUM(DATA[[#This Row],[Management staff HOURLY RATE]:[Corporate Overheads: Other  - please specify (amount) 2 HOURLY RATE]])</f>
        <v>15.918571144674084</v>
      </c>
      <c r="LW8" s="30">
        <f>IF(OR(NOT(DATA[[#This Row],[Net Operating Profit]]&gt;0),NOT(DATA[[#This Row],[Number of hours of care charged for in last full accounting year]]&gt;0)),"",DATA[[#This Row],[Net Operating Profit]]/DATA[[#This Row],[Number of hours of care charged for in last full accounting year]])</f>
        <v>1.5918620826709062</v>
      </c>
      <c r="LX8" s="30">
        <f>IF(OR(NOT(DATA[[#This Row],[Return on Capital employed]]&gt;0),NOT(DATA[[#This Row],[Number of hours of care charged for in last full accounting year]]&gt;0)),0,DATA[[#This Row],[Return on Capital employed]]/DATA[[#This Row],[Number of hours of care charged for in last full accounting year]])</f>
        <v>0</v>
      </c>
      <c r="LY8" s="31">
        <v>2</v>
      </c>
      <c r="LZ8" s="30" t="s">
        <v>358</v>
      </c>
      <c r="MA8" s="30" t="b">
        <f>DATA[[#This Row],[Number of Home support clients:]]&gt;0</f>
        <v>0</v>
      </c>
      <c r="MB8" s="30" t="b">
        <f>DATA[[#This Row],[Number of supported living clients:]]&gt;0</f>
        <v>1</v>
      </c>
      <c r="MC8" s="30" t="b">
        <f>DATA[[#This Row],[Total Home Support Hours]]&gt;0</f>
        <v>0</v>
      </c>
      <c r="MD8" s="30" t="b">
        <f>DATA[[#This Row],[Total Supported Living Hours]]&gt;0</f>
        <v>1</v>
      </c>
      <c r="ME8" s="30" t="b">
        <f>DATA[[#This Row],[Home Support service split percentage (Expenditure):]]&gt;0.5</f>
        <v>0</v>
      </c>
      <c r="MF8" s="30" t="b">
        <f>DATA[[#This Row],[Agency staff HOURLY RATE]]=0</f>
        <v>1</v>
      </c>
      <c r="MG8"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 s="30">
        <f>IFERROR(IF(AVERAGE(DATA[[#This Row],[Deputy manager: Current 2021/22 Minimum hourly pay rate ADJUSTED]],DATA[[#This Row],[Deputy manager: Current 2021/22 Maximum hourly pay rate ADJUSTED]])&lt;LIVING_WAGE_22_23,DATA[[#This Row],[Deputy manager: Numbers employed (Full Time Equivalent)]],0),"")</f>
        <v>0</v>
      </c>
      <c r="MI8" s="30">
        <f>IFERROR(IF(AVERAGE(DATA[[#This Row],[Other manager 1: Current 2021/22 Minimum hourly pay rate ADJUSTED]],DATA[[#This Row],[Other manager 1: Current 2021/22 Maximum hourly pay rate ADJUSTED]])&lt;LIVING_WAGE_22_23,DATA[[#This Row],[Other manager 1: Numbers employed (Full Time Equivalent)]],0),"")</f>
        <v>0</v>
      </c>
      <c r="MJ8" s="30">
        <f>IFERROR(IF(AVERAGE(DATA[[#This Row],[Other manager 2: Current 2021/22 Minimum hourly pay rate ADJUSTED]],DATA[[#This Row],[Other manager 2: Current 2021/22 Maximum hourly pay rate ADJUSTED]])&lt;LIVING_WAGE_22_23,DATA[[#This Row],[Other manager 2: Numbers employed (Full Time Equivalent)]],0),"")</f>
        <v>0</v>
      </c>
      <c r="MK8" s="30">
        <f>IFERROR(IF(AVERAGE(DATA[[#This Row],[Other manager 3: Current 2021/22 Minimum hourly pay rate ADJUSTED]],DATA[[#This Row],[Other manager 3: Current 2021/22 Maximum hourly pay rate ADJUSTED]])&lt;LIVING_WAGE_22_23,DATA[[#This Row],[Other manager 3: Numbers employed (Full Time Equivalent)]],0),"")</f>
        <v>0</v>
      </c>
      <c r="ML8" s="30">
        <f>IFERROR(IF(AVERAGE(DATA[[#This Row],[Care Assistant 1: Current 2021/22 Minimum hourly pay rate ADJUSTED]],DATA[[#This Row],[Care Assistant 1: Current 2021/22 Maximum hourly pay rate ADJUSTED]])&lt;LIVING_WAGE_22_23,DATA[[#This Row],[Care Assistant 1: Numbers employed (Full Time Equivalent)]],0),"")</f>
        <v>4</v>
      </c>
      <c r="MM8" s="30">
        <f>IFERROR(IF(AVERAGE(DATA[[#This Row],[Care Assistant 2: Current 2021/22 Minimum hourly pay rate ADJUSTED]],DATA[[#This Row],[Care Assistant 2: Current 2021/22 Maximum hourly pay rate ADJUSTED]])&lt;LIVING_WAGE_22_23,DATA[[#This Row],[Care Assistant 2: Numbers employed (Full Time Equivalent)]],0),"")</f>
        <v>3</v>
      </c>
      <c r="MN8" s="30">
        <f>IFERROR(IF(AVERAGE(DATA[[#This Row],[Care Assistant 3: Current 2021/22 Minimum hourly pay rate ADJUSTED]],DATA[[#This Row],[Care Assistant 3: Current 2021/22 Maximum hourly pay rate ADJUSTED]])&lt;LIVING_WAGE_22_23,DATA[[#This Row],[Care Assistant 3: Numbers employed (Full Time Equivalent)]],0),"")</f>
        <v>0</v>
      </c>
      <c r="MO8" s="30" t="str">
        <f>IFERROR(IF(AVERAGE(DATA[[#This Row],[Care Assistant 4: Current 2021/22 Minimum hourly pay rate ADJUSTED]],DATA[[#This Row],[Care Assistant 4: Current 2021/22 Maximum hourly pay rate ADJUSTED]])&lt;LIVING_WAGE_22_23,DATA[[#This Row],[Care Assistant 4: Numbers employed (Full Time Equivalent)]],0),"")</f>
        <v/>
      </c>
      <c r="MP8"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8"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8" s="30" t="str">
        <f>IFERROR(IF(AVERAGE(DATA[[#This Row],[Other staff 1: Current 2021/22 Minimum hourly pay rate ADJUSTED]],DATA[[#This Row],[Other staff 1: Current 2021/22 Maximum hourly pay rate ADJUSTED]])&lt;LIVING_WAGE_22_23,DATA[[#This Row],[Other staff 1: Numbers employed (Full Time Equivalent)]],0),"")</f>
        <v/>
      </c>
      <c r="MS8" s="30" t="str">
        <f>IFERROR(IF(AVERAGE(DATA[[#This Row],[Other staff 2: Current 2021/22 Minimum hourly pay rate ADJUSTED]],DATA[[#This Row],[Other staff 2: Current 2021/22 Maximum hourly pay rate ADJUSTED]])&lt;LIVING_WAGE_22_23,DATA[[#This Row],[Other staff 2: Numbers employed (Full Time Equivalent)]],0),"")</f>
        <v/>
      </c>
      <c r="MT8" s="30" t="str">
        <f>IFERROR(IF(AVERAGE(DATA[[#This Row],[Other staff 3: Current 2021/22 Minimum hourly pay rate ADJUSTED]],DATA[[#This Row],[Other staff 3: Current 2021/22 Maximum hourly pay rate ADJUSTED]])&lt;LIVING_WAGE_22_23,DATA[[#This Row],[Other staff 3: Numbers employed (Full Time Equivalent)]],0),"")</f>
        <v/>
      </c>
      <c r="MU8" s="30">
        <f>SUM(DATA[[#This Row],[Registered Manager FTE earning less than NLW 23yrs 2022/23]:[Other staff 3 FTE earning less than NLW 23yrs 2022/23]])</f>
        <v>7</v>
      </c>
      <c r="MV8"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8"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8"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8"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8"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1.3599999999999994</v>
      </c>
      <c r="NB8"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0.56999999999999851</v>
      </c>
      <c r="NC8"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8"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8"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8"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8"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8"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8"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8" s="30" t="b">
        <v>0</v>
      </c>
      <c r="NK8" s="30" t="b">
        <v>0</v>
      </c>
      <c r="NL8" s="30" t="s">
        <v>971</v>
      </c>
      <c r="NM8" s="30">
        <f>SUM(DATA[[#This Row],[Management staff HOURLY RATE]:[Training and development HOURLY RATE]])</f>
        <v>12.132651033386328</v>
      </c>
      <c r="NN8" s="30">
        <f>SUM(DATA[[#This Row],[Recruitment &amp; advertising (including DBS checks) HOURLY RATE]:[Non-Staffing Direct Cost: Other  - please specify (amount) 2 HOURLY RATE]])</f>
        <v>0.2686804451510334</v>
      </c>
      <c r="NO8" s="30">
        <f>SUM(DATA[[#This Row],[Insurance  HOURLY RATE]:[Indirect costs: Other  - please specify (amount) 2 HOURLY RATE]])</f>
        <v>2.3633744038155804</v>
      </c>
      <c r="NP8" s="30">
        <f>SUM(DATA[[#This Row],[Central / Regional Management HOURLY RATE]:[Corporate Overheads: Other  - please specify (amount) 2 HOURLY RATE]])</f>
        <v>1.1538652623211447</v>
      </c>
      <c r="NQ8"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 s="30">
        <f>IFERROR(IF(AVERAGE(DATA[[#This Row],[Deputy manager: Current 2021/22 Minimum hourly pay rate ADJUSTED]],DATA[[#This Row],[Deputy manager: Current 2021/22 Maximum hourly pay rate ADJUSTED]])&lt;REAL_LIVING_WAGE_22_23,DATA[[#This Row],[Deputy manager: Numbers employed (Full Time Equivalent)]],0),"")</f>
        <v>0</v>
      </c>
      <c r="NS8" s="30">
        <f>IFERROR(IF(AVERAGE(DATA[[#This Row],[Other manager 1: Current 2021/22 Minimum hourly pay rate ADJUSTED]],DATA[[#This Row],[Other manager 1: Current 2021/22 Maximum hourly pay rate ADJUSTED]])&lt;REAL_LIVING_WAGE_22_23,DATA[[#This Row],[Other manager 1: Numbers employed (Full Time Equivalent)]],0),"")</f>
        <v>0</v>
      </c>
      <c r="NT8" s="30">
        <f>IFERROR(IF(AVERAGE(DATA[[#This Row],[Other manager 2: Current 2021/22 Minimum hourly pay rate ADJUSTED]],DATA[[#This Row],[Other manager 2: Current 2021/22 Maximum hourly pay rate ADJUSTED]])&lt;REAL_LIVING_WAGE_22_23,DATA[[#This Row],[Other manager 2: Numbers employed (Full Time Equivalent)]],0),"")</f>
        <v>0</v>
      </c>
      <c r="NU8" s="30">
        <f>IFERROR(IF(AVERAGE(DATA[[#This Row],[Other manager 3: Current 2021/22 Minimum hourly pay rate ADJUSTED]],DATA[[#This Row],[Other manager 3: Current 2021/22 Maximum hourly pay rate ADJUSTED]])&lt;REAL_LIVING_WAGE_22_23,DATA[[#This Row],[Other manager 3: Numbers employed (Full Time Equivalent)]],0),"")</f>
        <v>0</v>
      </c>
      <c r="NV8" s="30">
        <f>IFERROR(IF(AVERAGE(DATA[[#This Row],[Care Assistant 1: Current 2021/22 Minimum hourly pay rate ADJUSTED]],DATA[[#This Row],[Care Assistant 1: Current 2021/22 Maximum hourly pay rate ADJUSTED]])&lt;REAL_LIVING_WAGE_22_23,DATA[[#This Row],[Care Assistant 1: Numbers employed (Full Time Equivalent)]],0),"")</f>
        <v>4</v>
      </c>
      <c r="NW8" s="30">
        <f>IFERROR(IF(AVERAGE(DATA[[#This Row],[Care Assistant 2: Current 2021/22 Minimum hourly pay rate ADJUSTED]],DATA[[#This Row],[Care Assistant 2: Current 2021/22 Maximum hourly pay rate ADJUSTED]])&lt;REAL_LIVING_WAGE_22_23,DATA[[#This Row],[Care Assistant 2: Numbers employed (Full Time Equivalent)]],0),"")</f>
        <v>3</v>
      </c>
      <c r="NX8" s="30">
        <f>IFERROR(IF(AVERAGE(DATA[[#This Row],[Care Assistant 3: Current 2021/22 Minimum hourly pay rate ADJUSTED]],DATA[[#This Row],[Care Assistant 3: Current 2021/22 Maximum hourly pay rate ADJUSTED]])&lt;REAL_LIVING_WAGE_22_23,DATA[[#This Row],[Care Assistant 3: Numbers employed (Full Time Equivalent)]],0),"")</f>
        <v>17</v>
      </c>
      <c r="NY8"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8"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8"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8" s="30" t="str">
        <f>IFERROR(IF(AVERAGE(DATA[[#This Row],[Other staff 1: Current 2021/22 Minimum hourly pay rate ADJUSTED]],DATA[[#This Row],[Other staff 1: Current 2021/22 Maximum hourly pay rate ADJUSTED]])&lt;REAL_LIVING_WAGE_22_23,DATA[[#This Row],[Other staff 1: Numbers employed (Full Time Equivalent)]],0),"")</f>
        <v/>
      </c>
      <c r="OC8" s="30" t="str">
        <f>IFERROR(IF(AVERAGE(DATA[[#This Row],[Other staff 2: Current 2021/22 Minimum hourly pay rate ADJUSTED]],DATA[[#This Row],[Other staff 2: Current 2021/22 Maximum hourly pay rate ADJUSTED]])&lt;REAL_LIVING_WAGE_22_23,DATA[[#This Row],[Other staff 2: Numbers employed (Full Time Equivalent)]],0),"")</f>
        <v/>
      </c>
      <c r="OD8" s="30" t="str">
        <f>IFERROR(IF(AVERAGE(DATA[[#This Row],[Other staff 3: Current 2021/22 Minimum hourly pay rate ADJUSTED]],DATA[[#This Row],[Other staff 3: Current 2021/22 Maximum hourly pay rate ADJUSTED]])&lt;REAL_LIVING_WAGE_22_23,DATA[[#This Row],[Other staff 3: Numbers employed (Full Time Equivalent)]],0),"")</f>
        <v/>
      </c>
      <c r="OE8" s="30">
        <f>SUM(DATA[[#This Row],[Registered Manager FTE earning less than RLW 23yrs 2022/23]:[Other staff 3 FTE earning less than RLW 23yrs 2022/23]])</f>
        <v>24</v>
      </c>
      <c r="OF8"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8"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8"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8"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8"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2.9600000000000009</v>
      </c>
      <c r="OL8"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1.7699999999999996</v>
      </c>
      <c r="OM8"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2.8899999999999988</v>
      </c>
      <c r="ON8"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8"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8"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8"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8"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8"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8" s="30">
        <f>IFERROR(IF(DATA[[#This Row],[Registered manager: Numbers employed (Full Time Equivalent)]]=0,"",DATA[[#This Row],[Registered manager: Current 2021/22 Minimum hourly pay rate ADJUSTED 2]]*DATA[[#This Row],[Registered manager: Numbers employed (Full Time Equivalent)]]),"")</f>
        <v>25.64</v>
      </c>
      <c r="OU8" s="30">
        <f>IFERROR(IF(DATA[[#This Row],[Registered manager: Numbers employed (Full Time Equivalent)]]=0,"",DATA[[#This Row],[Registered manager: Current 2021/22 Maximum hourly pay rate ADJUSTED 2]]*DATA[[#This Row],[Registered manager: Numbers employed (Full Time Equivalent)]]),"")</f>
        <v>25.64</v>
      </c>
      <c r="OV8" s="30">
        <f>IFERROR(IF(DATA[[#This Row],[Registered manager: Numbers employed (Full Time Equivalent)]]=0,"",DATA[[#This Row],[Registered manager: Previous 2020/21 Minimum hourly pay rate ADJUSTED 2]]*DATA[[#This Row],[Registered manager: Numbers employed (Full Time Equivalent)]]),"")</f>
        <v>25.64</v>
      </c>
      <c r="OW8" s="30">
        <f>IFERROR(IF(DATA[[#This Row],[Registered manager: Numbers employed (Full Time Equivalent)]]=0,"",DATA[[#This Row],[Registered manager: Previous 2020/21 Maximum hourly pay rate ADJUSTED 2]]*DATA[[#This Row],[Registered manager: Numbers employed (Full Time Equivalent)]]),"")</f>
        <v>25.64</v>
      </c>
      <c r="OX8" s="30">
        <f>IFERROR(IF(DATA[[#This Row],[Deputy manager: Numbers employed (Full Time Equivalent)]]=0,"",DATA[[#This Row],[Deputy manager: Current 2021/22 Minimum hourly pay rate ADJUSTED 2]]*DATA[[#This Row],[Deputy manager: Numbers employed (Full Time Equivalent)]]),"")</f>
        <v>20.149999999999999</v>
      </c>
      <c r="OY8" s="30">
        <f>IFERROR(IF(DATA[[#This Row],[Deputy manager: Numbers employed (Full Time Equivalent)]]=0,"",DATA[[#This Row],[Deputy manager: Current 2021/22 Maximum hourly pay rate ADJUSTED 2]]*DATA[[#This Row],[Deputy manager: Numbers employed (Full Time Equivalent)]]),"")</f>
        <v>20.149999999999999</v>
      </c>
      <c r="OZ8" s="30">
        <f>IFERROR(IF(DATA[[#This Row],[Deputy manager: Numbers employed (Full Time Equivalent)]]=0,"",DATA[[#This Row],[Deputy manager: Previous 2020/21 Minimum hourly pay rate ADJUSTED 2]]*DATA[[#This Row],[Deputy manager: Numbers employed (Full Time Equivalent)]]),"")</f>
        <v>20.149999999999999</v>
      </c>
      <c r="PA8" s="30">
        <f>IFERROR(IF(DATA[[#This Row],[Deputy manager: Numbers employed (Full Time Equivalent)]]=0,"",DATA[[#This Row],[Deputy manager: Previous 2020/21 Maximum hourly pay rate ADJUSTED 2]]*DATA[[#This Row],[Deputy manager: Numbers employed (Full Time Equivalent)]]),"")</f>
        <v>20.149999999999999</v>
      </c>
      <c r="PB8" s="30" t="str">
        <f>IFERROR(IF(DATA[[#This Row],[Other manager 1: Numbers employed (Full Time Equivalent)]]=0,"",DATA[[#This Row],[Other manager 1: Current 2021/22 Minimum hourly pay rate ADJUSTED 2]]*DATA[[#This Row],[Other manager 1: Numbers employed (Full Time Equivalent)]]),"")</f>
        <v/>
      </c>
      <c r="PC8" s="30" t="str">
        <f>IFERROR(IF(DATA[[#This Row],[Other manager 1: Numbers employed (Full Time Equivalent)]]=0,"",DATA[[#This Row],[Other manager 1: Current 2021/22 Maximum hourly pay rate ADJUSTED 2]]*DATA[[#This Row],[Other manager 1: Numbers employed (Full Time Equivalent)]]),"")</f>
        <v/>
      </c>
      <c r="PD8" s="30" t="str">
        <f>IFERROR(IF(DATA[[#This Row],[Other manager 1: Numbers employed (Full Time Equivalent)]]=0,"",DATA[[#This Row],[Other manager 1: Previous 2020/21 Minimum hourly pay rate ADJUSTED 2]]*DATA[[#This Row],[Other manager 1: Numbers employed (Full Time Equivalent)]]),"")</f>
        <v/>
      </c>
      <c r="PE8" s="30" t="str">
        <f>IFERROR(IF(DATA[[#This Row],[Other manager 1: Numbers employed (Full Time Equivalent)]]=0,"",DATA[[#This Row],[Other manager 1: Previous 2020/21 Maximum hourly pay rate ADJUSTED 2]]*DATA[[#This Row],[Other manager 1: Numbers employed (Full Time Equivalent)]]),"")</f>
        <v/>
      </c>
      <c r="PF8" s="30" t="str">
        <f>IFERROR(IF(DATA[[#This Row],[Other manager 2: Numbers employed (Full Time Equivalent)]]=0,"",DATA[[#This Row],[Other manager 2: Current 2021/22 Minimum hourly pay rate ADJUSTED 2]]*DATA[[#This Row],[Other manager 2: Numbers employed (Full Time Equivalent)]]),"")</f>
        <v/>
      </c>
      <c r="PG8" s="30" t="str">
        <f>IFERROR(IF(DATA[[#This Row],[Other manager 2: Numbers employed (Full Time Equivalent)]]=0,"",DATA[[#This Row],[Other manager 2: Current 2021/22 Maximum hourly pay rate ADJUSTED 2]]*DATA[[#This Row],[Other manager 2: Numbers employed (Full Time Equivalent)]]),"")</f>
        <v/>
      </c>
      <c r="PH8" s="30" t="str">
        <f>IFERROR(IF(DATA[[#This Row],[Other manager 2: Numbers employed (Full Time Equivalent)]]=0,"",DATA[[#This Row],[Other manager 2: Previous 2020/21 Minimum hourly pay rate ADJUSTED 2]]*DATA[[#This Row],[Other manager 2: Numbers employed (Full Time Equivalent)]]),"")</f>
        <v/>
      </c>
      <c r="PI8" s="30" t="str">
        <f>IFERROR(IF(DATA[[#This Row],[Other manager 2: Numbers employed (Full Time Equivalent)]]=0,"",DATA[[#This Row],[Other manager 2: Previous 2020/21 Maximum hourly pay rate ADJUSTED 2]]*DATA[[#This Row],[Other manager 2: Numbers employed (Full Time Equivalent)]]),"")</f>
        <v/>
      </c>
      <c r="PJ8" s="30" t="str">
        <f>IFERROR(IF(DATA[[#This Row],[Other manager 3: Numbers employed (Full Time Equivalent)]]=0,"",DATA[[#This Row],[Other manager 3: Current 2021/22 Minimum hourly pay rate ADJUSTED 2]]*DATA[[#This Row],[Other manager 3: Numbers employed (Full Time Equivalent)]]),"")</f>
        <v/>
      </c>
      <c r="PK8" s="30" t="str">
        <f>IFERROR(IF(DATA[[#This Row],[Other manager 3: Numbers employed (Full Time Equivalent)]]=0,"",DATA[[#This Row],[Other manager 3: Current 2021/22 Maximum hourly pay rate ADJUSTED 2]]*DATA[[#This Row],[Other manager 3: Numbers employed (Full Time Equivalent)]]),"")</f>
        <v/>
      </c>
      <c r="PL8" s="30" t="str">
        <f>IFERROR(IF(DATA[[#This Row],[Other manager 3: Numbers employed (Full Time Equivalent)]]=0,"",DATA[[#This Row],[Other manager 3: Previous 2020/21 Minimum hourly pay rate ADJUSTED 2]]*DATA[[#This Row],[Other manager 3: Numbers employed (Full Time Equivalent)]]),"")</f>
        <v/>
      </c>
      <c r="PM8" s="30" t="str">
        <f>IFERROR(IF(DATA[[#This Row],[Other manager 3: Numbers employed (Full Time Equivalent)]]=0,"",DATA[[#This Row],[Other manager 3: Previous 2020/21 Maximum hourly pay rate ADJUSTED 2]]*DATA[[#This Row],[Other manager 3: Numbers employed (Full Time Equivalent)]]),"")</f>
        <v/>
      </c>
      <c r="PN8" s="30">
        <f>IFERROR(IF(DATA[[#This Row],[Care Assistant 1: Numbers employed (Full Time Equivalent)]]=0,"",DATA[[#This Row],[Care Assistant 1: Current 2021/22 Minimum hourly pay rate ADJUSTED 2]]*DATA[[#This Row],[Care Assistant 1: Numbers employed (Full Time Equivalent)]]),"")</f>
        <v>36.64</v>
      </c>
      <c r="PO8" s="30">
        <f>IFERROR(IF(DATA[[#This Row],[Care Assistant 1: Numbers employed (Full Time Equivalent)]]=0,"",DATA[[#This Row],[Care Assistant 1: Current 2021/22 Maximum hourly pay rate ADJUSTED 2]]*DATA[[#This Row],[Care Assistant 1: Numbers employed (Full Time Equivalent)]]),"")</f>
        <v>36.64</v>
      </c>
      <c r="PP8" s="30">
        <f>IFERROR(IF(DATA[[#This Row],[Care Assistant 1: Numbers employed (Full Time Equivalent)]]=0,"",DATA[[#This Row],[Care Assistant 1: Previous 2020/21 Minimum hourly pay rate ADJUSTED 2]]*DATA[[#This Row],[Care Assistant 1: Numbers employed (Full Time Equivalent)]]),"")</f>
        <v>34.880000000000003</v>
      </c>
      <c r="PQ8" s="30">
        <f>IFERROR(IF(DATA[[#This Row],[Care Assistant 1: Numbers employed (Full Time Equivalent)]]=0,"",DATA[[#This Row],[Care Assistant 1: Previous 2020/21 Maximum hourly pay rate ADJUSTED 2]]*DATA[[#This Row],[Care Assistant 1: Numbers employed (Full Time Equivalent)]]),"")</f>
        <v>34.880000000000003</v>
      </c>
      <c r="PR8" s="30">
        <f>IFERROR(IF(DATA[[#This Row],[Care Assistant 2: Numbers employed (Full Time Equivalent)]]=0,"",DATA[[#This Row],[Care Assistant 2: Current 2021/22 Minimum hourly pay rate ADJUSTED 2]]*DATA[[#This Row],[Care Assistant 2: Numbers employed (Full Time Equivalent)]]),"")</f>
        <v>27.93</v>
      </c>
      <c r="PS8" s="30">
        <f>IFERROR(IF(DATA[[#This Row],[Care Assistant 2: Numbers employed (Full Time Equivalent)]]=0,"",DATA[[#This Row],[Care Assistant 2: Current 2021/22 Maximum hourly pay rate ADJUSTED 2]]*DATA[[#This Row],[Care Assistant 2: Numbers employed (Full Time Equivalent)]]),"")</f>
        <v>27.93</v>
      </c>
      <c r="PT8" s="30">
        <f>IFERROR(IF(DATA[[#This Row],[Care Assistant 2: Numbers employed (Full Time Equivalent)]]=0,"",DATA[[#This Row],[Care Assistant 2: Previous 2020/21 Minimum hourly pay rate ADJUSTED 2]]*DATA[[#This Row],[Care Assistant 2: Numbers employed (Full Time Equivalent)]]),"")</f>
        <v>26.61</v>
      </c>
      <c r="PU8" s="30">
        <f>IFERROR(IF(DATA[[#This Row],[Care Assistant 2: Numbers employed (Full Time Equivalent)]]=0,"",DATA[[#This Row],[Care Assistant 2: Previous 2020/21 Maximum hourly pay rate ADJUSTED 2]]*DATA[[#This Row],[Care Assistant 2: Numbers employed (Full Time Equivalent)]]),"")</f>
        <v>26.61</v>
      </c>
      <c r="PV8" s="30">
        <f>IFERROR(IF(DATA[[#This Row],[Care Assistant 3: Numbers employed (Full Time Equivalent)]]=0,"",DATA[[#This Row],[Care Assistant 3: Current 2021/22 Minimum hourly pay rate ADJUSTED 2]]*DATA[[#This Row],[Care Assistant 3: Numbers employed (Full Time Equivalent)]]),"")</f>
        <v>165.41</v>
      </c>
      <c r="PW8" s="30">
        <f>IFERROR(IF(DATA[[#This Row],[Care Assistant 3: Numbers employed (Full Time Equivalent)]]=0,"",DATA[[#This Row],[Care Assistant 3: Current 2021/22 Maximum hourly pay rate ADJUSTED 2]]*DATA[[#This Row],[Care Assistant 3: Numbers employed (Full Time Equivalent)]]),"")</f>
        <v>165.41</v>
      </c>
      <c r="PX8" s="30">
        <f>IFERROR(IF(DATA[[#This Row],[Care Assistant 3: Numbers employed (Full Time Equivalent)]]=0,"",DATA[[#This Row],[Care Assistant 3: Previous 2020/21 Minimum hourly pay rate ADJUSTED 2]]*DATA[[#This Row],[Care Assistant 3: Numbers employed (Full Time Equivalent)]]),"")</f>
        <v>157.92999999999998</v>
      </c>
      <c r="PY8" s="30">
        <f>IFERROR(IF(DATA[[#This Row],[Care Assistant 3: Numbers employed (Full Time Equivalent)]]=0,"",DATA[[#This Row],[Care Assistant 3: Previous 2020/21 Maximum hourly pay rate ADJUSTED 2]]*DATA[[#This Row],[Care Assistant 3: Numbers employed (Full Time Equivalent)]]),"")</f>
        <v>157.92999999999998</v>
      </c>
      <c r="PZ8" s="30" t="str">
        <f>IFERROR(IF(DATA[[#This Row],[Care Assistant 4: Numbers employed (Full Time Equivalent)]]=0,"",DATA[[#This Row],[Care Assistant 4: Current 2021/22 Minimum hourly pay rate ADJUSTED 2]]*DATA[[#This Row],[Care Assistant 4: Numbers employed (Full Time Equivalent)]]),"")</f>
        <v/>
      </c>
      <c r="QA8" s="30" t="str">
        <f>IFERROR(IF(DATA[[#This Row],[Care Assistant 4: Numbers employed (Full Time Equivalent)]]=0,"",DATA[[#This Row],[Care Assistant 4: Current 2021/22 Maximum hourly pay rate ADJUSTED 2]]*DATA[[#This Row],[Care Assistant 4: Numbers employed (Full Time Equivalent)]]),"")</f>
        <v/>
      </c>
      <c r="QB8" s="30" t="str">
        <f>IFERROR(IF(DATA[[#This Row],[Care Assistant 4: Numbers employed (Full Time Equivalent)]]=0,"",DATA[[#This Row],[Care Assistant 4: Previous 2020/21 Minimum hourly pay rate ADJUSTED 2]]*DATA[[#This Row],[Care Assistant 4: Numbers employed (Full Time Equivalent)]]),"")</f>
        <v/>
      </c>
      <c r="QC8" s="30" t="str">
        <f>IFERROR(IF(DATA[[#This Row],[Care Assistant 4: Numbers employed (Full Time Equivalent)]]=0,"",DATA[[#This Row],[Care Assistant 4: Previous 2020/21 Maximum hourly pay rate ADJUSTED 2]]*DATA[[#This Row],[Care Assistant 4: Numbers employed (Full Time Equivalent)]]),"")</f>
        <v/>
      </c>
      <c r="QD8" s="30" t="str">
        <f>IFERROR(IF(DATA[[#This Row],[Administrative Officer 1: Numbers employed (Full Time Equivalent)]]=0,"",DATA[[#This Row],[Administrative Officer 1: Current 2021/22 Minimum hourly pay rate ADJUSTED 2]]*DATA[[#This Row],[Administrative Officer 1: Numbers employed (Full Time Equivalent)]]),"")</f>
        <v/>
      </c>
      <c r="QE8" s="30" t="str">
        <f>IFERROR(IF(DATA[[#This Row],[Administrative Officer 1: Numbers employed (Full Time Equivalent)]]=0,"",DATA[[#This Row],[Administrative Officer 1: Current 2021/22 Maximum hourly pay rate ADJUSTED 2]]*DATA[[#This Row],[Administrative Officer 1: Numbers employed (Full Time Equivalent)]]),"")</f>
        <v/>
      </c>
      <c r="QF8" s="30" t="str">
        <f>IFERROR(IF(DATA[[#This Row],[Administrative Officer 1: Numbers employed (Full Time Equivalent)]]=0,"",DATA[[#This Row],[Administrative Officer 1: Previous 2020/21 Minimum hourly pay rate ADJUSTED 2]]*DATA[[#This Row],[Administrative Officer 1: Numbers employed (Full Time Equivalent)]]),"")</f>
        <v/>
      </c>
      <c r="QG8" s="30" t="str">
        <f>IFERROR(IF(DATA[[#This Row],[Administrative Officer 1: Numbers employed (Full Time Equivalent)]]=0,"",DATA[[#This Row],[Administrative Officer 1: Previous 2020/21 Maximum hourly pay rate ADJUSTED 2]]*DATA[[#This Row],[Administrative Officer 1: Numbers employed (Full Time Equivalent)]]),"")</f>
        <v/>
      </c>
      <c r="QH8" s="30" t="str">
        <f>IFERROR(IF(DATA[[#This Row],[Administrative Officer 2: Numbers employed (Full Time Equivalent)]]=0,"",DATA[[#This Row],[Administrative Officer 2: Current 2021/22 Minimum hourly pay rate ADJUSTED 2]]*DATA[[#This Row],[Administrative Officer 2: Numbers employed (Full Time Equivalent)]]),"")</f>
        <v/>
      </c>
      <c r="QI8" s="30" t="str">
        <f>IFERROR(IF(DATA[[#This Row],[Administrative Officer 2: Numbers employed (Full Time Equivalent)]]=0,"",DATA[[#This Row],[Administrative Officer 2: Current 2021/22 Maximum hourly pay rate ADJUSTED 2]]*DATA[[#This Row],[Administrative Officer 2: Numbers employed (Full Time Equivalent)]]),"")</f>
        <v/>
      </c>
      <c r="QJ8" s="30" t="str">
        <f>IFERROR(IF(DATA[[#This Row],[Administrative Officer 2: Numbers employed (Full Time Equivalent)]]=0,"",DATA[[#This Row],[Administrative Officer 2: Previous 2020/21 Minimum hourly pay rate ADJUSTED 2]]*DATA[[#This Row],[Administrative Officer 2: Numbers employed (Full Time Equivalent)]]),"")</f>
        <v/>
      </c>
      <c r="QK8" s="30" t="str">
        <f>IFERROR(IF(DATA[[#This Row],[Administrative Officer 2: Numbers employed (Full Time Equivalent)]]=0,"",DATA[[#This Row],[Administrative Officer 2: Previous 2020/21 Maximum hourly pay rate ADJUSTED 2]]*DATA[[#This Row],[Administrative Officer 2: Numbers employed (Full Time Equivalent)]]),"")</f>
        <v/>
      </c>
      <c r="QL8" s="30" t="str">
        <f>IFERROR(IF(DATA[[#This Row],[Administrative Officer 3: Numbers employed (Full Time Equivalent)]]=0,"",DATA[[#This Row],[Administrative Officer 3: Current 2021/22 Minimum hourly pay rate ADJUSTED 2]]*DATA[[#This Row],[Administrative Officer 3: Numbers employed (Full Time Equivalent)]]),"")</f>
        <v/>
      </c>
      <c r="QM8" s="30" t="str">
        <f>IFERROR(IF(DATA[[#This Row],[Administrative Officer 3: Numbers employed (Full Time Equivalent)]]=0,"",DATA[[#This Row],[Administrative Officer 3: Current 2021/22 Maximum hourly pay rate ADJUSTED 2]]*DATA[[#This Row],[Administrative Officer 3: Numbers employed (Full Time Equivalent)]]),"")</f>
        <v/>
      </c>
      <c r="QN8" s="30" t="str">
        <f>IFERROR(IF(DATA[[#This Row],[Administrative Officer 3: Numbers employed (Full Time Equivalent)]]=0,"",DATA[[#This Row],[Administrative Officer 3: Previous 2020/21 Minimum hourly pay rate ADJUSTED 2]]*DATA[[#This Row],[Administrative Officer 3: Numbers employed (Full Time Equivalent)]]),"")</f>
        <v/>
      </c>
      <c r="QO8" s="30" t="str">
        <f>IFERROR(IF(DATA[[#This Row],[Administrative Officer 3: Numbers employed (Full Time Equivalent)]]=0,"",DATA[[#This Row],[Administrative Officer 3: Previous 2020/21 Maximum hourly pay rate ADJUSTED 2]]*DATA[[#This Row],[Administrative Officer 3: Numbers employed (Full Time Equivalent)]]),"")</f>
        <v/>
      </c>
      <c r="QP8" s="28" t="str">
        <f>IFERROR(IF(DATA[[#This Row],[Other staff 1: Numbers employed (Full Time Equivalent)]]=0,"",DATA[[#This Row],[Other staff 1: Current 2021/22 Minimum hourly pay rate ADJUSTED 2]]*DATA[[#This Row],[Other staff 1: Numbers employed (Full Time Equivalent)]]),"")</f>
        <v/>
      </c>
      <c r="QQ8" s="28" t="str">
        <f>IFERROR(IF(DATA[[#This Row],[Other staff 1: Numbers employed (Full Time Equivalent)]]=0,"",DATA[[#This Row],[Other staff 1: Current 2021/22 Maximum hourly pay rate ADJUSTED 2]]*DATA[[#This Row],[Other staff 1: Numbers employed (Full Time Equivalent)]]),"")</f>
        <v/>
      </c>
      <c r="QR8" s="28" t="str">
        <f>IFERROR(IF(DATA[[#This Row],[Other staff 1: Numbers employed (Full Time Equivalent)]]=0,"",DATA[[#This Row],[Other staff 1: Previous 2020/21 Minimum hourly pay rate ADJUSTED 2]]*DATA[[#This Row],[Other staff 1: Numbers employed (Full Time Equivalent)]]),"")</f>
        <v/>
      </c>
      <c r="QS8" s="28" t="str">
        <f>IFERROR(IF(DATA[[#This Row],[Other staff 1: Numbers employed (Full Time Equivalent)]]=0,"",DATA[[#This Row],[Other staff 1: Previous 2020/21 Maximum hourly pay rate ADJUSTED 2]]*DATA[[#This Row],[Other staff 1: Numbers employed (Full Time Equivalent)]]),"")</f>
        <v/>
      </c>
      <c r="QT8" s="28" t="str">
        <f>IFERROR(IF(DATA[[#This Row],[Other staff 2: Numbers employed (Full Time Equivalent)]]=0,"",DATA[[#This Row],[Other staff 2: Current 2021/22 Minimum hourly pay rate ADJUSTED 2]]*DATA[[#This Row],[Other staff 2: Numbers employed (Full Time Equivalent)]]),"")</f>
        <v/>
      </c>
      <c r="QU8" s="28" t="str">
        <f>IFERROR(IF(DATA[[#This Row],[Other staff 2: Numbers employed (Full Time Equivalent)]]=0,"",DATA[[#This Row],[Other staff 2: Current 2021/22 Maximum hourly pay rate ADJUSTED 2]]*DATA[[#This Row],[Other staff 2: Numbers employed (Full Time Equivalent)]]),"")</f>
        <v/>
      </c>
      <c r="QV8" s="28" t="str">
        <f>IFERROR(IF(DATA[[#This Row],[Other staff 2: Numbers employed (Full Time Equivalent)]]=0,"",DATA[[#This Row],[Other staff 2: Previous 2020/21 Minimum hourly pay rate ADJUSTED 2]]*DATA[[#This Row],[Other staff 2: Numbers employed (Full Time Equivalent)]]),"")</f>
        <v/>
      </c>
      <c r="QW8" s="28" t="str">
        <f>IFERROR(IF(DATA[[#This Row],[Other staff 2: Numbers employed (Full Time Equivalent)]]=0,"",DATA[[#This Row],[Other staff 2: Previous 2020/21 Maximum hourly pay rate ADJUSTED 2]]*DATA[[#This Row],[Other staff 2: Numbers employed (Full Time Equivalent)]]),"")</f>
        <v/>
      </c>
      <c r="QX8" s="28" t="str">
        <f>IFERROR(IF(DATA[[#This Row],[Other staff 3: Numbers employed (Full Time Equivalent)]]=0,"",DATA[[#This Row],[Other staff 3: Current 2021/22 Minimum hourly pay rate ADJUSTED 2]]*DATA[[#This Row],[Other staff 3: Numbers employed (Full Time Equivalent)]]),"")</f>
        <v/>
      </c>
      <c r="QY8" s="28" t="str">
        <f>IFERROR(IF(DATA[[#This Row],[Other staff 3: Numbers employed (Full Time Equivalent)]]=0,"",DATA[[#This Row],[Other staff 3: Current 2021/22 Maximum hourly pay rate ADJUSTED 2]]*DATA[[#This Row],[Other staff 3: Numbers employed (Full Time Equivalent)]]),"")</f>
        <v/>
      </c>
      <c r="QZ8" s="28" t="str">
        <f>IFERROR(IF(DATA[[#This Row],[Other staff 3: Numbers employed (Full Time Equivalent)]]=0,"",DATA[[#This Row],[Other staff 3: Previous 2020/21 Minimum hourly pay rate ADJUSTED 2]]*DATA[[#This Row],[Other staff 3: Numbers employed (Full Time Equivalent)]]),"")</f>
        <v/>
      </c>
      <c r="RA8" s="28" t="str">
        <f>IFERROR(IF(DATA[[#This Row],[Other staff 3: Numbers employed (Full Time Equivalent)]]=0,"",DATA[[#This Row],[Other staff 3: Previous 2020/21 Maximum hourly pay rate ADJUSTED 2]]*DATA[[#This Row],[Other staff 3: Numbers employed (Full Time Equivalent)]]),"")</f>
        <v/>
      </c>
      <c r="RB8"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8"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8"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8"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8"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8"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4</v>
      </c>
      <c r="RH8"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3</v>
      </c>
      <c r="RI8"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17</v>
      </c>
      <c r="RJ8"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8"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8"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8"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8"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8"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8"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9" spans="1:484" x14ac:dyDescent="0.25">
      <c r="G9" s="2">
        <v>3</v>
      </c>
      <c r="I9" s="2">
        <v>17</v>
      </c>
      <c r="K9" s="2">
        <v>1</v>
      </c>
      <c r="L9" s="2" t="s">
        <v>323</v>
      </c>
      <c r="M9" s="2" t="s">
        <v>323</v>
      </c>
      <c r="R9" s="2">
        <v>18.73</v>
      </c>
      <c r="S9" s="2">
        <v>18.73</v>
      </c>
      <c r="T9" s="2">
        <v>18</v>
      </c>
      <c r="U9" s="2">
        <v>18</v>
      </c>
      <c r="V9" s="2">
        <v>1</v>
      </c>
      <c r="W9" s="2">
        <v>10.3</v>
      </c>
      <c r="X9" s="2">
        <v>10.3</v>
      </c>
      <c r="Y9" s="2">
        <v>9.75</v>
      </c>
      <c r="Z9" s="2">
        <v>9.75</v>
      </c>
      <c r="AA9" s="2">
        <v>3</v>
      </c>
      <c r="AB9" s="2" t="s">
        <v>331</v>
      </c>
      <c r="AC9" s="2">
        <v>9.4</v>
      </c>
      <c r="AD9" s="2">
        <v>9.4</v>
      </c>
      <c r="AE9" s="2">
        <v>9.15</v>
      </c>
      <c r="AF9" s="2">
        <v>0</v>
      </c>
      <c r="AG9" s="2">
        <v>1</v>
      </c>
      <c r="AH9" s="2" t="s">
        <v>315</v>
      </c>
      <c r="AI9" s="2">
        <v>0</v>
      </c>
      <c r="AJ9" s="2">
        <v>0</v>
      </c>
      <c r="AK9" s="2">
        <v>0</v>
      </c>
      <c r="AL9" s="2">
        <v>0</v>
      </c>
      <c r="AM9" s="2">
        <v>0</v>
      </c>
      <c r="AN9" s="2" t="s">
        <v>315</v>
      </c>
      <c r="AO9" s="2">
        <v>0</v>
      </c>
      <c r="AP9" s="2">
        <v>0</v>
      </c>
      <c r="AQ9" s="2">
        <v>0</v>
      </c>
      <c r="AR9" s="2">
        <v>0</v>
      </c>
      <c r="AS9" s="2">
        <v>0</v>
      </c>
      <c r="AT9" s="2" t="s">
        <v>316</v>
      </c>
      <c r="AU9" s="2">
        <v>9</v>
      </c>
      <c r="AV9" s="2">
        <v>9</v>
      </c>
      <c r="AW9" s="2">
        <v>8.81</v>
      </c>
      <c r="AX9" s="2">
        <v>8.81</v>
      </c>
      <c r="AY9" s="2">
        <v>13</v>
      </c>
      <c r="AZ9" s="2" t="s">
        <v>332</v>
      </c>
      <c r="BA9" s="2">
        <v>9.1999999999999993</v>
      </c>
      <c r="BB9" s="2">
        <v>9.1999999999999993</v>
      </c>
      <c r="BC9" s="2">
        <v>0</v>
      </c>
      <c r="BD9" s="2">
        <v>0</v>
      </c>
      <c r="BE9" s="2">
        <v>4</v>
      </c>
      <c r="BF9" s="2" t="s">
        <v>316</v>
      </c>
      <c r="BG9" s="2">
        <v>0</v>
      </c>
      <c r="BH9" s="2">
        <v>0</v>
      </c>
      <c r="BI9" s="2">
        <v>0</v>
      </c>
      <c r="BJ9" s="2">
        <v>0</v>
      </c>
      <c r="BK9" s="2">
        <v>0</v>
      </c>
      <c r="BL9" s="2" t="s">
        <v>316</v>
      </c>
      <c r="BM9" s="2">
        <v>0</v>
      </c>
      <c r="BN9" s="2">
        <v>0</v>
      </c>
      <c r="BO9" s="2">
        <v>0</v>
      </c>
      <c r="BP9" s="2">
        <v>0</v>
      </c>
      <c r="BQ9" s="2">
        <v>0</v>
      </c>
      <c r="BR9" s="2" t="s">
        <v>58</v>
      </c>
      <c r="BS9" s="2">
        <v>17</v>
      </c>
      <c r="BT9" s="2">
        <v>17</v>
      </c>
      <c r="BU9" s="2">
        <v>16.2</v>
      </c>
      <c r="BV9" s="2">
        <v>16.2</v>
      </c>
      <c r="BW9" s="2">
        <v>1</v>
      </c>
      <c r="BX9" s="2" t="s">
        <v>317</v>
      </c>
      <c r="BY9" s="2">
        <v>0</v>
      </c>
      <c r="BZ9" s="2">
        <v>0</v>
      </c>
      <c r="CA9" s="2">
        <v>0</v>
      </c>
      <c r="CB9" s="2">
        <v>0</v>
      </c>
      <c r="CC9" s="2">
        <v>0</v>
      </c>
      <c r="CD9" s="2" t="s">
        <v>317</v>
      </c>
      <c r="CE9" s="2">
        <v>0</v>
      </c>
      <c r="CF9" s="2">
        <v>0</v>
      </c>
      <c r="CG9" s="2">
        <v>0</v>
      </c>
      <c r="CH9" s="2">
        <v>0</v>
      </c>
      <c r="CI9" s="2">
        <v>0</v>
      </c>
      <c r="CJ9" s="2" t="s">
        <v>318</v>
      </c>
      <c r="CK9" s="2">
        <v>0</v>
      </c>
      <c r="CL9" s="2">
        <v>0</v>
      </c>
      <c r="CM9" s="2">
        <v>0</v>
      </c>
      <c r="CN9" s="2">
        <v>0</v>
      </c>
      <c r="CO9" s="2">
        <v>0</v>
      </c>
      <c r="CP9" s="2" t="s">
        <v>318</v>
      </c>
      <c r="CQ9" s="2">
        <v>0</v>
      </c>
      <c r="CR9" s="2">
        <v>0</v>
      </c>
      <c r="CS9" s="2">
        <v>0</v>
      </c>
      <c r="CT9" s="2">
        <v>0</v>
      </c>
      <c r="CU9" s="2">
        <v>0</v>
      </c>
      <c r="CV9" s="2" t="s">
        <v>318</v>
      </c>
      <c r="CW9" s="2">
        <v>0</v>
      </c>
      <c r="CX9" s="2">
        <v>0</v>
      </c>
      <c r="CY9" s="2">
        <v>0</v>
      </c>
      <c r="CZ9" s="2">
        <v>0</v>
      </c>
      <c r="DA9" s="2">
        <v>0</v>
      </c>
      <c r="DB9" s="2">
        <v>0.03</v>
      </c>
      <c r="DC9" s="2">
        <v>0</v>
      </c>
      <c r="DD9" s="2">
        <v>0</v>
      </c>
      <c r="DE9" s="2">
        <v>0</v>
      </c>
      <c r="DF9" s="2">
        <v>0</v>
      </c>
      <c r="DG9" s="2">
        <v>0</v>
      </c>
      <c r="DH9" s="2">
        <v>0</v>
      </c>
      <c r="DI9" s="2">
        <v>362</v>
      </c>
      <c r="DJ9" s="2">
        <v>0</v>
      </c>
      <c r="DK9" s="2">
        <v>201</v>
      </c>
      <c r="DL9" s="2">
        <v>89</v>
      </c>
      <c r="DM9" s="2">
        <v>0</v>
      </c>
      <c r="DN9" s="2">
        <v>0</v>
      </c>
      <c r="DO9" s="2">
        <v>0</v>
      </c>
      <c r="DP9" s="2">
        <v>0</v>
      </c>
      <c r="DQ9" s="2">
        <v>15.27</v>
      </c>
      <c r="DR9" s="18">
        <v>43831</v>
      </c>
      <c r="DS9" s="18">
        <v>44196</v>
      </c>
      <c r="DT9" s="2">
        <v>0</v>
      </c>
      <c r="DU9" s="2">
        <v>25583</v>
      </c>
      <c r="DV9" s="2">
        <v>423809</v>
      </c>
      <c r="DW9" s="2">
        <v>35221</v>
      </c>
      <c r="DX9" s="2">
        <v>0</v>
      </c>
      <c r="DY9" s="2">
        <v>3816</v>
      </c>
      <c r="DZ9" s="2">
        <v>0</v>
      </c>
      <c r="EA9" s="2">
        <v>0</v>
      </c>
      <c r="EB9" s="2">
        <v>677</v>
      </c>
      <c r="EC9" s="2">
        <v>378</v>
      </c>
      <c r="ED9" s="2">
        <v>0</v>
      </c>
      <c r="EE9" s="2">
        <v>10841</v>
      </c>
      <c r="EF9" s="2">
        <v>0</v>
      </c>
      <c r="EG9" s="2">
        <v>0</v>
      </c>
      <c r="EH9" s="2" t="s">
        <v>333</v>
      </c>
      <c r="EI9" s="2">
        <v>9219</v>
      </c>
      <c r="EJ9" s="2" t="s">
        <v>324</v>
      </c>
      <c r="EK9" s="2">
        <v>0</v>
      </c>
      <c r="EL9" s="2">
        <v>20647</v>
      </c>
      <c r="EM9" s="2">
        <v>5776</v>
      </c>
      <c r="EN9" s="2">
        <v>20814</v>
      </c>
      <c r="EO9" s="2">
        <v>24573</v>
      </c>
      <c r="EP9" s="2">
        <v>0</v>
      </c>
      <c r="EQ9" s="2">
        <v>0</v>
      </c>
      <c r="ER9" s="2">
        <v>5768</v>
      </c>
      <c r="ES9" s="2">
        <v>7782</v>
      </c>
      <c r="ET9" s="2" t="s">
        <v>324</v>
      </c>
      <c r="EU9" s="2">
        <v>0</v>
      </c>
      <c r="EV9" s="2" t="s">
        <v>324</v>
      </c>
      <c r="EW9" s="2">
        <v>0</v>
      </c>
      <c r="EX9" s="2">
        <v>0</v>
      </c>
      <c r="EY9" s="2">
        <v>19472</v>
      </c>
      <c r="EZ9" s="2" t="s">
        <v>326</v>
      </c>
      <c r="FA9" s="2">
        <v>39529</v>
      </c>
      <c r="FB9" s="2" t="s">
        <v>326</v>
      </c>
      <c r="FC9" s="2">
        <v>0</v>
      </c>
      <c r="FD9" s="2">
        <v>115007</v>
      </c>
      <c r="FE9" s="2">
        <v>0</v>
      </c>
      <c r="FF9" s="2">
        <v>1066607</v>
      </c>
      <c r="FG9" s="2"/>
      <c r="FH9" s="19">
        <v>44480.623310185183</v>
      </c>
      <c r="FI9" s="2" t="s">
        <v>345</v>
      </c>
      <c r="FJ9" s="2">
        <f>SUM(DATA[[#This Row],[Number of Home support clients:]],DATA[[#This Row],[Number of supported living clients:]])</f>
        <v>17</v>
      </c>
      <c r="FK9"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9"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18.73</v>
      </c>
      <c r="FM9"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18.73</v>
      </c>
      <c r="FN9"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18</v>
      </c>
      <c r="FO9"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18</v>
      </c>
      <c r="FP9"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10.3</v>
      </c>
      <c r="FQ9"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10.3</v>
      </c>
      <c r="FR9"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9.75</v>
      </c>
      <c r="FS9"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9.75</v>
      </c>
      <c r="FT9"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9.4</v>
      </c>
      <c r="FU9"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9.4</v>
      </c>
      <c r="FV9"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9.15</v>
      </c>
      <c r="FW9"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9.15</v>
      </c>
      <c r="FX9"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9"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9"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9"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9"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9"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9"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9"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9"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v>
      </c>
      <c r="GG9"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v>
      </c>
      <c r="GH9"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8.81</v>
      </c>
      <c r="GI9"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8.81</v>
      </c>
      <c r="GJ9"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9.1999999999999993</v>
      </c>
      <c r="GK9"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9.1999999999999993</v>
      </c>
      <c r="GL9"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9"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9"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9"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9"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9"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9"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9"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9"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9"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9"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17</v>
      </c>
      <c r="GW9"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17</v>
      </c>
      <c r="GX9"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16.2</v>
      </c>
      <c r="GY9"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16.2</v>
      </c>
      <c r="GZ9"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9"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9"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9"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9"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9"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9"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9"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9"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9"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9"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9"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9"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9"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9"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9"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9"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9"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9"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9"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9"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18.73</v>
      </c>
      <c r="HU9"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18.73</v>
      </c>
      <c r="HV9"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18</v>
      </c>
      <c r="HW9"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18</v>
      </c>
      <c r="HX9"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10.3</v>
      </c>
      <c r="HY9"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10.3</v>
      </c>
      <c r="HZ9"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9.75</v>
      </c>
      <c r="IA9"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9.75</v>
      </c>
      <c r="IB9"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9.4</v>
      </c>
      <c r="IC9"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9.4</v>
      </c>
      <c r="ID9"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9.15</v>
      </c>
      <c r="IE9"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9.15</v>
      </c>
      <c r="IF9"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9"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9"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9"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9"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9"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9"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9"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9"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v>
      </c>
      <c r="IO9"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v>
      </c>
      <c r="IP9"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8.81</v>
      </c>
      <c r="IQ9"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8.81</v>
      </c>
      <c r="IR9"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9.1999999999999993</v>
      </c>
      <c r="IS9"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9.1999999999999993</v>
      </c>
      <c r="IT9"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9.1999999999999993</v>
      </c>
      <c r="IU9"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9.1999999999999993</v>
      </c>
      <c r="IV9"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9"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9"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9"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9"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9"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9"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9"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9"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17</v>
      </c>
      <c r="JE9"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17</v>
      </c>
      <c r="JF9"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16.2</v>
      </c>
      <c r="JG9"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16.2</v>
      </c>
      <c r="JH9"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9"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9"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9"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9"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9"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9"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9"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9"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9"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9"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9"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9"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9"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9"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9"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9"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9"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9"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9"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9"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5</v>
      </c>
      <c r="KC9" s="21">
        <f>SUM(DATA[[#This Row],[Care Assistant 1: Numbers employed (Full Time Equivalent)]],DATA[[#This Row],[Care Assistant 2: Numbers employed (Full Time Equivalent)]],DATA[[#This Row],[Care Assistant 3: Numbers employed (Full Time Equivalent)]],DATA[[#This Row],[Care Assistant 4: Numbers employed (Full Time Equivalent)]])</f>
        <v>17</v>
      </c>
      <c r="KD9" s="21">
        <f>SUM(DATA[[#This Row],[Administrative Officer 1: Numbers employed (Full Time Equivalent)]],DATA[[#This Row],[Administrative Officer 2: Numbers employed (Full Time Equivalent)]])</f>
        <v>1</v>
      </c>
      <c r="KE9" s="21">
        <f>SUM(DATA[[#This Row],[Other staff 1: Numbers employed (Full Time Equivalent)]],DATA[[#This Row],[Other staff 2: Numbers employed (Full Time Equivalent)]],DATA[[#This Row],[Other staff 3: Numbers employed (Full Time Equivalent)]])</f>
        <v>0</v>
      </c>
      <c r="KF9" s="21">
        <f>SUM(DATA[[#This Row],[Total FTE Management Employees]:[Total FTE Other Employees]])</f>
        <v>23</v>
      </c>
      <c r="KG9" s="21" t="str">
        <f>IF(SUM(DATA[[#This Row],[Home Support service split percentage (Expenditure):]],DATA[[#This Row],[Supported Living service split percentage (Expenditure):]])&gt;0, IF(DATA[[#This Row],[Home Support service split percentage (Expenditure):]]&gt;0.5,"Home Support","Supported Living"), "Unknown")</f>
        <v>Supported Living</v>
      </c>
      <c r="KH9" s="21">
        <f>SUM(DATA[[#This Row],[Home Support: Birmingham City Council]:[Home Support: Self-funded]])</f>
        <v>0</v>
      </c>
      <c r="KI9" s="21">
        <f>SUM(DATA[[#This Row],[Supported Living: Birmingham City Council]:[Supported Living: Self-funded]])</f>
        <v>652</v>
      </c>
      <c r="KJ9"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9"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9"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9"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9" s="21" t="b">
        <f>SUM(DATA[[#This Row],[Number of hours of care charged for in last full accounting year]:[Corporate Overheads: Other  - please specify (category) 1]])&gt;0</f>
        <v>1</v>
      </c>
      <c r="KO9" s="21">
        <f>SUM(DATA[[#This Row],[Total annual expenditure: Management staff]:[Total annual expenditure: Training and development]])</f>
        <v>489106</v>
      </c>
      <c r="KP9" s="21">
        <f>SUM(DATA[[#This Row],[Recruitment &amp; advertising (including DBS checks)]:[Non-Staffing Direct Cost: Other  - please specify (amount) 2]])</f>
        <v>20438</v>
      </c>
      <c r="KQ9" s="21">
        <f>SUM(DATA[[#This Row],[Insurance ]:[Indirect costs: Other 2 - please specify (amount)]])</f>
        <v>85360</v>
      </c>
      <c r="KR9" s="21">
        <f>SUM(DATA[[#This Row],[Central / Regional Management]],DATA[[#This Row],[Support Services (finance / HR / Payroll / legal etc.)]],DATA[[#This Row],[Corporate Overheads: Other  - please specify (amount) 1]],DATA[[#This Row],[Corporate Overheads: Other  - please specify (amount) 2]])</f>
        <v>59001</v>
      </c>
      <c r="KS9"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9"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9"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9"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9"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9"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9"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9"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9"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9"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9" s="30">
        <f>IF(OR(NOT(DATA[[#This Row],[Care consumables &amp; uniforms]]&gt;0),NOT(DATA[[#This Row],[Number of hours of care charged for in last full accounting year]]&gt;0)),0,DATA[[#This Row],[Care consumables &amp; uniforms]]/DATA[[#This Row],[Number of hours of care charged for in last full accounting year]])</f>
        <v>0</v>
      </c>
      <c r="LD9" s="30">
        <f>IF(OR(NOT(DATA[[#This Row],[Electronic call monitoring]]&gt;0),NOT(DATA[[#This Row],[Number of hours of care charged for in last full accounting year]]&gt;0)),0,DATA[[#This Row],[Electronic call monitoring]]/DATA[[#This Row],[Number of hours of care charged for in last full accounting year]])</f>
        <v>0</v>
      </c>
      <c r="LE9" s="30">
        <f>IF(OR(NOT(DATA[[#This Row],[IT Equipment &amp; Telephoney]]&gt;0),NOT(DATA[[#This Row],[Number of hours of care charged for in last full accounting year]]&gt;0)),0,DATA[[#This Row],[IT Equipment &amp; Telephoney]]/DATA[[#This Row],[Number of hours of care charged for in last full accounting year]])</f>
        <v>0</v>
      </c>
      <c r="LF9"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9"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9" s="30">
        <f>IF(OR(NOT(DATA[[#This Row],[Insurance ]]&gt;0),NOT(DATA[[#This Row],[Number of hours of care charged for in last full accounting year]]&gt;0)),0,DATA[[#This Row],[Insurance ]]/DATA[[#This Row],[Number of hours of care charged for in last full accounting year]])</f>
        <v>0</v>
      </c>
      <c r="LI9"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9" s="30">
        <f>IF(OR(NOT(DATA[[#This Row],[Repairs and maintenance]]&gt;0),NOT(DATA[[#This Row],[Number of hours of care charged for in last full accounting year]]&gt;0)),0,DATA[[#This Row],[Repairs and maintenance]]/DATA[[#This Row],[Number of hours of care charged for in last full accounting year]])</f>
        <v>0</v>
      </c>
      <c r="LK9"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9" s="30">
        <f>IF(OR(NOT(DATA[[#This Row],[Registration &amp; Inspection fees ]]&gt;0),NOT(DATA[[#This Row],[Number of hours of care charged for in last full accounting year]]&gt;0)),0,DATA[[#This Row],[Registration &amp; Inspection fees ]]/DATA[[#This Row],[Number of hours of care charged for in last full accounting year]])</f>
        <v>0</v>
      </c>
      <c r="LM9" s="30">
        <f>IF(OR(NOT(DATA[[#This Row],[Subscriptions]]&gt;0),NOT(DATA[[#This Row],[Number of hours of care charged for in last full accounting year]]&gt;0)),0,DATA[[#This Row],[Subscriptions]]/DATA[[#This Row],[Number of hours of care charged for in last full accounting year]])</f>
        <v>0</v>
      </c>
      <c r="LN9" s="30">
        <f>IF(OR(NOT(DATA[[#This Row],[Cost of finance]]&gt;0),NOT(DATA[[#This Row],[Number of hours of care charged for in last full accounting year]]&gt;0)),0,DATA[[#This Row],[Cost of finance]]/DATA[[#This Row],[Number of hours of care charged for in last full accounting year]])</f>
        <v>0</v>
      </c>
      <c r="LO9" s="30">
        <f>IF(OR(NOT(DATA[[#This Row],[Other non-staff current expenses]]&gt;0),NOT(DATA[[#This Row],[Number of hours of care charged for in last full accounting year]]&gt;0)),0,DATA[[#This Row],[Other non-staff current expenses]]/DATA[[#This Row],[Number of hours of care charged for in last full accounting year]])</f>
        <v>0</v>
      </c>
      <c r="LP9"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9"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9" s="30">
        <f>IF(OR(NOT(DATA[[#This Row],[Central / Regional Management]]&gt;0),NOT(DATA[[#This Row],[Number of hours of care charged for in last full accounting year]]&gt;0)),0,DATA[[#This Row],[Central / Regional Management]]/DATA[[#This Row],[Number of hours of care charged for in last full accounting year]])</f>
        <v>0</v>
      </c>
      <c r="LS9"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9"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9"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9" s="30">
        <f>SUM(DATA[[#This Row],[Management staff HOURLY RATE]:[Corporate Overheads: Other  - please specify (amount) 2 HOURLY RATE]])</f>
        <v>0</v>
      </c>
      <c r="LW9" s="30" t="str">
        <f>IF(OR(NOT(DATA[[#This Row],[Net Operating Profit]]&gt;0),NOT(DATA[[#This Row],[Number of hours of care charged for in last full accounting year]]&gt;0)),"",DATA[[#This Row],[Net Operating Profit]]/DATA[[#This Row],[Number of hours of care charged for in last full accounting year]])</f>
        <v/>
      </c>
      <c r="LX9" s="30">
        <f>IF(OR(NOT(DATA[[#This Row],[Return on Capital employed]]&gt;0),NOT(DATA[[#This Row],[Number of hours of care charged for in last full accounting year]]&gt;0)),0,DATA[[#This Row],[Return on Capital employed]]/DATA[[#This Row],[Number of hours of care charged for in last full accounting year]])</f>
        <v>0</v>
      </c>
      <c r="LY9" s="31">
        <v>3</v>
      </c>
      <c r="LZ9" s="30" t="s">
        <v>345</v>
      </c>
      <c r="MA9" s="30" t="b">
        <f>DATA[[#This Row],[Number of Home support clients:]]&gt;0</f>
        <v>0</v>
      </c>
      <c r="MB9" s="30" t="b">
        <f>DATA[[#This Row],[Number of supported living clients:]]&gt;0</f>
        <v>1</v>
      </c>
      <c r="MC9" s="30" t="b">
        <f>DATA[[#This Row],[Total Home Support Hours]]&gt;0</f>
        <v>0</v>
      </c>
      <c r="MD9" s="30" t="b">
        <f>DATA[[#This Row],[Total Supported Living Hours]]&gt;0</f>
        <v>1</v>
      </c>
      <c r="ME9" s="30" t="b">
        <f>DATA[[#This Row],[Home Support service split percentage (Expenditure):]]&gt;0.5</f>
        <v>0</v>
      </c>
      <c r="MF9" s="30" t="b">
        <f>DATA[[#This Row],[Agency staff HOURLY RATE]]=0</f>
        <v>1</v>
      </c>
      <c r="MG9" s="30">
        <f>IFERROR(IF(AVERAGE(DATA[[#This Row],[Registered manager: Current 2021/22 Minimum hourly pay rate ADJUSTED]],DATA[[#This Row],[Registered manager: Current 2021/22 Maximum hourly pay rate ADJUSTED]])&lt;LIVING_WAGE_22_23,DATA[[#This Row],[Registered manager: Numbers employed (Full Time Equivalent)]],0),"")</f>
        <v>0</v>
      </c>
      <c r="MH9" s="30">
        <f>IFERROR(IF(AVERAGE(DATA[[#This Row],[Deputy manager: Current 2021/22 Minimum hourly pay rate ADJUSTED]],DATA[[#This Row],[Deputy manager: Current 2021/22 Maximum hourly pay rate ADJUSTED]])&lt;LIVING_WAGE_22_23,DATA[[#This Row],[Deputy manager: Numbers employed (Full Time Equivalent)]],0),"")</f>
        <v>0</v>
      </c>
      <c r="MI9" s="30">
        <f>IFERROR(IF(AVERAGE(DATA[[#This Row],[Other manager 1: Current 2021/22 Minimum hourly pay rate ADJUSTED]],DATA[[#This Row],[Other manager 1: Current 2021/22 Maximum hourly pay rate ADJUSTED]])&lt;LIVING_WAGE_22_23,DATA[[#This Row],[Other manager 1: Numbers employed (Full Time Equivalent)]],0),"")</f>
        <v>1</v>
      </c>
      <c r="MJ9" s="30" t="str">
        <f>IFERROR(IF(AVERAGE(DATA[[#This Row],[Other manager 2: Current 2021/22 Minimum hourly pay rate ADJUSTED]],DATA[[#This Row],[Other manager 2: Current 2021/22 Maximum hourly pay rate ADJUSTED]])&lt;LIVING_WAGE_22_23,DATA[[#This Row],[Other manager 2: Numbers employed (Full Time Equivalent)]],0),"")</f>
        <v/>
      </c>
      <c r="MK9" s="30" t="str">
        <f>IFERROR(IF(AVERAGE(DATA[[#This Row],[Other manager 3: Current 2021/22 Minimum hourly pay rate ADJUSTED]],DATA[[#This Row],[Other manager 3: Current 2021/22 Maximum hourly pay rate ADJUSTED]])&lt;LIVING_WAGE_22_23,DATA[[#This Row],[Other manager 3: Numbers employed (Full Time Equivalent)]],0),"")</f>
        <v/>
      </c>
      <c r="ML9" s="30">
        <f>IFERROR(IF(AVERAGE(DATA[[#This Row],[Care Assistant 1: Current 2021/22 Minimum hourly pay rate ADJUSTED]],DATA[[#This Row],[Care Assistant 1: Current 2021/22 Maximum hourly pay rate ADJUSTED]])&lt;LIVING_WAGE_22_23,DATA[[#This Row],[Care Assistant 1: Numbers employed (Full Time Equivalent)]],0),"")</f>
        <v>13</v>
      </c>
      <c r="MM9" s="30">
        <f>IFERROR(IF(AVERAGE(DATA[[#This Row],[Care Assistant 2: Current 2021/22 Minimum hourly pay rate ADJUSTED]],DATA[[#This Row],[Care Assistant 2: Current 2021/22 Maximum hourly pay rate ADJUSTED]])&lt;LIVING_WAGE_22_23,DATA[[#This Row],[Care Assistant 2: Numbers employed (Full Time Equivalent)]],0),"")</f>
        <v>4</v>
      </c>
      <c r="MN9" s="30" t="str">
        <f>IFERROR(IF(AVERAGE(DATA[[#This Row],[Care Assistant 3: Current 2021/22 Minimum hourly pay rate ADJUSTED]],DATA[[#This Row],[Care Assistant 3: Current 2021/22 Maximum hourly pay rate ADJUSTED]])&lt;LIVING_WAGE_22_23,DATA[[#This Row],[Care Assistant 3: Numbers employed (Full Time Equivalent)]],0),"")</f>
        <v/>
      </c>
      <c r="MO9" s="30" t="str">
        <f>IFERROR(IF(AVERAGE(DATA[[#This Row],[Care Assistant 4: Current 2021/22 Minimum hourly pay rate ADJUSTED]],DATA[[#This Row],[Care Assistant 4: Current 2021/22 Maximum hourly pay rate ADJUSTED]])&lt;LIVING_WAGE_22_23,DATA[[#This Row],[Care Assistant 4: Numbers employed (Full Time Equivalent)]],0),"")</f>
        <v/>
      </c>
      <c r="MP9"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9"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9" s="30" t="str">
        <f>IFERROR(IF(AVERAGE(DATA[[#This Row],[Other staff 1: Current 2021/22 Minimum hourly pay rate ADJUSTED]],DATA[[#This Row],[Other staff 1: Current 2021/22 Maximum hourly pay rate ADJUSTED]])&lt;LIVING_WAGE_22_23,DATA[[#This Row],[Other staff 1: Numbers employed (Full Time Equivalent)]],0),"")</f>
        <v/>
      </c>
      <c r="MS9" s="30" t="str">
        <f>IFERROR(IF(AVERAGE(DATA[[#This Row],[Other staff 2: Current 2021/22 Minimum hourly pay rate ADJUSTED]],DATA[[#This Row],[Other staff 2: Current 2021/22 Maximum hourly pay rate ADJUSTED]])&lt;LIVING_WAGE_22_23,DATA[[#This Row],[Other staff 2: Numbers employed (Full Time Equivalent)]],0),"")</f>
        <v/>
      </c>
      <c r="MT9" s="30" t="str">
        <f>IFERROR(IF(AVERAGE(DATA[[#This Row],[Other staff 3: Current 2021/22 Minimum hourly pay rate ADJUSTED]],DATA[[#This Row],[Other staff 3: Current 2021/22 Maximum hourly pay rate ADJUSTED]])&lt;LIVING_WAGE_22_23,DATA[[#This Row],[Other staff 3: Numbers employed (Full Time Equivalent)]],0),"")</f>
        <v/>
      </c>
      <c r="MU9" s="30">
        <f>SUM(DATA[[#This Row],[Registered Manager FTE earning less than NLW 23yrs 2022/23]:[Other staff 3 FTE earning less than NLW 23yrs 2022/23]])</f>
        <v>18</v>
      </c>
      <c r="MV9"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9"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9"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9.9999999999999645E-2</v>
      </c>
      <c r="MY9"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9"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9"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6.5</v>
      </c>
      <c r="NB9"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1.2000000000000028</v>
      </c>
      <c r="NC9"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9"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9"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9"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9"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9"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9"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9" s="30" t="b">
        <v>0</v>
      </c>
      <c r="NK9" s="30" t="b">
        <v>1</v>
      </c>
      <c r="NL9" s="30" t="s">
        <v>972</v>
      </c>
      <c r="NM9" s="30">
        <f>SUM(DATA[[#This Row],[Management staff HOURLY RATE]:[Training and development HOURLY RATE]])</f>
        <v>0</v>
      </c>
      <c r="NN9" s="30">
        <f>SUM(DATA[[#This Row],[Recruitment &amp; advertising (including DBS checks) HOURLY RATE]:[Non-Staffing Direct Cost: Other  - please specify (amount) 2 HOURLY RATE]])</f>
        <v>0</v>
      </c>
      <c r="NO9" s="30">
        <f>SUM(DATA[[#This Row],[Insurance  HOURLY RATE]:[Indirect costs: Other  - please specify (amount) 2 HOURLY RATE]])</f>
        <v>0</v>
      </c>
      <c r="NP9" s="30">
        <f>SUM(DATA[[#This Row],[Central / Regional Management HOURLY RATE]:[Corporate Overheads: Other  - please specify (amount) 2 HOURLY RATE]])</f>
        <v>0</v>
      </c>
      <c r="NQ9"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9" s="30">
        <f>IFERROR(IF(AVERAGE(DATA[[#This Row],[Deputy manager: Current 2021/22 Minimum hourly pay rate ADJUSTED]],DATA[[#This Row],[Deputy manager: Current 2021/22 Maximum hourly pay rate ADJUSTED]])&lt;REAL_LIVING_WAGE_22_23,DATA[[#This Row],[Deputy manager: Numbers employed (Full Time Equivalent)]],0),"")</f>
        <v>0</v>
      </c>
      <c r="NS9" s="30">
        <f>IFERROR(IF(AVERAGE(DATA[[#This Row],[Other manager 1: Current 2021/22 Minimum hourly pay rate ADJUSTED]],DATA[[#This Row],[Other manager 1: Current 2021/22 Maximum hourly pay rate ADJUSTED]])&lt;REAL_LIVING_WAGE_22_23,DATA[[#This Row],[Other manager 1: Numbers employed (Full Time Equivalent)]],0),"")</f>
        <v>1</v>
      </c>
      <c r="NT9" s="30" t="str">
        <f>IFERROR(IF(AVERAGE(DATA[[#This Row],[Other manager 2: Current 2021/22 Minimum hourly pay rate ADJUSTED]],DATA[[#This Row],[Other manager 2: Current 2021/22 Maximum hourly pay rate ADJUSTED]])&lt;REAL_LIVING_WAGE_22_23,DATA[[#This Row],[Other manager 2: Numbers employed (Full Time Equivalent)]],0),"")</f>
        <v/>
      </c>
      <c r="NU9" s="30" t="str">
        <f>IFERROR(IF(AVERAGE(DATA[[#This Row],[Other manager 3: Current 2021/22 Minimum hourly pay rate ADJUSTED]],DATA[[#This Row],[Other manager 3: Current 2021/22 Maximum hourly pay rate ADJUSTED]])&lt;REAL_LIVING_WAGE_22_23,DATA[[#This Row],[Other manager 3: Numbers employed (Full Time Equivalent)]],0),"")</f>
        <v/>
      </c>
      <c r="NV9" s="30">
        <f>IFERROR(IF(AVERAGE(DATA[[#This Row],[Care Assistant 1: Current 2021/22 Minimum hourly pay rate ADJUSTED]],DATA[[#This Row],[Care Assistant 1: Current 2021/22 Maximum hourly pay rate ADJUSTED]])&lt;REAL_LIVING_WAGE_22_23,DATA[[#This Row],[Care Assistant 1: Numbers employed (Full Time Equivalent)]],0),"")</f>
        <v>13</v>
      </c>
      <c r="NW9" s="30">
        <f>IFERROR(IF(AVERAGE(DATA[[#This Row],[Care Assistant 2: Current 2021/22 Minimum hourly pay rate ADJUSTED]],DATA[[#This Row],[Care Assistant 2: Current 2021/22 Maximum hourly pay rate ADJUSTED]])&lt;REAL_LIVING_WAGE_22_23,DATA[[#This Row],[Care Assistant 2: Numbers employed (Full Time Equivalent)]],0),"")</f>
        <v>4</v>
      </c>
      <c r="NX9"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9"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9"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9"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9" s="30" t="str">
        <f>IFERROR(IF(AVERAGE(DATA[[#This Row],[Other staff 1: Current 2021/22 Minimum hourly pay rate ADJUSTED]],DATA[[#This Row],[Other staff 1: Current 2021/22 Maximum hourly pay rate ADJUSTED]])&lt;REAL_LIVING_WAGE_22_23,DATA[[#This Row],[Other staff 1: Numbers employed (Full Time Equivalent)]],0),"")</f>
        <v/>
      </c>
      <c r="OC9" s="30" t="str">
        <f>IFERROR(IF(AVERAGE(DATA[[#This Row],[Other staff 2: Current 2021/22 Minimum hourly pay rate ADJUSTED]],DATA[[#This Row],[Other staff 2: Current 2021/22 Maximum hourly pay rate ADJUSTED]])&lt;REAL_LIVING_WAGE_22_23,DATA[[#This Row],[Other staff 2: Numbers employed (Full Time Equivalent)]],0),"")</f>
        <v/>
      </c>
      <c r="OD9" s="30" t="str">
        <f>IFERROR(IF(AVERAGE(DATA[[#This Row],[Other staff 3: Current 2021/22 Minimum hourly pay rate ADJUSTED]],DATA[[#This Row],[Other staff 3: Current 2021/22 Maximum hourly pay rate ADJUSTED]])&lt;REAL_LIVING_WAGE_22_23,DATA[[#This Row],[Other staff 3: Numbers employed (Full Time Equivalent)]],0),"")</f>
        <v/>
      </c>
      <c r="OE9" s="30">
        <f>SUM(DATA[[#This Row],[Registered Manager FTE earning less than RLW 23yrs 2022/23]:[Other staff 3 FTE earning less than RLW 23yrs 2022/23]])</f>
        <v>18</v>
      </c>
      <c r="OF9"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9"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9"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0.5</v>
      </c>
      <c r="OI9"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9"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9"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11.700000000000005</v>
      </c>
      <c r="OL9"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2.8000000000000043</v>
      </c>
      <c r="OM9"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9"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9"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9"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9"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9"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9"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9" s="30">
        <f>IFERROR(IF(DATA[[#This Row],[Registered manager: Numbers employed (Full Time Equivalent)]]=0,"",DATA[[#This Row],[Registered manager: Current 2021/22 Minimum hourly pay rate ADJUSTED 2]]*DATA[[#This Row],[Registered manager: Numbers employed (Full Time Equivalent)]]),"")</f>
        <v>18.73</v>
      </c>
      <c r="OU9" s="30">
        <f>IFERROR(IF(DATA[[#This Row],[Registered manager: Numbers employed (Full Time Equivalent)]]=0,"",DATA[[#This Row],[Registered manager: Current 2021/22 Maximum hourly pay rate ADJUSTED 2]]*DATA[[#This Row],[Registered manager: Numbers employed (Full Time Equivalent)]]),"")</f>
        <v>18.73</v>
      </c>
      <c r="OV9" s="30">
        <f>IFERROR(IF(DATA[[#This Row],[Registered manager: Numbers employed (Full Time Equivalent)]]=0,"",DATA[[#This Row],[Registered manager: Previous 2020/21 Minimum hourly pay rate ADJUSTED 2]]*DATA[[#This Row],[Registered manager: Numbers employed (Full Time Equivalent)]]),"")</f>
        <v>18</v>
      </c>
      <c r="OW9" s="30">
        <f>IFERROR(IF(DATA[[#This Row],[Registered manager: Numbers employed (Full Time Equivalent)]]=0,"",DATA[[#This Row],[Registered manager: Previous 2020/21 Maximum hourly pay rate ADJUSTED 2]]*DATA[[#This Row],[Registered manager: Numbers employed (Full Time Equivalent)]]),"")</f>
        <v>18</v>
      </c>
      <c r="OX9" s="30">
        <f>IFERROR(IF(DATA[[#This Row],[Deputy manager: Numbers employed (Full Time Equivalent)]]=0,"",DATA[[#This Row],[Deputy manager: Current 2021/22 Minimum hourly pay rate ADJUSTED 2]]*DATA[[#This Row],[Deputy manager: Numbers employed (Full Time Equivalent)]]),"")</f>
        <v>30.900000000000002</v>
      </c>
      <c r="OY9" s="30">
        <f>IFERROR(IF(DATA[[#This Row],[Deputy manager: Numbers employed (Full Time Equivalent)]]=0,"",DATA[[#This Row],[Deputy manager: Current 2021/22 Maximum hourly pay rate ADJUSTED 2]]*DATA[[#This Row],[Deputy manager: Numbers employed (Full Time Equivalent)]]),"")</f>
        <v>30.900000000000002</v>
      </c>
      <c r="OZ9" s="30">
        <f>IFERROR(IF(DATA[[#This Row],[Deputy manager: Numbers employed (Full Time Equivalent)]]=0,"",DATA[[#This Row],[Deputy manager: Previous 2020/21 Minimum hourly pay rate ADJUSTED 2]]*DATA[[#This Row],[Deputy manager: Numbers employed (Full Time Equivalent)]]),"")</f>
        <v>29.25</v>
      </c>
      <c r="PA9" s="30">
        <f>IFERROR(IF(DATA[[#This Row],[Deputy manager: Numbers employed (Full Time Equivalent)]]=0,"",DATA[[#This Row],[Deputy manager: Previous 2020/21 Maximum hourly pay rate ADJUSTED 2]]*DATA[[#This Row],[Deputy manager: Numbers employed (Full Time Equivalent)]]),"")</f>
        <v>29.25</v>
      </c>
      <c r="PB9" s="30">
        <f>IFERROR(IF(DATA[[#This Row],[Other manager 1: Numbers employed (Full Time Equivalent)]]=0,"",DATA[[#This Row],[Other manager 1: Current 2021/22 Minimum hourly pay rate ADJUSTED 2]]*DATA[[#This Row],[Other manager 1: Numbers employed (Full Time Equivalent)]]),"")</f>
        <v>9.4</v>
      </c>
      <c r="PC9" s="30">
        <f>IFERROR(IF(DATA[[#This Row],[Other manager 1: Numbers employed (Full Time Equivalent)]]=0,"",DATA[[#This Row],[Other manager 1: Current 2021/22 Maximum hourly pay rate ADJUSTED 2]]*DATA[[#This Row],[Other manager 1: Numbers employed (Full Time Equivalent)]]),"")</f>
        <v>9.4</v>
      </c>
      <c r="PD9" s="30">
        <f>IFERROR(IF(DATA[[#This Row],[Other manager 1: Numbers employed (Full Time Equivalent)]]=0,"",DATA[[#This Row],[Other manager 1: Previous 2020/21 Minimum hourly pay rate ADJUSTED 2]]*DATA[[#This Row],[Other manager 1: Numbers employed (Full Time Equivalent)]]),"")</f>
        <v>9.15</v>
      </c>
      <c r="PE9" s="30">
        <f>IFERROR(IF(DATA[[#This Row],[Other manager 1: Numbers employed (Full Time Equivalent)]]=0,"",DATA[[#This Row],[Other manager 1: Previous 2020/21 Maximum hourly pay rate ADJUSTED 2]]*DATA[[#This Row],[Other manager 1: Numbers employed (Full Time Equivalent)]]),"")</f>
        <v>9.15</v>
      </c>
      <c r="PF9" s="30" t="str">
        <f>IFERROR(IF(DATA[[#This Row],[Other manager 2: Numbers employed (Full Time Equivalent)]]=0,"",DATA[[#This Row],[Other manager 2: Current 2021/22 Minimum hourly pay rate ADJUSTED 2]]*DATA[[#This Row],[Other manager 2: Numbers employed (Full Time Equivalent)]]),"")</f>
        <v/>
      </c>
      <c r="PG9" s="30" t="str">
        <f>IFERROR(IF(DATA[[#This Row],[Other manager 2: Numbers employed (Full Time Equivalent)]]=0,"",DATA[[#This Row],[Other manager 2: Current 2021/22 Maximum hourly pay rate ADJUSTED 2]]*DATA[[#This Row],[Other manager 2: Numbers employed (Full Time Equivalent)]]),"")</f>
        <v/>
      </c>
      <c r="PH9" s="30" t="str">
        <f>IFERROR(IF(DATA[[#This Row],[Other manager 2: Numbers employed (Full Time Equivalent)]]=0,"",DATA[[#This Row],[Other manager 2: Previous 2020/21 Minimum hourly pay rate ADJUSTED 2]]*DATA[[#This Row],[Other manager 2: Numbers employed (Full Time Equivalent)]]),"")</f>
        <v/>
      </c>
      <c r="PI9" s="30" t="str">
        <f>IFERROR(IF(DATA[[#This Row],[Other manager 2: Numbers employed (Full Time Equivalent)]]=0,"",DATA[[#This Row],[Other manager 2: Previous 2020/21 Maximum hourly pay rate ADJUSTED 2]]*DATA[[#This Row],[Other manager 2: Numbers employed (Full Time Equivalent)]]),"")</f>
        <v/>
      </c>
      <c r="PJ9" s="30" t="str">
        <f>IFERROR(IF(DATA[[#This Row],[Other manager 3: Numbers employed (Full Time Equivalent)]]=0,"",DATA[[#This Row],[Other manager 3: Current 2021/22 Minimum hourly pay rate ADJUSTED 2]]*DATA[[#This Row],[Other manager 3: Numbers employed (Full Time Equivalent)]]),"")</f>
        <v/>
      </c>
      <c r="PK9" s="30" t="str">
        <f>IFERROR(IF(DATA[[#This Row],[Other manager 3: Numbers employed (Full Time Equivalent)]]=0,"",DATA[[#This Row],[Other manager 3: Current 2021/22 Maximum hourly pay rate ADJUSTED 2]]*DATA[[#This Row],[Other manager 3: Numbers employed (Full Time Equivalent)]]),"")</f>
        <v/>
      </c>
      <c r="PL9" s="30" t="str">
        <f>IFERROR(IF(DATA[[#This Row],[Other manager 3: Numbers employed (Full Time Equivalent)]]=0,"",DATA[[#This Row],[Other manager 3: Previous 2020/21 Minimum hourly pay rate ADJUSTED 2]]*DATA[[#This Row],[Other manager 3: Numbers employed (Full Time Equivalent)]]),"")</f>
        <v/>
      </c>
      <c r="PM9" s="30" t="str">
        <f>IFERROR(IF(DATA[[#This Row],[Other manager 3: Numbers employed (Full Time Equivalent)]]=0,"",DATA[[#This Row],[Other manager 3: Previous 2020/21 Maximum hourly pay rate ADJUSTED 2]]*DATA[[#This Row],[Other manager 3: Numbers employed (Full Time Equivalent)]]),"")</f>
        <v/>
      </c>
      <c r="PN9" s="30">
        <f>IFERROR(IF(DATA[[#This Row],[Care Assistant 1: Numbers employed (Full Time Equivalent)]]=0,"",DATA[[#This Row],[Care Assistant 1: Current 2021/22 Minimum hourly pay rate ADJUSTED 2]]*DATA[[#This Row],[Care Assistant 1: Numbers employed (Full Time Equivalent)]]),"")</f>
        <v>117</v>
      </c>
      <c r="PO9" s="30">
        <f>IFERROR(IF(DATA[[#This Row],[Care Assistant 1: Numbers employed (Full Time Equivalent)]]=0,"",DATA[[#This Row],[Care Assistant 1: Current 2021/22 Maximum hourly pay rate ADJUSTED 2]]*DATA[[#This Row],[Care Assistant 1: Numbers employed (Full Time Equivalent)]]),"")</f>
        <v>117</v>
      </c>
      <c r="PP9" s="30">
        <f>IFERROR(IF(DATA[[#This Row],[Care Assistant 1: Numbers employed (Full Time Equivalent)]]=0,"",DATA[[#This Row],[Care Assistant 1: Previous 2020/21 Minimum hourly pay rate ADJUSTED 2]]*DATA[[#This Row],[Care Assistant 1: Numbers employed (Full Time Equivalent)]]),"")</f>
        <v>114.53</v>
      </c>
      <c r="PQ9" s="30">
        <f>IFERROR(IF(DATA[[#This Row],[Care Assistant 1: Numbers employed (Full Time Equivalent)]]=0,"",DATA[[#This Row],[Care Assistant 1: Previous 2020/21 Maximum hourly pay rate ADJUSTED 2]]*DATA[[#This Row],[Care Assistant 1: Numbers employed (Full Time Equivalent)]]),"")</f>
        <v>114.53</v>
      </c>
      <c r="PR9" s="30">
        <f>IFERROR(IF(DATA[[#This Row],[Care Assistant 2: Numbers employed (Full Time Equivalent)]]=0,"",DATA[[#This Row],[Care Assistant 2: Current 2021/22 Minimum hourly pay rate ADJUSTED 2]]*DATA[[#This Row],[Care Assistant 2: Numbers employed (Full Time Equivalent)]]),"")</f>
        <v>36.799999999999997</v>
      </c>
      <c r="PS9" s="30">
        <f>IFERROR(IF(DATA[[#This Row],[Care Assistant 2: Numbers employed (Full Time Equivalent)]]=0,"",DATA[[#This Row],[Care Assistant 2: Current 2021/22 Maximum hourly pay rate ADJUSTED 2]]*DATA[[#This Row],[Care Assistant 2: Numbers employed (Full Time Equivalent)]]),"")</f>
        <v>36.799999999999997</v>
      </c>
      <c r="PT9" s="30">
        <f>IFERROR(IF(DATA[[#This Row],[Care Assistant 2: Numbers employed (Full Time Equivalent)]]=0,"",DATA[[#This Row],[Care Assistant 2: Previous 2020/21 Minimum hourly pay rate ADJUSTED 2]]*DATA[[#This Row],[Care Assistant 2: Numbers employed (Full Time Equivalent)]]),"")</f>
        <v>36.799999999999997</v>
      </c>
      <c r="PU9" s="30">
        <f>IFERROR(IF(DATA[[#This Row],[Care Assistant 2: Numbers employed (Full Time Equivalent)]]=0,"",DATA[[#This Row],[Care Assistant 2: Previous 2020/21 Maximum hourly pay rate ADJUSTED 2]]*DATA[[#This Row],[Care Assistant 2: Numbers employed (Full Time Equivalent)]]),"")</f>
        <v>36.799999999999997</v>
      </c>
      <c r="PV9" s="30" t="str">
        <f>IFERROR(IF(DATA[[#This Row],[Care Assistant 3: Numbers employed (Full Time Equivalent)]]=0,"",DATA[[#This Row],[Care Assistant 3: Current 2021/22 Minimum hourly pay rate ADJUSTED 2]]*DATA[[#This Row],[Care Assistant 3: Numbers employed (Full Time Equivalent)]]),"")</f>
        <v/>
      </c>
      <c r="PW9" s="30" t="str">
        <f>IFERROR(IF(DATA[[#This Row],[Care Assistant 3: Numbers employed (Full Time Equivalent)]]=0,"",DATA[[#This Row],[Care Assistant 3: Current 2021/22 Maximum hourly pay rate ADJUSTED 2]]*DATA[[#This Row],[Care Assistant 3: Numbers employed (Full Time Equivalent)]]),"")</f>
        <v/>
      </c>
      <c r="PX9" s="30" t="str">
        <f>IFERROR(IF(DATA[[#This Row],[Care Assistant 3: Numbers employed (Full Time Equivalent)]]=0,"",DATA[[#This Row],[Care Assistant 3: Previous 2020/21 Minimum hourly pay rate ADJUSTED 2]]*DATA[[#This Row],[Care Assistant 3: Numbers employed (Full Time Equivalent)]]),"")</f>
        <v/>
      </c>
      <c r="PY9" s="30" t="str">
        <f>IFERROR(IF(DATA[[#This Row],[Care Assistant 3: Numbers employed (Full Time Equivalent)]]=0,"",DATA[[#This Row],[Care Assistant 3: Previous 2020/21 Maximum hourly pay rate ADJUSTED 2]]*DATA[[#This Row],[Care Assistant 3: Numbers employed (Full Time Equivalent)]]),"")</f>
        <v/>
      </c>
      <c r="PZ9" s="30" t="str">
        <f>IFERROR(IF(DATA[[#This Row],[Care Assistant 4: Numbers employed (Full Time Equivalent)]]=0,"",DATA[[#This Row],[Care Assistant 4: Current 2021/22 Minimum hourly pay rate ADJUSTED 2]]*DATA[[#This Row],[Care Assistant 4: Numbers employed (Full Time Equivalent)]]),"")</f>
        <v/>
      </c>
      <c r="QA9" s="30" t="str">
        <f>IFERROR(IF(DATA[[#This Row],[Care Assistant 4: Numbers employed (Full Time Equivalent)]]=0,"",DATA[[#This Row],[Care Assistant 4: Current 2021/22 Maximum hourly pay rate ADJUSTED 2]]*DATA[[#This Row],[Care Assistant 4: Numbers employed (Full Time Equivalent)]]),"")</f>
        <v/>
      </c>
      <c r="QB9" s="30" t="str">
        <f>IFERROR(IF(DATA[[#This Row],[Care Assistant 4: Numbers employed (Full Time Equivalent)]]=0,"",DATA[[#This Row],[Care Assistant 4: Previous 2020/21 Minimum hourly pay rate ADJUSTED 2]]*DATA[[#This Row],[Care Assistant 4: Numbers employed (Full Time Equivalent)]]),"")</f>
        <v/>
      </c>
      <c r="QC9" s="30" t="str">
        <f>IFERROR(IF(DATA[[#This Row],[Care Assistant 4: Numbers employed (Full Time Equivalent)]]=0,"",DATA[[#This Row],[Care Assistant 4: Previous 2020/21 Maximum hourly pay rate ADJUSTED 2]]*DATA[[#This Row],[Care Assistant 4: Numbers employed (Full Time Equivalent)]]),"")</f>
        <v/>
      </c>
      <c r="QD9" s="30">
        <f>IFERROR(IF(DATA[[#This Row],[Administrative Officer 1: Numbers employed (Full Time Equivalent)]]=0,"",DATA[[#This Row],[Administrative Officer 1: Current 2021/22 Minimum hourly pay rate ADJUSTED 2]]*DATA[[#This Row],[Administrative Officer 1: Numbers employed (Full Time Equivalent)]]),"")</f>
        <v>17</v>
      </c>
      <c r="QE9" s="30">
        <f>IFERROR(IF(DATA[[#This Row],[Administrative Officer 1: Numbers employed (Full Time Equivalent)]]=0,"",DATA[[#This Row],[Administrative Officer 1: Current 2021/22 Maximum hourly pay rate ADJUSTED 2]]*DATA[[#This Row],[Administrative Officer 1: Numbers employed (Full Time Equivalent)]]),"")</f>
        <v>17</v>
      </c>
      <c r="QF9" s="30">
        <f>IFERROR(IF(DATA[[#This Row],[Administrative Officer 1: Numbers employed (Full Time Equivalent)]]=0,"",DATA[[#This Row],[Administrative Officer 1: Previous 2020/21 Minimum hourly pay rate ADJUSTED 2]]*DATA[[#This Row],[Administrative Officer 1: Numbers employed (Full Time Equivalent)]]),"")</f>
        <v>16.2</v>
      </c>
      <c r="QG9" s="30">
        <f>IFERROR(IF(DATA[[#This Row],[Administrative Officer 1: Numbers employed (Full Time Equivalent)]]=0,"",DATA[[#This Row],[Administrative Officer 1: Previous 2020/21 Maximum hourly pay rate ADJUSTED 2]]*DATA[[#This Row],[Administrative Officer 1: Numbers employed (Full Time Equivalent)]]),"")</f>
        <v>16.2</v>
      </c>
      <c r="QH9" s="30" t="str">
        <f>IFERROR(IF(DATA[[#This Row],[Administrative Officer 2: Numbers employed (Full Time Equivalent)]]=0,"",DATA[[#This Row],[Administrative Officer 2: Current 2021/22 Minimum hourly pay rate ADJUSTED 2]]*DATA[[#This Row],[Administrative Officer 2: Numbers employed (Full Time Equivalent)]]),"")</f>
        <v/>
      </c>
      <c r="QI9" s="30" t="str">
        <f>IFERROR(IF(DATA[[#This Row],[Administrative Officer 2: Numbers employed (Full Time Equivalent)]]=0,"",DATA[[#This Row],[Administrative Officer 2: Current 2021/22 Maximum hourly pay rate ADJUSTED 2]]*DATA[[#This Row],[Administrative Officer 2: Numbers employed (Full Time Equivalent)]]),"")</f>
        <v/>
      </c>
      <c r="QJ9" s="30" t="str">
        <f>IFERROR(IF(DATA[[#This Row],[Administrative Officer 2: Numbers employed (Full Time Equivalent)]]=0,"",DATA[[#This Row],[Administrative Officer 2: Previous 2020/21 Minimum hourly pay rate ADJUSTED 2]]*DATA[[#This Row],[Administrative Officer 2: Numbers employed (Full Time Equivalent)]]),"")</f>
        <v/>
      </c>
      <c r="QK9" s="30" t="str">
        <f>IFERROR(IF(DATA[[#This Row],[Administrative Officer 2: Numbers employed (Full Time Equivalent)]]=0,"",DATA[[#This Row],[Administrative Officer 2: Previous 2020/21 Maximum hourly pay rate ADJUSTED 2]]*DATA[[#This Row],[Administrative Officer 2: Numbers employed (Full Time Equivalent)]]),"")</f>
        <v/>
      </c>
      <c r="QL9" s="30" t="str">
        <f>IFERROR(IF(DATA[[#This Row],[Administrative Officer 3: Numbers employed (Full Time Equivalent)]]=0,"",DATA[[#This Row],[Administrative Officer 3: Current 2021/22 Minimum hourly pay rate ADJUSTED 2]]*DATA[[#This Row],[Administrative Officer 3: Numbers employed (Full Time Equivalent)]]),"")</f>
        <v/>
      </c>
      <c r="QM9" s="30" t="str">
        <f>IFERROR(IF(DATA[[#This Row],[Administrative Officer 3: Numbers employed (Full Time Equivalent)]]=0,"",DATA[[#This Row],[Administrative Officer 3: Current 2021/22 Maximum hourly pay rate ADJUSTED 2]]*DATA[[#This Row],[Administrative Officer 3: Numbers employed (Full Time Equivalent)]]),"")</f>
        <v/>
      </c>
      <c r="QN9" s="30" t="str">
        <f>IFERROR(IF(DATA[[#This Row],[Administrative Officer 3: Numbers employed (Full Time Equivalent)]]=0,"",DATA[[#This Row],[Administrative Officer 3: Previous 2020/21 Minimum hourly pay rate ADJUSTED 2]]*DATA[[#This Row],[Administrative Officer 3: Numbers employed (Full Time Equivalent)]]),"")</f>
        <v/>
      </c>
      <c r="QO9" s="30" t="str">
        <f>IFERROR(IF(DATA[[#This Row],[Administrative Officer 3: Numbers employed (Full Time Equivalent)]]=0,"",DATA[[#This Row],[Administrative Officer 3: Previous 2020/21 Maximum hourly pay rate ADJUSTED 2]]*DATA[[#This Row],[Administrative Officer 3: Numbers employed (Full Time Equivalent)]]),"")</f>
        <v/>
      </c>
      <c r="QP9" s="28" t="str">
        <f>IFERROR(IF(DATA[[#This Row],[Other staff 1: Numbers employed (Full Time Equivalent)]]=0,"",DATA[[#This Row],[Other staff 1: Current 2021/22 Minimum hourly pay rate ADJUSTED 2]]*DATA[[#This Row],[Other staff 1: Numbers employed (Full Time Equivalent)]]),"")</f>
        <v/>
      </c>
      <c r="QQ9" s="28" t="str">
        <f>IFERROR(IF(DATA[[#This Row],[Other staff 1: Numbers employed (Full Time Equivalent)]]=0,"",DATA[[#This Row],[Other staff 1: Current 2021/22 Maximum hourly pay rate ADJUSTED 2]]*DATA[[#This Row],[Other staff 1: Numbers employed (Full Time Equivalent)]]),"")</f>
        <v/>
      </c>
      <c r="QR9" s="28" t="str">
        <f>IFERROR(IF(DATA[[#This Row],[Other staff 1: Numbers employed (Full Time Equivalent)]]=0,"",DATA[[#This Row],[Other staff 1: Previous 2020/21 Minimum hourly pay rate ADJUSTED 2]]*DATA[[#This Row],[Other staff 1: Numbers employed (Full Time Equivalent)]]),"")</f>
        <v/>
      </c>
      <c r="QS9" s="28" t="str">
        <f>IFERROR(IF(DATA[[#This Row],[Other staff 1: Numbers employed (Full Time Equivalent)]]=0,"",DATA[[#This Row],[Other staff 1: Previous 2020/21 Maximum hourly pay rate ADJUSTED 2]]*DATA[[#This Row],[Other staff 1: Numbers employed (Full Time Equivalent)]]),"")</f>
        <v/>
      </c>
      <c r="QT9" s="28" t="str">
        <f>IFERROR(IF(DATA[[#This Row],[Other staff 2: Numbers employed (Full Time Equivalent)]]=0,"",DATA[[#This Row],[Other staff 2: Current 2021/22 Minimum hourly pay rate ADJUSTED 2]]*DATA[[#This Row],[Other staff 2: Numbers employed (Full Time Equivalent)]]),"")</f>
        <v/>
      </c>
      <c r="QU9" s="28" t="str">
        <f>IFERROR(IF(DATA[[#This Row],[Other staff 2: Numbers employed (Full Time Equivalent)]]=0,"",DATA[[#This Row],[Other staff 2: Current 2021/22 Maximum hourly pay rate ADJUSTED 2]]*DATA[[#This Row],[Other staff 2: Numbers employed (Full Time Equivalent)]]),"")</f>
        <v/>
      </c>
      <c r="QV9" s="28" t="str">
        <f>IFERROR(IF(DATA[[#This Row],[Other staff 2: Numbers employed (Full Time Equivalent)]]=0,"",DATA[[#This Row],[Other staff 2: Previous 2020/21 Minimum hourly pay rate ADJUSTED 2]]*DATA[[#This Row],[Other staff 2: Numbers employed (Full Time Equivalent)]]),"")</f>
        <v/>
      </c>
      <c r="QW9" s="28" t="str">
        <f>IFERROR(IF(DATA[[#This Row],[Other staff 2: Numbers employed (Full Time Equivalent)]]=0,"",DATA[[#This Row],[Other staff 2: Previous 2020/21 Maximum hourly pay rate ADJUSTED 2]]*DATA[[#This Row],[Other staff 2: Numbers employed (Full Time Equivalent)]]),"")</f>
        <v/>
      </c>
      <c r="QX9" s="28" t="str">
        <f>IFERROR(IF(DATA[[#This Row],[Other staff 3: Numbers employed (Full Time Equivalent)]]=0,"",DATA[[#This Row],[Other staff 3: Current 2021/22 Minimum hourly pay rate ADJUSTED 2]]*DATA[[#This Row],[Other staff 3: Numbers employed (Full Time Equivalent)]]),"")</f>
        <v/>
      </c>
      <c r="QY9" s="28" t="str">
        <f>IFERROR(IF(DATA[[#This Row],[Other staff 3: Numbers employed (Full Time Equivalent)]]=0,"",DATA[[#This Row],[Other staff 3: Current 2021/22 Maximum hourly pay rate ADJUSTED 2]]*DATA[[#This Row],[Other staff 3: Numbers employed (Full Time Equivalent)]]),"")</f>
        <v/>
      </c>
      <c r="QZ9" s="28" t="str">
        <f>IFERROR(IF(DATA[[#This Row],[Other staff 3: Numbers employed (Full Time Equivalent)]]=0,"",DATA[[#This Row],[Other staff 3: Previous 2020/21 Minimum hourly pay rate ADJUSTED 2]]*DATA[[#This Row],[Other staff 3: Numbers employed (Full Time Equivalent)]]),"")</f>
        <v/>
      </c>
      <c r="RA9" s="28" t="str">
        <f>IFERROR(IF(DATA[[#This Row],[Other staff 3: Numbers employed (Full Time Equivalent)]]=0,"",DATA[[#This Row],[Other staff 3: Previous 2020/21 Maximum hourly pay rate ADJUSTED 2]]*DATA[[#This Row],[Other staff 3: Numbers employed (Full Time Equivalent)]]),"")</f>
        <v/>
      </c>
      <c r="RB9"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9"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3</v>
      </c>
      <c r="RD9"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9"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9"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9"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13</v>
      </c>
      <c r="RH9"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4</v>
      </c>
      <c r="RI9"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9"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9"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9"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9"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9"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9"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9"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10" spans="1:484" x14ac:dyDescent="0.25">
      <c r="G10" s="2">
        <v>4</v>
      </c>
      <c r="H10" s="2">
        <v>0</v>
      </c>
      <c r="I10" s="2">
        <v>30</v>
      </c>
      <c r="J10" s="2">
        <v>0</v>
      </c>
      <c r="K10" s="2">
        <v>1</v>
      </c>
      <c r="L10" s="2" t="s">
        <v>328</v>
      </c>
      <c r="M10" s="2" t="s">
        <v>328</v>
      </c>
      <c r="R10" s="2">
        <v>26</v>
      </c>
      <c r="S10" s="2">
        <v>26</v>
      </c>
      <c r="T10" s="2">
        <v>25</v>
      </c>
      <c r="U10" s="2">
        <v>25</v>
      </c>
      <c r="V10" s="2">
        <v>0.25</v>
      </c>
      <c r="W10" s="2">
        <v>0</v>
      </c>
      <c r="X10" s="2">
        <v>0</v>
      </c>
      <c r="Y10" s="2">
        <v>0</v>
      </c>
      <c r="Z10" s="2">
        <v>0</v>
      </c>
      <c r="AA10" s="2">
        <v>0</v>
      </c>
      <c r="AB10" s="2" t="s">
        <v>336</v>
      </c>
      <c r="AC10" s="2">
        <v>11.72</v>
      </c>
      <c r="AD10" s="2">
        <v>11.72</v>
      </c>
      <c r="AE10" s="2">
        <v>11.55</v>
      </c>
      <c r="AF10" s="2">
        <v>11.55</v>
      </c>
      <c r="AG10" s="2">
        <v>4</v>
      </c>
      <c r="AH10" s="2" t="s">
        <v>315</v>
      </c>
      <c r="AI10" s="2">
        <v>0</v>
      </c>
      <c r="AJ10" s="2">
        <v>0</v>
      </c>
      <c r="AK10" s="2">
        <v>0</v>
      </c>
      <c r="AL10" s="2">
        <v>0</v>
      </c>
      <c r="AM10" s="2">
        <v>0</v>
      </c>
      <c r="AN10" s="2" t="s">
        <v>315</v>
      </c>
      <c r="AO10" s="2">
        <v>0</v>
      </c>
      <c r="AP10" s="2">
        <v>0</v>
      </c>
      <c r="AQ10" s="2">
        <v>0</v>
      </c>
      <c r="AR10" s="2">
        <v>0</v>
      </c>
      <c r="AS10" s="2">
        <v>0</v>
      </c>
      <c r="AT10" s="2" t="s">
        <v>337</v>
      </c>
      <c r="AU10" s="2">
        <v>9.19</v>
      </c>
      <c r="AV10" s="2">
        <v>9.19</v>
      </c>
      <c r="AW10" s="2">
        <v>8.75</v>
      </c>
      <c r="AX10" s="2">
        <v>8.75</v>
      </c>
      <c r="AY10" s="2">
        <v>12.8</v>
      </c>
      <c r="AZ10" s="2" t="s">
        <v>316</v>
      </c>
      <c r="BA10" s="2">
        <v>0</v>
      </c>
      <c r="BB10" s="2">
        <v>0</v>
      </c>
      <c r="BC10" s="2">
        <v>0</v>
      </c>
      <c r="BD10" s="2">
        <v>0</v>
      </c>
      <c r="BE10" s="2">
        <v>0</v>
      </c>
      <c r="BF10" s="2" t="s">
        <v>316</v>
      </c>
      <c r="BG10" s="2">
        <v>0</v>
      </c>
      <c r="BH10" s="2">
        <v>0</v>
      </c>
      <c r="BI10" s="2">
        <v>0</v>
      </c>
      <c r="BJ10" s="2">
        <v>0</v>
      </c>
      <c r="BK10" s="2">
        <v>0</v>
      </c>
      <c r="BL10" s="2" t="s">
        <v>316</v>
      </c>
      <c r="BM10" s="2">
        <v>0</v>
      </c>
      <c r="BN10" s="2">
        <v>0</v>
      </c>
      <c r="BO10" s="2">
        <v>0</v>
      </c>
      <c r="BP10" s="2">
        <v>0</v>
      </c>
      <c r="BQ10" s="2">
        <v>0</v>
      </c>
      <c r="BR10" s="2" t="s">
        <v>338</v>
      </c>
      <c r="BS10" s="2">
        <v>11.72</v>
      </c>
      <c r="BT10" s="2">
        <v>11.72</v>
      </c>
      <c r="BU10" s="2">
        <v>11.55</v>
      </c>
      <c r="BV10" s="2">
        <v>11.55</v>
      </c>
      <c r="BW10" s="2">
        <v>0.53</v>
      </c>
      <c r="BX10" s="2" t="s">
        <v>317</v>
      </c>
      <c r="BY10" s="2">
        <v>0</v>
      </c>
      <c r="BZ10" s="2">
        <v>0</v>
      </c>
      <c r="CA10" s="2">
        <v>0</v>
      </c>
      <c r="CB10" s="2">
        <v>0</v>
      </c>
      <c r="CC10" s="2">
        <v>0</v>
      </c>
      <c r="CD10" s="2" t="s">
        <v>317</v>
      </c>
      <c r="CE10" s="2">
        <v>0</v>
      </c>
      <c r="CF10" s="2">
        <v>0</v>
      </c>
      <c r="CG10" s="2">
        <v>0</v>
      </c>
      <c r="CH10" s="2">
        <v>0</v>
      </c>
      <c r="CI10" s="2">
        <v>0</v>
      </c>
      <c r="CJ10" s="2" t="s">
        <v>318</v>
      </c>
      <c r="CK10" s="2">
        <v>0</v>
      </c>
      <c r="CL10" s="2">
        <v>0</v>
      </c>
      <c r="CM10" s="2">
        <v>0</v>
      </c>
      <c r="CN10" s="2">
        <v>0</v>
      </c>
      <c r="CO10" s="2">
        <v>0</v>
      </c>
      <c r="CP10" s="2" t="s">
        <v>318</v>
      </c>
      <c r="CQ10" s="2">
        <v>0</v>
      </c>
      <c r="CR10" s="2">
        <v>0</v>
      </c>
      <c r="CS10" s="2">
        <v>0</v>
      </c>
      <c r="CT10" s="2">
        <v>0</v>
      </c>
      <c r="CU10" s="2">
        <v>0</v>
      </c>
      <c r="CV10" s="2" t="s">
        <v>318</v>
      </c>
      <c r="CW10" s="2">
        <v>0</v>
      </c>
      <c r="CX10" s="2">
        <v>0</v>
      </c>
      <c r="CY10" s="2">
        <v>0</v>
      </c>
      <c r="CZ10" s="2">
        <v>0</v>
      </c>
      <c r="DA10" s="2">
        <v>0</v>
      </c>
      <c r="DB10" s="2">
        <v>0.03</v>
      </c>
      <c r="DC10" s="2">
        <v>0</v>
      </c>
      <c r="DD10" s="2">
        <v>0</v>
      </c>
      <c r="DE10" s="2">
        <v>0</v>
      </c>
      <c r="DF10" s="2">
        <v>0</v>
      </c>
      <c r="DG10" s="2">
        <v>0</v>
      </c>
      <c r="DH10" s="2">
        <v>0</v>
      </c>
      <c r="DI10" s="2">
        <v>0</v>
      </c>
      <c r="DJ10" s="2">
        <v>587</v>
      </c>
      <c r="DK10" s="2">
        <v>0</v>
      </c>
      <c r="DL10" s="2">
        <v>0</v>
      </c>
      <c r="DM10" s="2">
        <v>0</v>
      </c>
      <c r="DN10" s="2">
        <v>0</v>
      </c>
      <c r="DO10" s="2">
        <v>17</v>
      </c>
      <c r="DP10" s="2">
        <v>0</v>
      </c>
      <c r="DQ10" s="2">
        <v>17</v>
      </c>
      <c r="DR10" s="18">
        <v>43739</v>
      </c>
      <c r="DS10" s="18">
        <v>44104</v>
      </c>
      <c r="DT10" s="2">
        <v>220100</v>
      </c>
      <c r="DU10" s="2">
        <v>151000</v>
      </c>
      <c r="DV10" s="2">
        <v>3103488</v>
      </c>
      <c r="DW10" s="2">
        <v>76000</v>
      </c>
      <c r="DX10" s="2">
        <v>0</v>
      </c>
      <c r="DY10" s="2">
        <v>0</v>
      </c>
      <c r="DZ10" s="2">
        <v>28438</v>
      </c>
      <c r="EA10" s="2">
        <v>0</v>
      </c>
      <c r="EB10" s="2">
        <v>29500</v>
      </c>
      <c r="EC10" s="2">
        <v>15000</v>
      </c>
      <c r="ED10" s="2">
        <v>0</v>
      </c>
      <c r="EE10" s="2">
        <v>27000</v>
      </c>
      <c r="EF10" s="2">
        <v>0</v>
      </c>
      <c r="EG10" s="2">
        <v>12000</v>
      </c>
      <c r="EH10" s="2" t="s">
        <v>339</v>
      </c>
      <c r="EI10" s="2">
        <v>50997</v>
      </c>
      <c r="EJ10" s="2" t="s">
        <v>340</v>
      </c>
      <c r="EK10" s="2">
        <v>18900</v>
      </c>
      <c r="EL10" s="2">
        <v>12646</v>
      </c>
      <c r="EM10" s="2">
        <v>0</v>
      </c>
      <c r="EN10" s="2">
        <v>22013</v>
      </c>
      <c r="EO10" s="2">
        <v>17600</v>
      </c>
      <c r="EP10" s="2">
        <v>4282</v>
      </c>
      <c r="EQ10" s="2">
        <v>0</v>
      </c>
      <c r="ER10" s="2">
        <v>0</v>
      </c>
      <c r="ES10" s="2">
        <v>0</v>
      </c>
      <c r="ET10" s="2" t="s">
        <v>341</v>
      </c>
      <c r="EU10" s="2">
        <v>5705</v>
      </c>
      <c r="EV10" s="2" t="s">
        <v>342</v>
      </c>
      <c r="EW10" s="2">
        <v>4800</v>
      </c>
      <c r="EX10" s="2">
        <v>0</v>
      </c>
      <c r="EY10" s="2">
        <v>0</v>
      </c>
      <c r="EZ10" s="2" t="s">
        <v>343</v>
      </c>
      <c r="FA10" s="2">
        <v>30857</v>
      </c>
      <c r="FB10" s="2" t="s">
        <v>326</v>
      </c>
      <c r="FC10" s="2">
        <v>0</v>
      </c>
      <c r="FD10" s="2">
        <v>130972</v>
      </c>
      <c r="FE10" s="2">
        <v>0</v>
      </c>
      <c r="FF10" s="2">
        <v>0</v>
      </c>
      <c r="FG10" s="2"/>
      <c r="FH10" s="19">
        <v>44480.623333333337</v>
      </c>
      <c r="FI10" s="2" t="s">
        <v>334</v>
      </c>
      <c r="FJ10" s="2">
        <f>SUM(DATA[[#This Row],[Number of Home support clients:]],DATA[[#This Row],[Number of supported living clients:]])</f>
        <v>30</v>
      </c>
      <c r="FK10"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10"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26</v>
      </c>
      <c r="FM10"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26</v>
      </c>
      <c r="FN10"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25</v>
      </c>
      <c r="FO10"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25</v>
      </c>
      <c r="FP10"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10"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10"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10"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10"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11.72</v>
      </c>
      <c r="FU10"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11.72</v>
      </c>
      <c r="FV10"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11.55</v>
      </c>
      <c r="FW10"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11.55</v>
      </c>
      <c r="FX10"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10"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10"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10"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10"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10"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10"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10"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10"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9.19</v>
      </c>
      <c r="GG10"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9.19</v>
      </c>
      <c r="GH10"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8.75</v>
      </c>
      <c r="GI10"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8.75</v>
      </c>
      <c r="GJ10"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10"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10"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10"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10"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10"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10"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10"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10"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10"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10"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10"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10"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11.72</v>
      </c>
      <c r="GW10"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11.72</v>
      </c>
      <c r="GX10"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11.55</v>
      </c>
      <c r="GY10"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11.55</v>
      </c>
      <c r="GZ10"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10"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10"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10"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10"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10"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10"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0"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0"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10"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10"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10"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10"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10"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10"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10"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10"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10"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10"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10"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10"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26</v>
      </c>
      <c r="HU10"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26</v>
      </c>
      <c r="HV10"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25</v>
      </c>
      <c r="HW10"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25</v>
      </c>
      <c r="HX10"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10"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10"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10"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10"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11.72</v>
      </c>
      <c r="IC10"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11.72</v>
      </c>
      <c r="ID10"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11.55</v>
      </c>
      <c r="IE10"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11.55</v>
      </c>
      <c r="IF10"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10"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10"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10"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10"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10"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10"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10"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10"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9.19</v>
      </c>
      <c r="IO10"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9.19</v>
      </c>
      <c r="IP10"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8.75</v>
      </c>
      <c r="IQ10"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8.75</v>
      </c>
      <c r="IR10"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10"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10"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10"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10"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10"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10"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10"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10"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10"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10"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10"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10"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11.72</v>
      </c>
      <c r="JE10"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11.72</v>
      </c>
      <c r="JF10"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11.55</v>
      </c>
      <c r="JG10"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11.55</v>
      </c>
      <c r="JH10"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10"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10"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10"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10"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10"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10"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10"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10"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10"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10"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10"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10"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10"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10"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10"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10"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10"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10"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10"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10"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4.25</v>
      </c>
      <c r="KC10" s="21">
        <f>SUM(DATA[[#This Row],[Care Assistant 1: Numbers employed (Full Time Equivalent)]],DATA[[#This Row],[Care Assistant 2: Numbers employed (Full Time Equivalent)]],DATA[[#This Row],[Care Assistant 3: Numbers employed (Full Time Equivalent)]],DATA[[#This Row],[Care Assistant 4: Numbers employed (Full Time Equivalent)]])</f>
        <v>12.8</v>
      </c>
      <c r="KD10" s="21">
        <f>SUM(DATA[[#This Row],[Administrative Officer 1: Numbers employed (Full Time Equivalent)]],DATA[[#This Row],[Administrative Officer 2: Numbers employed (Full Time Equivalent)]])</f>
        <v>0.53</v>
      </c>
      <c r="KE10" s="21">
        <f>SUM(DATA[[#This Row],[Other staff 1: Numbers employed (Full Time Equivalent)]],DATA[[#This Row],[Other staff 2: Numbers employed (Full Time Equivalent)]],DATA[[#This Row],[Other staff 3: Numbers employed (Full Time Equivalent)]])</f>
        <v>0</v>
      </c>
      <c r="KF10" s="21">
        <f>SUM(DATA[[#This Row],[Total FTE Management Employees]:[Total FTE Other Employees]])</f>
        <v>17.580000000000002</v>
      </c>
      <c r="KG10" s="21" t="str">
        <f>IF(SUM(DATA[[#This Row],[Home Support service split percentage (Expenditure):]],DATA[[#This Row],[Supported Living service split percentage (Expenditure):]])&gt;0, IF(DATA[[#This Row],[Home Support service split percentage (Expenditure):]]&gt;0.5,"Home Support","Supported Living"), "Unknown")</f>
        <v>Supported Living</v>
      </c>
      <c r="KH10" s="21">
        <f>SUM(DATA[[#This Row],[Home Support: Birmingham City Council]:[Home Support: Self-funded]])</f>
        <v>0</v>
      </c>
      <c r="KI10" s="21">
        <f>SUM(DATA[[#This Row],[Supported Living: Birmingham City Council]:[Supported Living: Self-funded]])</f>
        <v>587</v>
      </c>
      <c r="KJ10"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10"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10"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10"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10" s="21" t="b">
        <f>SUM(DATA[[#This Row],[Number of hours of care charged for in last full accounting year]:[Corporate Overheads: Other  - please specify (category) 1]])&gt;0</f>
        <v>1</v>
      </c>
      <c r="KO10" s="21">
        <f>SUM(DATA[[#This Row],[Total annual expenditure: Management staff]:[Total annual expenditure: Training and development]])</f>
        <v>3388426</v>
      </c>
      <c r="KP10" s="21">
        <f>SUM(DATA[[#This Row],[Recruitment &amp; advertising (including DBS checks)]:[Non-Staffing Direct Cost: Other  - please specify (amount) 2]])</f>
        <v>123897</v>
      </c>
      <c r="KQ10" s="21">
        <f>SUM(DATA[[#This Row],[Insurance ]:[Indirect costs: Other 2 - please specify (amount)]])</f>
        <v>67046</v>
      </c>
      <c r="KR10" s="21">
        <f>SUM(DATA[[#This Row],[Central / Regional Management]],DATA[[#This Row],[Support Services (finance / HR / Payroll / legal etc.)]],DATA[[#This Row],[Corporate Overheads: Other  - please specify (amount) 1]],DATA[[#This Row],[Corporate Overheads: Other  - please specify (amount) 2]])</f>
        <v>30857</v>
      </c>
      <c r="KS10"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0.68605179463880051</v>
      </c>
      <c r="KT10"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14.100354384370741</v>
      </c>
      <c r="KU10"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0.34529759200363469</v>
      </c>
      <c r="KV10"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0"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10" s="30">
        <f>IF(OR(NOT(DATA[[#This Row],[Total annual expenditure: Travel Cost]]&gt;0),NOT(DATA[[#This Row],[Number of hours of care charged for in last full accounting year]]&gt;0)),0,DATA[[#This Row],[Total annual expenditure: Travel Cost]]/DATA[[#This Row],[Number of hours of care charged for in last full accounting year]])</f>
        <v>0.12920490686051794</v>
      </c>
      <c r="KY10"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10"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0.1340299863698319</v>
      </c>
      <c r="LA10"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6.8150840527033171E-2</v>
      </c>
      <c r="LB10"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10" s="30">
        <f>IF(OR(NOT(DATA[[#This Row],[Care consumables &amp; uniforms]]&gt;0),NOT(DATA[[#This Row],[Number of hours of care charged for in last full accounting year]]&gt;0)),0,DATA[[#This Row],[Care consumables &amp; uniforms]]/DATA[[#This Row],[Number of hours of care charged for in last full accounting year]])</f>
        <v>0.1226715129486597</v>
      </c>
      <c r="LD10" s="30">
        <f>IF(OR(NOT(DATA[[#This Row],[Electronic call monitoring]]&gt;0),NOT(DATA[[#This Row],[Number of hours of care charged for in last full accounting year]]&gt;0)),0,DATA[[#This Row],[Electronic call monitoring]]/DATA[[#This Row],[Number of hours of care charged for in last full accounting year]])</f>
        <v>0</v>
      </c>
      <c r="LE10" s="30">
        <f>IF(OR(NOT(DATA[[#This Row],[IT Equipment &amp; Telephoney]]&gt;0),NOT(DATA[[#This Row],[Number of hours of care charged for in last full accounting year]]&gt;0)),0,DATA[[#This Row],[IT Equipment &amp; Telephoney]]/DATA[[#This Row],[Number of hours of care charged for in last full accounting year]])</f>
        <v>5.4520672421626531E-2</v>
      </c>
      <c r="LF10"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0.23169922762380735</v>
      </c>
      <c r="LG10"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8.5870059064061796E-2</v>
      </c>
      <c r="LH10" s="30">
        <f>IF(OR(NOT(DATA[[#This Row],[Insurance ]]&gt;0),NOT(DATA[[#This Row],[Number of hours of care charged for in last full accounting year]]&gt;0)),0,DATA[[#This Row],[Insurance ]]/DATA[[#This Row],[Number of hours of care charged for in last full accounting year]])</f>
        <v>5.7455701953657429E-2</v>
      </c>
      <c r="LI10"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10" s="30">
        <f>IF(OR(NOT(DATA[[#This Row],[Repairs and maintenance]]&gt;0),NOT(DATA[[#This Row],[Number of hours of care charged for in last full accounting year]]&gt;0)),0,DATA[[#This Row],[Repairs and maintenance]]/DATA[[#This Row],[Number of hours of care charged for in last full accounting year]])</f>
        <v>0.10001363016810541</v>
      </c>
      <c r="LK10"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7.996365288505225E-2</v>
      </c>
      <c r="LL10" s="30">
        <f>IF(OR(NOT(DATA[[#This Row],[Registration &amp; Inspection fees ]]&gt;0),NOT(DATA[[#This Row],[Number of hours of care charged for in last full accounting year]]&gt;0)),0,DATA[[#This Row],[Registration &amp; Inspection fees ]]/DATA[[#This Row],[Number of hours of care charged for in last full accounting year]])</f>
        <v>1.9454793275783734E-2</v>
      </c>
      <c r="LM10" s="30">
        <f>IF(OR(NOT(DATA[[#This Row],[Subscriptions]]&gt;0),NOT(DATA[[#This Row],[Number of hours of care charged for in last full accounting year]]&gt;0)),0,DATA[[#This Row],[Subscriptions]]/DATA[[#This Row],[Number of hours of care charged for in last full accounting year]])</f>
        <v>0</v>
      </c>
      <c r="LN10" s="30">
        <f>IF(OR(NOT(DATA[[#This Row],[Cost of finance]]&gt;0),NOT(DATA[[#This Row],[Number of hours of care charged for in last full accounting year]]&gt;0)),0,DATA[[#This Row],[Cost of finance]]/DATA[[#This Row],[Number of hours of care charged for in last full accounting year]])</f>
        <v>0</v>
      </c>
      <c r="LO10" s="30">
        <f>IF(OR(NOT(DATA[[#This Row],[Other non-staff current expenses]]&gt;0),NOT(DATA[[#This Row],[Number of hours of care charged for in last full accounting year]]&gt;0)),0,DATA[[#This Row],[Other non-staff current expenses]]/DATA[[#This Row],[Number of hours of care charged for in last full accounting year]])</f>
        <v>0</v>
      </c>
      <c r="LP10"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2.5920036347114948E-2</v>
      </c>
      <c r="LQ10"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2.1808268968650613E-2</v>
      </c>
      <c r="LR10" s="30">
        <f>IF(OR(NOT(DATA[[#This Row],[Central / Regional Management]]&gt;0),NOT(DATA[[#This Row],[Number of hours of care charged for in last full accounting year]]&gt;0)),0,DATA[[#This Row],[Central / Regional Management]]/DATA[[#This Row],[Number of hours of care charged for in last full accounting year]])</f>
        <v>0</v>
      </c>
      <c r="LS10"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10"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0.14019536574284416</v>
      </c>
      <c r="LU10"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10" s="30">
        <f>SUM(DATA[[#This Row],[Management staff HOURLY RATE]:[Corporate Overheads: Other  - please specify (amount) 2 HOURLY RATE]])</f>
        <v>16.402662426169929</v>
      </c>
      <c r="LW10" s="30">
        <f>IF(OR(NOT(DATA[[#This Row],[Net Operating Profit]]&gt;0),NOT(DATA[[#This Row],[Number of hours of care charged for in last full accounting year]]&gt;0)),"",DATA[[#This Row],[Net Operating Profit]]/DATA[[#This Row],[Number of hours of care charged for in last full accounting year]])</f>
        <v>0.59505679236710585</v>
      </c>
      <c r="LX10" s="30">
        <f>IF(OR(NOT(DATA[[#This Row],[Return on Capital employed]]&gt;0),NOT(DATA[[#This Row],[Number of hours of care charged for in last full accounting year]]&gt;0)),0,DATA[[#This Row],[Return on Capital employed]]/DATA[[#This Row],[Number of hours of care charged for in last full accounting year]])</f>
        <v>0</v>
      </c>
      <c r="LY10" s="31">
        <v>4</v>
      </c>
      <c r="LZ10" s="30" t="s">
        <v>358</v>
      </c>
      <c r="MA10" s="30" t="b">
        <f>DATA[[#This Row],[Number of Home support clients:]]&gt;0</f>
        <v>0</v>
      </c>
      <c r="MB10" s="30" t="b">
        <f>DATA[[#This Row],[Number of supported living clients:]]&gt;0</f>
        <v>1</v>
      </c>
      <c r="MC10" s="30" t="b">
        <f>DATA[[#This Row],[Total Home Support Hours]]&gt;0</f>
        <v>0</v>
      </c>
      <c r="MD10" s="30" t="b">
        <f>DATA[[#This Row],[Total Supported Living Hours]]&gt;0</f>
        <v>1</v>
      </c>
      <c r="ME10" s="30" t="b">
        <f>DATA[[#This Row],[Home Support service split percentage (Expenditure):]]&gt;0.5</f>
        <v>0</v>
      </c>
      <c r="MF10" s="30" t="b">
        <f>DATA[[#This Row],[Agency staff HOURLY RATE]]=0</f>
        <v>1</v>
      </c>
      <c r="MG10" s="30">
        <f>IFERROR(IF(AVERAGE(DATA[[#This Row],[Registered manager: Current 2021/22 Minimum hourly pay rate ADJUSTED]],DATA[[#This Row],[Registered manager: Current 2021/22 Maximum hourly pay rate ADJUSTED]])&lt;LIVING_WAGE_22_23,DATA[[#This Row],[Registered manager: Numbers employed (Full Time Equivalent)]],0),"")</f>
        <v>0</v>
      </c>
      <c r="MH10" s="30" t="str">
        <f>IFERROR(IF(AVERAGE(DATA[[#This Row],[Deputy manager: Current 2021/22 Minimum hourly pay rate ADJUSTED]],DATA[[#This Row],[Deputy manager: Current 2021/22 Maximum hourly pay rate ADJUSTED]])&lt;LIVING_WAGE_22_23,DATA[[#This Row],[Deputy manager: Numbers employed (Full Time Equivalent)]],0),"")</f>
        <v/>
      </c>
      <c r="MI10" s="30">
        <f>IFERROR(IF(AVERAGE(DATA[[#This Row],[Other manager 1: Current 2021/22 Minimum hourly pay rate ADJUSTED]],DATA[[#This Row],[Other manager 1: Current 2021/22 Maximum hourly pay rate ADJUSTED]])&lt;LIVING_WAGE_22_23,DATA[[#This Row],[Other manager 1: Numbers employed (Full Time Equivalent)]],0),"")</f>
        <v>0</v>
      </c>
      <c r="MJ10" s="30" t="str">
        <f>IFERROR(IF(AVERAGE(DATA[[#This Row],[Other manager 2: Current 2021/22 Minimum hourly pay rate ADJUSTED]],DATA[[#This Row],[Other manager 2: Current 2021/22 Maximum hourly pay rate ADJUSTED]])&lt;LIVING_WAGE_22_23,DATA[[#This Row],[Other manager 2: Numbers employed (Full Time Equivalent)]],0),"")</f>
        <v/>
      </c>
      <c r="MK10" s="30" t="str">
        <f>IFERROR(IF(AVERAGE(DATA[[#This Row],[Other manager 3: Current 2021/22 Minimum hourly pay rate ADJUSTED]],DATA[[#This Row],[Other manager 3: Current 2021/22 Maximum hourly pay rate ADJUSTED]])&lt;LIVING_WAGE_22_23,DATA[[#This Row],[Other manager 3: Numbers employed (Full Time Equivalent)]],0),"")</f>
        <v/>
      </c>
      <c r="ML10" s="30">
        <f>IFERROR(IF(AVERAGE(DATA[[#This Row],[Care Assistant 1: Current 2021/22 Minimum hourly pay rate ADJUSTED]],DATA[[#This Row],[Care Assistant 1: Current 2021/22 Maximum hourly pay rate ADJUSTED]])&lt;LIVING_WAGE_22_23,DATA[[#This Row],[Care Assistant 1: Numbers employed (Full Time Equivalent)]],0),"")</f>
        <v>12.8</v>
      </c>
      <c r="MM10" s="30" t="str">
        <f>IFERROR(IF(AVERAGE(DATA[[#This Row],[Care Assistant 2: Current 2021/22 Minimum hourly pay rate ADJUSTED]],DATA[[#This Row],[Care Assistant 2: Current 2021/22 Maximum hourly pay rate ADJUSTED]])&lt;LIVING_WAGE_22_23,DATA[[#This Row],[Care Assistant 2: Numbers employed (Full Time Equivalent)]],0),"")</f>
        <v/>
      </c>
      <c r="MN10" s="30" t="str">
        <f>IFERROR(IF(AVERAGE(DATA[[#This Row],[Care Assistant 3: Current 2021/22 Minimum hourly pay rate ADJUSTED]],DATA[[#This Row],[Care Assistant 3: Current 2021/22 Maximum hourly pay rate ADJUSTED]])&lt;LIVING_WAGE_22_23,DATA[[#This Row],[Care Assistant 3: Numbers employed (Full Time Equivalent)]],0),"")</f>
        <v/>
      </c>
      <c r="MO10" s="30" t="str">
        <f>IFERROR(IF(AVERAGE(DATA[[#This Row],[Care Assistant 4: Current 2021/22 Minimum hourly pay rate ADJUSTED]],DATA[[#This Row],[Care Assistant 4: Current 2021/22 Maximum hourly pay rate ADJUSTED]])&lt;LIVING_WAGE_22_23,DATA[[#This Row],[Care Assistant 4: Numbers employed (Full Time Equivalent)]],0),"")</f>
        <v/>
      </c>
      <c r="MP10"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10"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10" s="30" t="str">
        <f>IFERROR(IF(AVERAGE(DATA[[#This Row],[Other staff 1: Current 2021/22 Minimum hourly pay rate ADJUSTED]],DATA[[#This Row],[Other staff 1: Current 2021/22 Maximum hourly pay rate ADJUSTED]])&lt;LIVING_WAGE_22_23,DATA[[#This Row],[Other staff 1: Numbers employed (Full Time Equivalent)]],0),"")</f>
        <v/>
      </c>
      <c r="MS10" s="30" t="str">
        <f>IFERROR(IF(AVERAGE(DATA[[#This Row],[Other staff 2: Current 2021/22 Minimum hourly pay rate ADJUSTED]],DATA[[#This Row],[Other staff 2: Current 2021/22 Maximum hourly pay rate ADJUSTED]])&lt;LIVING_WAGE_22_23,DATA[[#This Row],[Other staff 2: Numbers employed (Full Time Equivalent)]],0),"")</f>
        <v/>
      </c>
      <c r="MT10" s="30" t="str">
        <f>IFERROR(IF(AVERAGE(DATA[[#This Row],[Other staff 3: Current 2021/22 Minimum hourly pay rate ADJUSTED]],DATA[[#This Row],[Other staff 3: Current 2021/22 Maximum hourly pay rate ADJUSTED]])&lt;LIVING_WAGE_22_23,DATA[[#This Row],[Other staff 3: Numbers employed (Full Time Equivalent)]],0),"")</f>
        <v/>
      </c>
      <c r="MU10" s="30">
        <f>SUM(DATA[[#This Row],[Registered Manager FTE earning less than NLW 23yrs 2022/23]:[Other staff 3 FTE earning less than NLW 23yrs 2022/23]])</f>
        <v>12.8</v>
      </c>
      <c r="MV10"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10"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10"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10"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10"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10"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3.9680000000000066</v>
      </c>
      <c r="NB10"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10"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10"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10"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10"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10"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10"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10"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10" s="30" t="b">
        <v>1</v>
      </c>
      <c r="NK10" s="30" t="b">
        <v>0</v>
      </c>
      <c r="NL10" s="30" t="s">
        <v>973</v>
      </c>
      <c r="NM10" s="30">
        <f>SUM(DATA[[#This Row],[Management staff HOURLY RATE]:[Training and development HOURLY RATE]])</f>
        <v>15.394938664243526</v>
      </c>
      <c r="NN10" s="30">
        <f>SUM(DATA[[#This Row],[Recruitment &amp; advertising (including DBS checks) HOURLY RATE]:[Non-Staffing Direct Cost: Other  - please specify (amount) 2 HOURLY RATE]])</f>
        <v>0.56291231258518848</v>
      </c>
      <c r="NO10" s="30">
        <f>SUM(DATA[[#This Row],[Insurance  HOURLY RATE]:[Indirect costs: Other  - please specify (amount) 2 HOURLY RATE]])</f>
        <v>0.3046160835983644</v>
      </c>
      <c r="NP10" s="30">
        <f>SUM(DATA[[#This Row],[Central / Regional Management HOURLY RATE]:[Corporate Overheads: Other  - please specify (amount) 2 HOURLY RATE]])</f>
        <v>0.14019536574284416</v>
      </c>
      <c r="NQ10"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10" s="30" t="str">
        <f>IFERROR(IF(AVERAGE(DATA[[#This Row],[Deputy manager: Current 2021/22 Minimum hourly pay rate ADJUSTED]],DATA[[#This Row],[Deputy manager: Current 2021/22 Maximum hourly pay rate ADJUSTED]])&lt;REAL_LIVING_WAGE_22_23,DATA[[#This Row],[Deputy manager: Numbers employed (Full Time Equivalent)]],0),"")</f>
        <v/>
      </c>
      <c r="NS10" s="30">
        <f>IFERROR(IF(AVERAGE(DATA[[#This Row],[Other manager 1: Current 2021/22 Minimum hourly pay rate ADJUSTED]],DATA[[#This Row],[Other manager 1: Current 2021/22 Maximum hourly pay rate ADJUSTED]])&lt;REAL_LIVING_WAGE_22_23,DATA[[#This Row],[Other manager 1: Numbers employed (Full Time Equivalent)]],0),"")</f>
        <v>0</v>
      </c>
      <c r="NT10" s="30" t="str">
        <f>IFERROR(IF(AVERAGE(DATA[[#This Row],[Other manager 2: Current 2021/22 Minimum hourly pay rate ADJUSTED]],DATA[[#This Row],[Other manager 2: Current 2021/22 Maximum hourly pay rate ADJUSTED]])&lt;REAL_LIVING_WAGE_22_23,DATA[[#This Row],[Other manager 2: Numbers employed (Full Time Equivalent)]],0),"")</f>
        <v/>
      </c>
      <c r="NU10" s="30" t="str">
        <f>IFERROR(IF(AVERAGE(DATA[[#This Row],[Other manager 3: Current 2021/22 Minimum hourly pay rate ADJUSTED]],DATA[[#This Row],[Other manager 3: Current 2021/22 Maximum hourly pay rate ADJUSTED]])&lt;REAL_LIVING_WAGE_22_23,DATA[[#This Row],[Other manager 3: Numbers employed (Full Time Equivalent)]],0),"")</f>
        <v/>
      </c>
      <c r="NV10" s="30">
        <f>IFERROR(IF(AVERAGE(DATA[[#This Row],[Care Assistant 1: Current 2021/22 Minimum hourly pay rate ADJUSTED]],DATA[[#This Row],[Care Assistant 1: Current 2021/22 Maximum hourly pay rate ADJUSTED]])&lt;REAL_LIVING_WAGE_22_23,DATA[[#This Row],[Care Assistant 1: Numbers employed (Full Time Equivalent)]],0),"")</f>
        <v>12.8</v>
      </c>
      <c r="NW10"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10"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10"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10"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10"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10" s="30" t="str">
        <f>IFERROR(IF(AVERAGE(DATA[[#This Row],[Other staff 1: Current 2021/22 Minimum hourly pay rate ADJUSTED]],DATA[[#This Row],[Other staff 1: Current 2021/22 Maximum hourly pay rate ADJUSTED]])&lt;REAL_LIVING_WAGE_22_23,DATA[[#This Row],[Other staff 1: Numbers employed (Full Time Equivalent)]],0),"")</f>
        <v/>
      </c>
      <c r="OC10" s="30" t="str">
        <f>IFERROR(IF(AVERAGE(DATA[[#This Row],[Other staff 2: Current 2021/22 Minimum hourly pay rate ADJUSTED]],DATA[[#This Row],[Other staff 2: Current 2021/22 Maximum hourly pay rate ADJUSTED]])&lt;REAL_LIVING_WAGE_22_23,DATA[[#This Row],[Other staff 2: Numbers employed (Full Time Equivalent)]],0),"")</f>
        <v/>
      </c>
      <c r="OD10" s="30" t="str">
        <f>IFERROR(IF(AVERAGE(DATA[[#This Row],[Other staff 3: Current 2021/22 Minimum hourly pay rate ADJUSTED]],DATA[[#This Row],[Other staff 3: Current 2021/22 Maximum hourly pay rate ADJUSTED]])&lt;REAL_LIVING_WAGE_22_23,DATA[[#This Row],[Other staff 3: Numbers employed (Full Time Equivalent)]],0),"")</f>
        <v/>
      </c>
      <c r="OE10" s="30">
        <f>SUM(DATA[[#This Row],[Registered Manager FTE earning less than RLW 23yrs 2022/23]:[Other staff 3 FTE earning less than RLW 23yrs 2022/23]])</f>
        <v>12.8</v>
      </c>
      <c r="OF10"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10"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10"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10"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10"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10"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9.0880000000000116</v>
      </c>
      <c r="OL10"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10"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10"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10"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10"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10"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10"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10"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10" s="30">
        <f>IFERROR(IF(DATA[[#This Row],[Registered manager: Numbers employed (Full Time Equivalent)]]=0,"",DATA[[#This Row],[Registered manager: Current 2021/22 Minimum hourly pay rate ADJUSTED 2]]*DATA[[#This Row],[Registered manager: Numbers employed (Full Time Equivalent)]]),"")</f>
        <v>6.5</v>
      </c>
      <c r="OU10" s="30">
        <f>IFERROR(IF(DATA[[#This Row],[Registered manager: Numbers employed (Full Time Equivalent)]]=0,"",DATA[[#This Row],[Registered manager: Current 2021/22 Maximum hourly pay rate ADJUSTED 2]]*DATA[[#This Row],[Registered manager: Numbers employed (Full Time Equivalent)]]),"")</f>
        <v>6.5</v>
      </c>
      <c r="OV10" s="30">
        <f>IFERROR(IF(DATA[[#This Row],[Registered manager: Numbers employed (Full Time Equivalent)]]=0,"",DATA[[#This Row],[Registered manager: Previous 2020/21 Minimum hourly pay rate ADJUSTED 2]]*DATA[[#This Row],[Registered manager: Numbers employed (Full Time Equivalent)]]),"")</f>
        <v>6.25</v>
      </c>
      <c r="OW10" s="30">
        <f>IFERROR(IF(DATA[[#This Row],[Registered manager: Numbers employed (Full Time Equivalent)]]=0,"",DATA[[#This Row],[Registered manager: Previous 2020/21 Maximum hourly pay rate ADJUSTED 2]]*DATA[[#This Row],[Registered manager: Numbers employed (Full Time Equivalent)]]),"")</f>
        <v>6.25</v>
      </c>
      <c r="OX10" s="30" t="str">
        <f>IFERROR(IF(DATA[[#This Row],[Deputy manager: Numbers employed (Full Time Equivalent)]]=0,"",DATA[[#This Row],[Deputy manager: Current 2021/22 Minimum hourly pay rate ADJUSTED 2]]*DATA[[#This Row],[Deputy manager: Numbers employed (Full Time Equivalent)]]),"")</f>
        <v/>
      </c>
      <c r="OY10" s="30" t="str">
        <f>IFERROR(IF(DATA[[#This Row],[Deputy manager: Numbers employed (Full Time Equivalent)]]=0,"",DATA[[#This Row],[Deputy manager: Current 2021/22 Maximum hourly pay rate ADJUSTED 2]]*DATA[[#This Row],[Deputy manager: Numbers employed (Full Time Equivalent)]]),"")</f>
        <v/>
      </c>
      <c r="OZ10" s="30" t="str">
        <f>IFERROR(IF(DATA[[#This Row],[Deputy manager: Numbers employed (Full Time Equivalent)]]=0,"",DATA[[#This Row],[Deputy manager: Previous 2020/21 Minimum hourly pay rate ADJUSTED 2]]*DATA[[#This Row],[Deputy manager: Numbers employed (Full Time Equivalent)]]),"")</f>
        <v/>
      </c>
      <c r="PA10" s="30" t="str">
        <f>IFERROR(IF(DATA[[#This Row],[Deputy manager: Numbers employed (Full Time Equivalent)]]=0,"",DATA[[#This Row],[Deputy manager: Previous 2020/21 Maximum hourly pay rate ADJUSTED 2]]*DATA[[#This Row],[Deputy manager: Numbers employed (Full Time Equivalent)]]),"")</f>
        <v/>
      </c>
      <c r="PB10" s="30">
        <f>IFERROR(IF(DATA[[#This Row],[Other manager 1: Numbers employed (Full Time Equivalent)]]=0,"",DATA[[#This Row],[Other manager 1: Current 2021/22 Minimum hourly pay rate ADJUSTED 2]]*DATA[[#This Row],[Other manager 1: Numbers employed (Full Time Equivalent)]]),"")</f>
        <v>46.88</v>
      </c>
      <c r="PC10" s="30">
        <f>IFERROR(IF(DATA[[#This Row],[Other manager 1: Numbers employed (Full Time Equivalent)]]=0,"",DATA[[#This Row],[Other manager 1: Current 2021/22 Maximum hourly pay rate ADJUSTED 2]]*DATA[[#This Row],[Other manager 1: Numbers employed (Full Time Equivalent)]]),"")</f>
        <v>46.88</v>
      </c>
      <c r="PD10" s="30">
        <f>IFERROR(IF(DATA[[#This Row],[Other manager 1: Numbers employed (Full Time Equivalent)]]=0,"",DATA[[#This Row],[Other manager 1: Previous 2020/21 Minimum hourly pay rate ADJUSTED 2]]*DATA[[#This Row],[Other manager 1: Numbers employed (Full Time Equivalent)]]),"")</f>
        <v>46.2</v>
      </c>
      <c r="PE10" s="30">
        <f>IFERROR(IF(DATA[[#This Row],[Other manager 1: Numbers employed (Full Time Equivalent)]]=0,"",DATA[[#This Row],[Other manager 1: Previous 2020/21 Maximum hourly pay rate ADJUSTED 2]]*DATA[[#This Row],[Other manager 1: Numbers employed (Full Time Equivalent)]]),"")</f>
        <v>46.2</v>
      </c>
      <c r="PF10" s="30" t="str">
        <f>IFERROR(IF(DATA[[#This Row],[Other manager 2: Numbers employed (Full Time Equivalent)]]=0,"",DATA[[#This Row],[Other manager 2: Current 2021/22 Minimum hourly pay rate ADJUSTED 2]]*DATA[[#This Row],[Other manager 2: Numbers employed (Full Time Equivalent)]]),"")</f>
        <v/>
      </c>
      <c r="PG10" s="30" t="str">
        <f>IFERROR(IF(DATA[[#This Row],[Other manager 2: Numbers employed (Full Time Equivalent)]]=0,"",DATA[[#This Row],[Other manager 2: Current 2021/22 Maximum hourly pay rate ADJUSTED 2]]*DATA[[#This Row],[Other manager 2: Numbers employed (Full Time Equivalent)]]),"")</f>
        <v/>
      </c>
      <c r="PH10" s="30" t="str">
        <f>IFERROR(IF(DATA[[#This Row],[Other manager 2: Numbers employed (Full Time Equivalent)]]=0,"",DATA[[#This Row],[Other manager 2: Previous 2020/21 Minimum hourly pay rate ADJUSTED 2]]*DATA[[#This Row],[Other manager 2: Numbers employed (Full Time Equivalent)]]),"")</f>
        <v/>
      </c>
      <c r="PI10" s="30" t="str">
        <f>IFERROR(IF(DATA[[#This Row],[Other manager 2: Numbers employed (Full Time Equivalent)]]=0,"",DATA[[#This Row],[Other manager 2: Previous 2020/21 Maximum hourly pay rate ADJUSTED 2]]*DATA[[#This Row],[Other manager 2: Numbers employed (Full Time Equivalent)]]),"")</f>
        <v/>
      </c>
      <c r="PJ10" s="30" t="str">
        <f>IFERROR(IF(DATA[[#This Row],[Other manager 3: Numbers employed (Full Time Equivalent)]]=0,"",DATA[[#This Row],[Other manager 3: Current 2021/22 Minimum hourly pay rate ADJUSTED 2]]*DATA[[#This Row],[Other manager 3: Numbers employed (Full Time Equivalent)]]),"")</f>
        <v/>
      </c>
      <c r="PK10" s="30" t="str">
        <f>IFERROR(IF(DATA[[#This Row],[Other manager 3: Numbers employed (Full Time Equivalent)]]=0,"",DATA[[#This Row],[Other manager 3: Current 2021/22 Maximum hourly pay rate ADJUSTED 2]]*DATA[[#This Row],[Other manager 3: Numbers employed (Full Time Equivalent)]]),"")</f>
        <v/>
      </c>
      <c r="PL10" s="30" t="str">
        <f>IFERROR(IF(DATA[[#This Row],[Other manager 3: Numbers employed (Full Time Equivalent)]]=0,"",DATA[[#This Row],[Other manager 3: Previous 2020/21 Minimum hourly pay rate ADJUSTED 2]]*DATA[[#This Row],[Other manager 3: Numbers employed (Full Time Equivalent)]]),"")</f>
        <v/>
      </c>
      <c r="PM10" s="30" t="str">
        <f>IFERROR(IF(DATA[[#This Row],[Other manager 3: Numbers employed (Full Time Equivalent)]]=0,"",DATA[[#This Row],[Other manager 3: Previous 2020/21 Maximum hourly pay rate ADJUSTED 2]]*DATA[[#This Row],[Other manager 3: Numbers employed (Full Time Equivalent)]]),"")</f>
        <v/>
      </c>
      <c r="PN10" s="30">
        <f>IFERROR(IF(DATA[[#This Row],[Care Assistant 1: Numbers employed (Full Time Equivalent)]]=0,"",DATA[[#This Row],[Care Assistant 1: Current 2021/22 Minimum hourly pay rate ADJUSTED 2]]*DATA[[#This Row],[Care Assistant 1: Numbers employed (Full Time Equivalent)]]),"")</f>
        <v>117.63200000000001</v>
      </c>
      <c r="PO10" s="30">
        <f>IFERROR(IF(DATA[[#This Row],[Care Assistant 1: Numbers employed (Full Time Equivalent)]]=0,"",DATA[[#This Row],[Care Assistant 1: Current 2021/22 Maximum hourly pay rate ADJUSTED 2]]*DATA[[#This Row],[Care Assistant 1: Numbers employed (Full Time Equivalent)]]),"")</f>
        <v>117.63200000000001</v>
      </c>
      <c r="PP10" s="30">
        <f>IFERROR(IF(DATA[[#This Row],[Care Assistant 1: Numbers employed (Full Time Equivalent)]]=0,"",DATA[[#This Row],[Care Assistant 1: Previous 2020/21 Minimum hourly pay rate ADJUSTED 2]]*DATA[[#This Row],[Care Assistant 1: Numbers employed (Full Time Equivalent)]]),"")</f>
        <v>112</v>
      </c>
      <c r="PQ10" s="30">
        <f>IFERROR(IF(DATA[[#This Row],[Care Assistant 1: Numbers employed (Full Time Equivalent)]]=0,"",DATA[[#This Row],[Care Assistant 1: Previous 2020/21 Maximum hourly pay rate ADJUSTED 2]]*DATA[[#This Row],[Care Assistant 1: Numbers employed (Full Time Equivalent)]]),"")</f>
        <v>112</v>
      </c>
      <c r="PR10" s="30" t="str">
        <f>IFERROR(IF(DATA[[#This Row],[Care Assistant 2: Numbers employed (Full Time Equivalent)]]=0,"",DATA[[#This Row],[Care Assistant 2: Current 2021/22 Minimum hourly pay rate ADJUSTED 2]]*DATA[[#This Row],[Care Assistant 2: Numbers employed (Full Time Equivalent)]]),"")</f>
        <v/>
      </c>
      <c r="PS10" s="30" t="str">
        <f>IFERROR(IF(DATA[[#This Row],[Care Assistant 2: Numbers employed (Full Time Equivalent)]]=0,"",DATA[[#This Row],[Care Assistant 2: Current 2021/22 Maximum hourly pay rate ADJUSTED 2]]*DATA[[#This Row],[Care Assistant 2: Numbers employed (Full Time Equivalent)]]),"")</f>
        <v/>
      </c>
      <c r="PT10" s="30" t="str">
        <f>IFERROR(IF(DATA[[#This Row],[Care Assistant 2: Numbers employed (Full Time Equivalent)]]=0,"",DATA[[#This Row],[Care Assistant 2: Previous 2020/21 Minimum hourly pay rate ADJUSTED 2]]*DATA[[#This Row],[Care Assistant 2: Numbers employed (Full Time Equivalent)]]),"")</f>
        <v/>
      </c>
      <c r="PU10" s="30" t="str">
        <f>IFERROR(IF(DATA[[#This Row],[Care Assistant 2: Numbers employed (Full Time Equivalent)]]=0,"",DATA[[#This Row],[Care Assistant 2: Previous 2020/21 Maximum hourly pay rate ADJUSTED 2]]*DATA[[#This Row],[Care Assistant 2: Numbers employed (Full Time Equivalent)]]),"")</f>
        <v/>
      </c>
      <c r="PV10" s="30" t="str">
        <f>IFERROR(IF(DATA[[#This Row],[Care Assistant 3: Numbers employed (Full Time Equivalent)]]=0,"",DATA[[#This Row],[Care Assistant 3: Current 2021/22 Minimum hourly pay rate ADJUSTED 2]]*DATA[[#This Row],[Care Assistant 3: Numbers employed (Full Time Equivalent)]]),"")</f>
        <v/>
      </c>
      <c r="PW10" s="30" t="str">
        <f>IFERROR(IF(DATA[[#This Row],[Care Assistant 3: Numbers employed (Full Time Equivalent)]]=0,"",DATA[[#This Row],[Care Assistant 3: Current 2021/22 Maximum hourly pay rate ADJUSTED 2]]*DATA[[#This Row],[Care Assistant 3: Numbers employed (Full Time Equivalent)]]),"")</f>
        <v/>
      </c>
      <c r="PX10" s="30" t="str">
        <f>IFERROR(IF(DATA[[#This Row],[Care Assistant 3: Numbers employed (Full Time Equivalent)]]=0,"",DATA[[#This Row],[Care Assistant 3: Previous 2020/21 Minimum hourly pay rate ADJUSTED 2]]*DATA[[#This Row],[Care Assistant 3: Numbers employed (Full Time Equivalent)]]),"")</f>
        <v/>
      </c>
      <c r="PY10" s="30" t="str">
        <f>IFERROR(IF(DATA[[#This Row],[Care Assistant 3: Numbers employed (Full Time Equivalent)]]=0,"",DATA[[#This Row],[Care Assistant 3: Previous 2020/21 Maximum hourly pay rate ADJUSTED 2]]*DATA[[#This Row],[Care Assistant 3: Numbers employed (Full Time Equivalent)]]),"")</f>
        <v/>
      </c>
      <c r="PZ10" s="30" t="str">
        <f>IFERROR(IF(DATA[[#This Row],[Care Assistant 4: Numbers employed (Full Time Equivalent)]]=0,"",DATA[[#This Row],[Care Assistant 4: Current 2021/22 Minimum hourly pay rate ADJUSTED 2]]*DATA[[#This Row],[Care Assistant 4: Numbers employed (Full Time Equivalent)]]),"")</f>
        <v/>
      </c>
      <c r="QA10" s="30" t="str">
        <f>IFERROR(IF(DATA[[#This Row],[Care Assistant 4: Numbers employed (Full Time Equivalent)]]=0,"",DATA[[#This Row],[Care Assistant 4: Current 2021/22 Maximum hourly pay rate ADJUSTED 2]]*DATA[[#This Row],[Care Assistant 4: Numbers employed (Full Time Equivalent)]]),"")</f>
        <v/>
      </c>
      <c r="QB10" s="30" t="str">
        <f>IFERROR(IF(DATA[[#This Row],[Care Assistant 4: Numbers employed (Full Time Equivalent)]]=0,"",DATA[[#This Row],[Care Assistant 4: Previous 2020/21 Minimum hourly pay rate ADJUSTED 2]]*DATA[[#This Row],[Care Assistant 4: Numbers employed (Full Time Equivalent)]]),"")</f>
        <v/>
      </c>
      <c r="QC10" s="30" t="str">
        <f>IFERROR(IF(DATA[[#This Row],[Care Assistant 4: Numbers employed (Full Time Equivalent)]]=0,"",DATA[[#This Row],[Care Assistant 4: Previous 2020/21 Maximum hourly pay rate ADJUSTED 2]]*DATA[[#This Row],[Care Assistant 4: Numbers employed (Full Time Equivalent)]]),"")</f>
        <v/>
      </c>
      <c r="QD10" s="30">
        <f>IFERROR(IF(DATA[[#This Row],[Administrative Officer 1: Numbers employed (Full Time Equivalent)]]=0,"",DATA[[#This Row],[Administrative Officer 1: Current 2021/22 Minimum hourly pay rate ADJUSTED 2]]*DATA[[#This Row],[Administrative Officer 1: Numbers employed (Full Time Equivalent)]]),"")</f>
        <v>6.2116000000000007</v>
      </c>
      <c r="QE10" s="30">
        <f>IFERROR(IF(DATA[[#This Row],[Administrative Officer 1: Numbers employed (Full Time Equivalent)]]=0,"",DATA[[#This Row],[Administrative Officer 1: Current 2021/22 Maximum hourly pay rate ADJUSTED 2]]*DATA[[#This Row],[Administrative Officer 1: Numbers employed (Full Time Equivalent)]]),"")</f>
        <v>6.2116000000000007</v>
      </c>
      <c r="QF10" s="30">
        <f>IFERROR(IF(DATA[[#This Row],[Administrative Officer 1: Numbers employed (Full Time Equivalent)]]=0,"",DATA[[#This Row],[Administrative Officer 1: Previous 2020/21 Minimum hourly pay rate ADJUSTED 2]]*DATA[[#This Row],[Administrative Officer 1: Numbers employed (Full Time Equivalent)]]),"")</f>
        <v>6.1215000000000011</v>
      </c>
      <c r="QG10" s="30">
        <f>IFERROR(IF(DATA[[#This Row],[Administrative Officer 1: Numbers employed (Full Time Equivalent)]]=0,"",DATA[[#This Row],[Administrative Officer 1: Previous 2020/21 Maximum hourly pay rate ADJUSTED 2]]*DATA[[#This Row],[Administrative Officer 1: Numbers employed (Full Time Equivalent)]]),"")</f>
        <v>6.1215000000000011</v>
      </c>
      <c r="QH10" s="30" t="str">
        <f>IFERROR(IF(DATA[[#This Row],[Administrative Officer 2: Numbers employed (Full Time Equivalent)]]=0,"",DATA[[#This Row],[Administrative Officer 2: Current 2021/22 Minimum hourly pay rate ADJUSTED 2]]*DATA[[#This Row],[Administrative Officer 2: Numbers employed (Full Time Equivalent)]]),"")</f>
        <v/>
      </c>
      <c r="QI10" s="30" t="str">
        <f>IFERROR(IF(DATA[[#This Row],[Administrative Officer 2: Numbers employed (Full Time Equivalent)]]=0,"",DATA[[#This Row],[Administrative Officer 2: Current 2021/22 Maximum hourly pay rate ADJUSTED 2]]*DATA[[#This Row],[Administrative Officer 2: Numbers employed (Full Time Equivalent)]]),"")</f>
        <v/>
      </c>
      <c r="QJ10" s="30" t="str">
        <f>IFERROR(IF(DATA[[#This Row],[Administrative Officer 2: Numbers employed (Full Time Equivalent)]]=0,"",DATA[[#This Row],[Administrative Officer 2: Previous 2020/21 Minimum hourly pay rate ADJUSTED 2]]*DATA[[#This Row],[Administrative Officer 2: Numbers employed (Full Time Equivalent)]]),"")</f>
        <v/>
      </c>
      <c r="QK10" s="30" t="str">
        <f>IFERROR(IF(DATA[[#This Row],[Administrative Officer 2: Numbers employed (Full Time Equivalent)]]=0,"",DATA[[#This Row],[Administrative Officer 2: Previous 2020/21 Maximum hourly pay rate ADJUSTED 2]]*DATA[[#This Row],[Administrative Officer 2: Numbers employed (Full Time Equivalent)]]),"")</f>
        <v/>
      </c>
      <c r="QL10" s="30" t="str">
        <f>IFERROR(IF(DATA[[#This Row],[Administrative Officer 3: Numbers employed (Full Time Equivalent)]]=0,"",DATA[[#This Row],[Administrative Officer 3: Current 2021/22 Minimum hourly pay rate ADJUSTED 2]]*DATA[[#This Row],[Administrative Officer 3: Numbers employed (Full Time Equivalent)]]),"")</f>
        <v/>
      </c>
      <c r="QM10" s="30" t="str">
        <f>IFERROR(IF(DATA[[#This Row],[Administrative Officer 3: Numbers employed (Full Time Equivalent)]]=0,"",DATA[[#This Row],[Administrative Officer 3: Current 2021/22 Maximum hourly pay rate ADJUSTED 2]]*DATA[[#This Row],[Administrative Officer 3: Numbers employed (Full Time Equivalent)]]),"")</f>
        <v/>
      </c>
      <c r="QN10" s="30" t="str">
        <f>IFERROR(IF(DATA[[#This Row],[Administrative Officer 3: Numbers employed (Full Time Equivalent)]]=0,"",DATA[[#This Row],[Administrative Officer 3: Previous 2020/21 Minimum hourly pay rate ADJUSTED 2]]*DATA[[#This Row],[Administrative Officer 3: Numbers employed (Full Time Equivalent)]]),"")</f>
        <v/>
      </c>
      <c r="QO10" s="30" t="str">
        <f>IFERROR(IF(DATA[[#This Row],[Administrative Officer 3: Numbers employed (Full Time Equivalent)]]=0,"",DATA[[#This Row],[Administrative Officer 3: Previous 2020/21 Maximum hourly pay rate ADJUSTED 2]]*DATA[[#This Row],[Administrative Officer 3: Numbers employed (Full Time Equivalent)]]),"")</f>
        <v/>
      </c>
      <c r="QP10" s="28" t="str">
        <f>IFERROR(IF(DATA[[#This Row],[Other staff 1: Numbers employed (Full Time Equivalent)]]=0,"",DATA[[#This Row],[Other staff 1: Current 2021/22 Minimum hourly pay rate ADJUSTED 2]]*DATA[[#This Row],[Other staff 1: Numbers employed (Full Time Equivalent)]]),"")</f>
        <v/>
      </c>
      <c r="QQ10" s="28" t="str">
        <f>IFERROR(IF(DATA[[#This Row],[Other staff 1: Numbers employed (Full Time Equivalent)]]=0,"",DATA[[#This Row],[Other staff 1: Current 2021/22 Maximum hourly pay rate ADJUSTED 2]]*DATA[[#This Row],[Other staff 1: Numbers employed (Full Time Equivalent)]]),"")</f>
        <v/>
      </c>
      <c r="QR10" s="28" t="str">
        <f>IFERROR(IF(DATA[[#This Row],[Other staff 1: Numbers employed (Full Time Equivalent)]]=0,"",DATA[[#This Row],[Other staff 1: Previous 2020/21 Minimum hourly pay rate ADJUSTED 2]]*DATA[[#This Row],[Other staff 1: Numbers employed (Full Time Equivalent)]]),"")</f>
        <v/>
      </c>
      <c r="QS10" s="28" t="str">
        <f>IFERROR(IF(DATA[[#This Row],[Other staff 1: Numbers employed (Full Time Equivalent)]]=0,"",DATA[[#This Row],[Other staff 1: Previous 2020/21 Maximum hourly pay rate ADJUSTED 2]]*DATA[[#This Row],[Other staff 1: Numbers employed (Full Time Equivalent)]]),"")</f>
        <v/>
      </c>
      <c r="QT10" s="28" t="str">
        <f>IFERROR(IF(DATA[[#This Row],[Other staff 2: Numbers employed (Full Time Equivalent)]]=0,"",DATA[[#This Row],[Other staff 2: Current 2021/22 Minimum hourly pay rate ADJUSTED 2]]*DATA[[#This Row],[Other staff 2: Numbers employed (Full Time Equivalent)]]),"")</f>
        <v/>
      </c>
      <c r="QU10" s="28" t="str">
        <f>IFERROR(IF(DATA[[#This Row],[Other staff 2: Numbers employed (Full Time Equivalent)]]=0,"",DATA[[#This Row],[Other staff 2: Current 2021/22 Maximum hourly pay rate ADJUSTED 2]]*DATA[[#This Row],[Other staff 2: Numbers employed (Full Time Equivalent)]]),"")</f>
        <v/>
      </c>
      <c r="QV10" s="28" t="str">
        <f>IFERROR(IF(DATA[[#This Row],[Other staff 2: Numbers employed (Full Time Equivalent)]]=0,"",DATA[[#This Row],[Other staff 2: Previous 2020/21 Minimum hourly pay rate ADJUSTED 2]]*DATA[[#This Row],[Other staff 2: Numbers employed (Full Time Equivalent)]]),"")</f>
        <v/>
      </c>
      <c r="QW10" s="28" t="str">
        <f>IFERROR(IF(DATA[[#This Row],[Other staff 2: Numbers employed (Full Time Equivalent)]]=0,"",DATA[[#This Row],[Other staff 2: Previous 2020/21 Maximum hourly pay rate ADJUSTED 2]]*DATA[[#This Row],[Other staff 2: Numbers employed (Full Time Equivalent)]]),"")</f>
        <v/>
      </c>
      <c r="QX10" s="28" t="str">
        <f>IFERROR(IF(DATA[[#This Row],[Other staff 3: Numbers employed (Full Time Equivalent)]]=0,"",DATA[[#This Row],[Other staff 3: Current 2021/22 Minimum hourly pay rate ADJUSTED 2]]*DATA[[#This Row],[Other staff 3: Numbers employed (Full Time Equivalent)]]),"")</f>
        <v/>
      </c>
      <c r="QY10" s="28" t="str">
        <f>IFERROR(IF(DATA[[#This Row],[Other staff 3: Numbers employed (Full Time Equivalent)]]=0,"",DATA[[#This Row],[Other staff 3: Current 2021/22 Maximum hourly pay rate ADJUSTED 2]]*DATA[[#This Row],[Other staff 3: Numbers employed (Full Time Equivalent)]]),"")</f>
        <v/>
      </c>
      <c r="QZ10" s="28" t="str">
        <f>IFERROR(IF(DATA[[#This Row],[Other staff 3: Numbers employed (Full Time Equivalent)]]=0,"",DATA[[#This Row],[Other staff 3: Previous 2020/21 Minimum hourly pay rate ADJUSTED 2]]*DATA[[#This Row],[Other staff 3: Numbers employed (Full Time Equivalent)]]),"")</f>
        <v/>
      </c>
      <c r="RA10" s="28" t="str">
        <f>IFERROR(IF(DATA[[#This Row],[Other staff 3: Numbers employed (Full Time Equivalent)]]=0,"",DATA[[#This Row],[Other staff 3: Previous 2020/21 Maximum hourly pay rate ADJUSTED 2]]*DATA[[#This Row],[Other staff 3: Numbers employed (Full Time Equivalent)]]),"")</f>
        <v/>
      </c>
      <c r="RB10"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0.25</v>
      </c>
      <c r="RC10"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10"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4</v>
      </c>
      <c r="RE10"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10"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10"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12.8</v>
      </c>
      <c r="RH10"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10"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10"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10"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0.53</v>
      </c>
      <c r="RL10"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10"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10"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10"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10"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11" spans="1:484" x14ac:dyDescent="0.25">
      <c r="G11" s="2">
        <v>5</v>
      </c>
      <c r="H11" s="2">
        <v>7</v>
      </c>
      <c r="I11" s="2">
        <v>0</v>
      </c>
      <c r="J11" s="2">
        <v>0</v>
      </c>
      <c r="K11" s="2">
        <v>0</v>
      </c>
      <c r="L11" s="2" t="s">
        <v>328</v>
      </c>
      <c r="M11" s="2" t="s">
        <v>328</v>
      </c>
      <c r="R11" s="2">
        <v>14</v>
      </c>
      <c r="S11" s="2">
        <v>14</v>
      </c>
      <c r="T11" s="2">
        <v>13.5</v>
      </c>
      <c r="U11" s="2">
        <v>13.5</v>
      </c>
      <c r="V11" s="2">
        <v>1</v>
      </c>
      <c r="W11" s="2">
        <v>0</v>
      </c>
      <c r="X11" s="2">
        <v>0</v>
      </c>
      <c r="Y11" s="2">
        <v>0</v>
      </c>
      <c r="Z11" s="2">
        <v>0</v>
      </c>
      <c r="AA11" s="2">
        <v>0</v>
      </c>
      <c r="AB11" s="2" t="s">
        <v>315</v>
      </c>
      <c r="AC11" s="2">
        <v>0</v>
      </c>
      <c r="AD11" s="2">
        <v>0</v>
      </c>
      <c r="AE11" s="2">
        <v>0</v>
      </c>
      <c r="AF11" s="2">
        <v>0</v>
      </c>
      <c r="AG11" s="2">
        <v>0</v>
      </c>
      <c r="AH11" s="2" t="s">
        <v>315</v>
      </c>
      <c r="AI11" s="2">
        <v>0</v>
      </c>
      <c r="AJ11" s="2">
        <v>0</v>
      </c>
      <c r="AK11" s="2">
        <v>0</v>
      </c>
      <c r="AL11" s="2">
        <v>0</v>
      </c>
      <c r="AM11" s="2">
        <v>0</v>
      </c>
      <c r="AN11" s="2" t="s">
        <v>315</v>
      </c>
      <c r="AO11" s="2">
        <v>0</v>
      </c>
      <c r="AP11" s="2">
        <v>0</v>
      </c>
      <c r="AQ11" s="2">
        <v>0</v>
      </c>
      <c r="AR11" s="2">
        <v>0</v>
      </c>
      <c r="AS11" s="2">
        <v>0</v>
      </c>
      <c r="AT11" s="2" t="s">
        <v>316</v>
      </c>
      <c r="AU11" s="2">
        <v>8.91</v>
      </c>
      <c r="AV11" s="2">
        <v>8.91</v>
      </c>
      <c r="AW11" s="2">
        <v>8.7200000000000006</v>
      </c>
      <c r="AX11" s="2">
        <v>8.7200000000000006</v>
      </c>
      <c r="AY11" s="2">
        <v>10</v>
      </c>
      <c r="AZ11" s="2" t="s">
        <v>316</v>
      </c>
      <c r="BA11" s="2">
        <v>0</v>
      </c>
      <c r="BB11" s="2">
        <v>0</v>
      </c>
      <c r="BC11" s="2">
        <v>0</v>
      </c>
      <c r="BD11" s="2">
        <v>0</v>
      </c>
      <c r="BE11" s="2">
        <v>0</v>
      </c>
      <c r="BF11" s="2" t="s">
        <v>316</v>
      </c>
      <c r="BG11" s="2">
        <v>0</v>
      </c>
      <c r="BH11" s="2">
        <v>0</v>
      </c>
      <c r="BI11" s="2">
        <v>0</v>
      </c>
      <c r="BJ11" s="2">
        <v>0</v>
      </c>
      <c r="BK11" s="2">
        <v>0</v>
      </c>
      <c r="BL11" s="2" t="s">
        <v>316</v>
      </c>
      <c r="BM11" s="2">
        <v>0</v>
      </c>
      <c r="BN11" s="2">
        <v>0</v>
      </c>
      <c r="BO11" s="2">
        <v>0</v>
      </c>
      <c r="BP11" s="2">
        <v>0</v>
      </c>
      <c r="BQ11" s="2">
        <v>0</v>
      </c>
      <c r="BR11" s="2" t="s">
        <v>317</v>
      </c>
      <c r="BS11" s="2">
        <v>9</v>
      </c>
      <c r="BT11" s="2">
        <v>9</v>
      </c>
      <c r="BU11" s="2">
        <v>8.8000000000000007</v>
      </c>
      <c r="BV11" s="2">
        <v>8.8000000000000007</v>
      </c>
      <c r="BW11" s="2">
        <v>1</v>
      </c>
      <c r="BX11" s="2" t="s">
        <v>317</v>
      </c>
      <c r="BY11" s="2">
        <v>0</v>
      </c>
      <c r="BZ11" s="2">
        <v>0</v>
      </c>
      <c r="CA11" s="2">
        <v>0</v>
      </c>
      <c r="CB11" s="2">
        <v>0</v>
      </c>
      <c r="CC11" s="2">
        <v>0</v>
      </c>
      <c r="CD11" s="2" t="s">
        <v>317</v>
      </c>
      <c r="CE11" s="2">
        <v>0</v>
      </c>
      <c r="CF11" s="2">
        <v>0</v>
      </c>
      <c r="CG11" s="2">
        <v>0</v>
      </c>
      <c r="CH11" s="2">
        <v>0</v>
      </c>
      <c r="CI11" s="2">
        <v>0</v>
      </c>
      <c r="CJ11" s="2" t="s">
        <v>318</v>
      </c>
      <c r="CK11" s="2">
        <v>0</v>
      </c>
      <c r="CL11" s="2">
        <v>0</v>
      </c>
      <c r="CM11" s="2">
        <v>0</v>
      </c>
      <c r="CN11" s="2">
        <v>0</v>
      </c>
      <c r="CO11" s="2">
        <v>0</v>
      </c>
      <c r="CP11" s="2" t="s">
        <v>318</v>
      </c>
      <c r="CQ11" s="2">
        <v>0</v>
      </c>
      <c r="CR11" s="2">
        <v>0</v>
      </c>
      <c r="CS11" s="2">
        <v>0</v>
      </c>
      <c r="CT11" s="2">
        <v>0</v>
      </c>
      <c r="CU11" s="2">
        <v>0</v>
      </c>
      <c r="CV11" s="2" t="s">
        <v>318</v>
      </c>
      <c r="CW11" s="2">
        <v>0</v>
      </c>
      <c r="CX11" s="2">
        <v>0</v>
      </c>
      <c r="CY11" s="2">
        <v>0</v>
      </c>
      <c r="CZ11" s="2">
        <v>0</v>
      </c>
      <c r="DA11" s="2">
        <v>0</v>
      </c>
      <c r="DB11" s="2">
        <v>0.03</v>
      </c>
      <c r="DC11" s="2">
        <v>165.75</v>
      </c>
      <c r="DD11" s="2">
        <v>359</v>
      </c>
      <c r="DE11" s="2">
        <v>208</v>
      </c>
      <c r="DF11" s="2">
        <v>0</v>
      </c>
      <c r="DG11" s="2">
        <v>0</v>
      </c>
      <c r="DH11" s="2">
        <v>63</v>
      </c>
      <c r="DI11" s="2">
        <v>0</v>
      </c>
      <c r="DJ11" s="2">
        <v>0</v>
      </c>
      <c r="DK11" s="2">
        <v>0</v>
      </c>
      <c r="DL11" s="2">
        <v>0</v>
      </c>
      <c r="DM11" s="2">
        <v>0</v>
      </c>
      <c r="DN11" s="2">
        <v>0</v>
      </c>
      <c r="DO11" s="2">
        <v>19</v>
      </c>
      <c r="DP11" s="2">
        <v>18.43</v>
      </c>
      <c r="DQ11" s="2">
        <v>15</v>
      </c>
      <c r="DR11" s="18">
        <v>43556</v>
      </c>
      <c r="DS11" s="18">
        <v>43921</v>
      </c>
      <c r="DT11" s="2">
        <v>0</v>
      </c>
      <c r="DU11" s="2">
        <v>21460</v>
      </c>
      <c r="DV11" s="2">
        <v>353207</v>
      </c>
      <c r="DW11" s="2">
        <v>0</v>
      </c>
      <c r="DX11" s="2">
        <v>38875</v>
      </c>
      <c r="DY11" s="2">
        <v>0</v>
      </c>
      <c r="DZ11" s="2">
        <v>36000</v>
      </c>
      <c r="EA11" s="2">
        <v>1179</v>
      </c>
      <c r="EB11" s="2">
        <v>15544</v>
      </c>
      <c r="EC11" s="2">
        <v>2040</v>
      </c>
      <c r="ED11" s="2">
        <v>0</v>
      </c>
      <c r="EE11" s="2">
        <v>0</v>
      </c>
      <c r="EF11" s="2">
        <v>1747</v>
      </c>
      <c r="EG11" s="2">
        <v>5600</v>
      </c>
      <c r="EH11" s="2" t="s">
        <v>324</v>
      </c>
      <c r="EI11" s="2">
        <v>0</v>
      </c>
      <c r="EJ11" s="2" t="s">
        <v>324</v>
      </c>
      <c r="EK11" s="2">
        <v>0</v>
      </c>
      <c r="EL11" s="2">
        <v>8144</v>
      </c>
      <c r="EM11" s="2">
        <v>526</v>
      </c>
      <c r="EN11" s="2">
        <v>0</v>
      </c>
      <c r="EO11" s="2">
        <v>23000</v>
      </c>
      <c r="EP11" s="2">
        <v>0</v>
      </c>
      <c r="EQ11" s="2">
        <v>2040</v>
      </c>
      <c r="ER11" s="2">
        <v>0</v>
      </c>
      <c r="ES11" s="2">
        <v>0</v>
      </c>
      <c r="ET11" s="2" t="s">
        <v>324</v>
      </c>
      <c r="EU11" s="2">
        <v>0</v>
      </c>
      <c r="EV11" s="2" t="s">
        <v>324</v>
      </c>
      <c r="EW11" s="2">
        <v>0</v>
      </c>
      <c r="EX11" s="2">
        <v>0</v>
      </c>
      <c r="EY11" s="2">
        <v>12706</v>
      </c>
      <c r="EZ11" s="2" t="s">
        <v>326</v>
      </c>
      <c r="FA11" s="2">
        <v>0</v>
      </c>
      <c r="FB11" s="2" t="s">
        <v>326</v>
      </c>
      <c r="FC11" s="2">
        <v>0</v>
      </c>
      <c r="FD11" s="2">
        <v>18667</v>
      </c>
      <c r="FE11" s="2">
        <v>0</v>
      </c>
      <c r="FF11" s="2">
        <v>0</v>
      </c>
      <c r="FG11" s="2"/>
      <c r="FH11" s="19">
        <v>44480.623368055552</v>
      </c>
      <c r="FI11" s="2" t="s">
        <v>327</v>
      </c>
      <c r="FJ11" s="2">
        <f>SUM(DATA[[#This Row],[Number of Home support clients:]],DATA[[#This Row],[Number of supported living clients:]])</f>
        <v>7</v>
      </c>
      <c r="FK11"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11"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14</v>
      </c>
      <c r="FM11"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14</v>
      </c>
      <c r="FN11"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13.5</v>
      </c>
      <c r="FO11"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13.5</v>
      </c>
      <c r="FP11"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11"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11"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11"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11"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11"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11"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11"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11"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11"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11"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11"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11"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11"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11"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11"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11"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11"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11"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11"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8.7200000000000006</v>
      </c>
      <c r="GJ11"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11"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11"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11"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11"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11"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11"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11"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11"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11"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11"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11"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11"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v>
      </c>
      <c r="GW11"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v>
      </c>
      <c r="GX11"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8.8000000000000007</v>
      </c>
      <c r="GY11"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8.8000000000000007</v>
      </c>
      <c r="GZ11"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11"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11"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11"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11"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11"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11"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1"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1"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11"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11"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11"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11"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11"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11"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11"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11"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11"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11"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11"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11"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14</v>
      </c>
      <c r="HU11"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14</v>
      </c>
      <c r="HV11"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13.5</v>
      </c>
      <c r="HW11"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13.5</v>
      </c>
      <c r="HX11"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11"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11"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11"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11"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11"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11"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11"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11"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11"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11"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11"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11"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11"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11"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11"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11"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11"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11"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11"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8.7200000000000006</v>
      </c>
      <c r="IR11"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11"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11"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11"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11"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11"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11"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11"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11"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11"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11"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11"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11"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v>
      </c>
      <c r="JE11"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v>
      </c>
      <c r="JF11"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8.8000000000000007</v>
      </c>
      <c r="JG11"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8.8000000000000007</v>
      </c>
      <c r="JH11"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11"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11"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11"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11"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11"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11"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11"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11"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11"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11"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11"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11"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11"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11"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11"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11"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11"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11"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11"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11"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v>
      </c>
      <c r="KC11" s="21">
        <f>SUM(DATA[[#This Row],[Care Assistant 1: Numbers employed (Full Time Equivalent)]],DATA[[#This Row],[Care Assistant 2: Numbers employed (Full Time Equivalent)]],DATA[[#This Row],[Care Assistant 3: Numbers employed (Full Time Equivalent)]],DATA[[#This Row],[Care Assistant 4: Numbers employed (Full Time Equivalent)]])</f>
        <v>10</v>
      </c>
      <c r="KD11" s="21">
        <f>SUM(DATA[[#This Row],[Administrative Officer 1: Numbers employed (Full Time Equivalent)]],DATA[[#This Row],[Administrative Officer 2: Numbers employed (Full Time Equivalent)]])</f>
        <v>1</v>
      </c>
      <c r="KE11" s="21">
        <f>SUM(DATA[[#This Row],[Other staff 1: Numbers employed (Full Time Equivalent)]],DATA[[#This Row],[Other staff 2: Numbers employed (Full Time Equivalent)]],DATA[[#This Row],[Other staff 3: Numbers employed (Full Time Equivalent)]])</f>
        <v>0</v>
      </c>
      <c r="KF11" s="21">
        <f>SUM(DATA[[#This Row],[Total FTE Management Employees]:[Total FTE Other Employees]])</f>
        <v>12</v>
      </c>
      <c r="KG11" s="21" t="str">
        <f>IF(SUM(DATA[[#This Row],[Home Support service split percentage (Expenditure):]],DATA[[#This Row],[Supported Living service split percentage (Expenditure):]])&gt;0, IF(DATA[[#This Row],[Home Support service split percentage (Expenditure):]]&gt;0.5,"Home Support","Supported Living"), "Unknown")</f>
        <v>Unknown</v>
      </c>
      <c r="KH11" s="21">
        <f>SUM(DATA[[#This Row],[Home Support: Birmingham City Council]:[Home Support: Self-funded]])</f>
        <v>795.75</v>
      </c>
      <c r="KI11" s="21">
        <f>SUM(DATA[[#This Row],[Supported Living: Birmingham City Council]:[Supported Living: Self-funded]])</f>
        <v>0</v>
      </c>
      <c r="KJ11"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11"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11"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11"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11" s="21" t="b">
        <f>SUM(DATA[[#This Row],[Number of hours of care charged for in last full accounting year]:[Corporate Overheads: Other  - please specify (category) 1]])&gt;0</f>
        <v>1</v>
      </c>
      <c r="KO11" s="21">
        <f>SUM(DATA[[#This Row],[Total annual expenditure: Management staff]:[Total annual expenditure: Training and development]])</f>
        <v>466265</v>
      </c>
      <c r="KP11" s="21">
        <f>SUM(DATA[[#This Row],[Recruitment &amp; advertising (including DBS checks)]:[Non-Staffing Direct Cost: Other  - please specify (amount) 2]])</f>
        <v>9387</v>
      </c>
      <c r="KQ11" s="21">
        <f>SUM(DATA[[#This Row],[Insurance ]:[Indirect costs: Other 2 - please specify (amount)]])</f>
        <v>33710</v>
      </c>
      <c r="KR11" s="21">
        <f>SUM(DATA[[#This Row],[Central / Regional Management]],DATA[[#This Row],[Support Services (finance / HR / Payroll / legal etc.)]],DATA[[#This Row],[Corporate Overheads: Other  - please specify (amount) 1]],DATA[[#This Row],[Corporate Overheads: Other  - please specify (amount) 2]])</f>
        <v>12706</v>
      </c>
      <c r="KS11"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11"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11"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11"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1"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11"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11"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11"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11"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11"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11" s="30">
        <f>IF(OR(NOT(DATA[[#This Row],[Care consumables &amp; uniforms]]&gt;0),NOT(DATA[[#This Row],[Number of hours of care charged for in last full accounting year]]&gt;0)),0,DATA[[#This Row],[Care consumables &amp; uniforms]]/DATA[[#This Row],[Number of hours of care charged for in last full accounting year]])</f>
        <v>0</v>
      </c>
      <c r="LD11" s="30">
        <f>IF(OR(NOT(DATA[[#This Row],[Electronic call monitoring]]&gt;0),NOT(DATA[[#This Row],[Number of hours of care charged for in last full accounting year]]&gt;0)),0,DATA[[#This Row],[Electronic call monitoring]]/DATA[[#This Row],[Number of hours of care charged for in last full accounting year]])</f>
        <v>0</v>
      </c>
      <c r="LE11" s="30">
        <f>IF(OR(NOT(DATA[[#This Row],[IT Equipment &amp; Telephoney]]&gt;0),NOT(DATA[[#This Row],[Number of hours of care charged for in last full accounting year]]&gt;0)),0,DATA[[#This Row],[IT Equipment &amp; Telephoney]]/DATA[[#This Row],[Number of hours of care charged for in last full accounting year]])</f>
        <v>0</v>
      </c>
      <c r="LF11"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11"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11" s="30">
        <f>IF(OR(NOT(DATA[[#This Row],[Insurance ]]&gt;0),NOT(DATA[[#This Row],[Number of hours of care charged for in last full accounting year]]&gt;0)),0,DATA[[#This Row],[Insurance ]]/DATA[[#This Row],[Number of hours of care charged for in last full accounting year]])</f>
        <v>0</v>
      </c>
      <c r="LI11"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11" s="30">
        <f>IF(OR(NOT(DATA[[#This Row],[Repairs and maintenance]]&gt;0),NOT(DATA[[#This Row],[Number of hours of care charged for in last full accounting year]]&gt;0)),0,DATA[[#This Row],[Repairs and maintenance]]/DATA[[#This Row],[Number of hours of care charged for in last full accounting year]])</f>
        <v>0</v>
      </c>
      <c r="LK11"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11" s="30">
        <f>IF(OR(NOT(DATA[[#This Row],[Registration &amp; Inspection fees ]]&gt;0),NOT(DATA[[#This Row],[Number of hours of care charged for in last full accounting year]]&gt;0)),0,DATA[[#This Row],[Registration &amp; Inspection fees ]]/DATA[[#This Row],[Number of hours of care charged for in last full accounting year]])</f>
        <v>0</v>
      </c>
      <c r="LM11" s="30">
        <f>IF(OR(NOT(DATA[[#This Row],[Subscriptions]]&gt;0),NOT(DATA[[#This Row],[Number of hours of care charged for in last full accounting year]]&gt;0)),0,DATA[[#This Row],[Subscriptions]]/DATA[[#This Row],[Number of hours of care charged for in last full accounting year]])</f>
        <v>0</v>
      </c>
      <c r="LN11" s="30">
        <f>IF(OR(NOT(DATA[[#This Row],[Cost of finance]]&gt;0),NOT(DATA[[#This Row],[Number of hours of care charged for in last full accounting year]]&gt;0)),0,DATA[[#This Row],[Cost of finance]]/DATA[[#This Row],[Number of hours of care charged for in last full accounting year]])</f>
        <v>0</v>
      </c>
      <c r="LO11" s="30">
        <f>IF(OR(NOT(DATA[[#This Row],[Other non-staff current expenses]]&gt;0),NOT(DATA[[#This Row],[Number of hours of care charged for in last full accounting year]]&gt;0)),0,DATA[[#This Row],[Other non-staff current expenses]]/DATA[[#This Row],[Number of hours of care charged for in last full accounting year]])</f>
        <v>0</v>
      </c>
      <c r="LP11"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11"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11" s="30">
        <f>IF(OR(NOT(DATA[[#This Row],[Central / Regional Management]]&gt;0),NOT(DATA[[#This Row],[Number of hours of care charged for in last full accounting year]]&gt;0)),0,DATA[[#This Row],[Central / Regional Management]]/DATA[[#This Row],[Number of hours of care charged for in last full accounting year]])</f>
        <v>0</v>
      </c>
      <c r="LS11"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11"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11"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11" s="30">
        <f>SUM(DATA[[#This Row],[Management staff HOURLY RATE]:[Corporate Overheads: Other  - please specify (amount) 2 HOURLY RATE]])</f>
        <v>0</v>
      </c>
      <c r="LW11" s="30" t="str">
        <f>IF(OR(NOT(DATA[[#This Row],[Net Operating Profit]]&gt;0),NOT(DATA[[#This Row],[Number of hours of care charged for in last full accounting year]]&gt;0)),"",DATA[[#This Row],[Net Operating Profit]]/DATA[[#This Row],[Number of hours of care charged for in last full accounting year]])</f>
        <v/>
      </c>
      <c r="LX11" s="30">
        <f>IF(OR(NOT(DATA[[#This Row],[Return on Capital employed]]&gt;0),NOT(DATA[[#This Row],[Number of hours of care charged for in last full accounting year]]&gt;0)),0,DATA[[#This Row],[Return on Capital employed]]/DATA[[#This Row],[Number of hours of care charged for in last full accounting year]])</f>
        <v>0</v>
      </c>
      <c r="LY11" s="31">
        <v>5</v>
      </c>
      <c r="LZ11" s="30" t="s">
        <v>358</v>
      </c>
      <c r="MA11" s="30" t="b">
        <f>DATA[[#This Row],[Number of Home support clients:]]&gt;0</f>
        <v>1</v>
      </c>
      <c r="MB11" s="30" t="b">
        <f>DATA[[#This Row],[Number of supported living clients:]]&gt;0</f>
        <v>0</v>
      </c>
      <c r="MC11" s="30" t="b">
        <f>DATA[[#This Row],[Total Home Support Hours]]&gt;0</f>
        <v>1</v>
      </c>
      <c r="MD11" s="30" t="b">
        <f>DATA[[#This Row],[Total Supported Living Hours]]&gt;0</f>
        <v>0</v>
      </c>
      <c r="ME11" s="30" t="b">
        <f>DATA[[#This Row],[Home Support service split percentage (Expenditure):]]&gt;0.5</f>
        <v>0</v>
      </c>
      <c r="MF11" s="30" t="b">
        <f>DATA[[#This Row],[Agency staff HOURLY RATE]]=0</f>
        <v>1</v>
      </c>
      <c r="MG11" s="30">
        <f>IFERROR(IF(AVERAGE(DATA[[#This Row],[Registered manager: Current 2021/22 Minimum hourly pay rate ADJUSTED]],DATA[[#This Row],[Registered manager: Current 2021/22 Maximum hourly pay rate ADJUSTED]])&lt;LIVING_WAGE_22_23,DATA[[#This Row],[Registered manager: Numbers employed (Full Time Equivalent)]],0),"")</f>
        <v>0</v>
      </c>
      <c r="MH11" s="30" t="str">
        <f>IFERROR(IF(AVERAGE(DATA[[#This Row],[Deputy manager: Current 2021/22 Minimum hourly pay rate ADJUSTED]],DATA[[#This Row],[Deputy manager: Current 2021/22 Maximum hourly pay rate ADJUSTED]])&lt;LIVING_WAGE_22_23,DATA[[#This Row],[Deputy manager: Numbers employed (Full Time Equivalent)]],0),"")</f>
        <v/>
      </c>
      <c r="MI11" s="30" t="str">
        <f>IFERROR(IF(AVERAGE(DATA[[#This Row],[Other manager 1: Current 2021/22 Minimum hourly pay rate ADJUSTED]],DATA[[#This Row],[Other manager 1: Current 2021/22 Maximum hourly pay rate ADJUSTED]])&lt;LIVING_WAGE_22_23,DATA[[#This Row],[Other manager 1: Numbers employed (Full Time Equivalent)]],0),"")</f>
        <v/>
      </c>
      <c r="MJ11" s="30" t="str">
        <f>IFERROR(IF(AVERAGE(DATA[[#This Row],[Other manager 2: Current 2021/22 Minimum hourly pay rate ADJUSTED]],DATA[[#This Row],[Other manager 2: Current 2021/22 Maximum hourly pay rate ADJUSTED]])&lt;LIVING_WAGE_22_23,DATA[[#This Row],[Other manager 2: Numbers employed (Full Time Equivalent)]],0),"")</f>
        <v/>
      </c>
      <c r="MK11" s="30" t="str">
        <f>IFERROR(IF(AVERAGE(DATA[[#This Row],[Other manager 3: Current 2021/22 Minimum hourly pay rate ADJUSTED]],DATA[[#This Row],[Other manager 3: Current 2021/22 Maximum hourly pay rate ADJUSTED]])&lt;LIVING_WAGE_22_23,DATA[[#This Row],[Other manager 3: Numbers employed (Full Time Equivalent)]],0),"")</f>
        <v/>
      </c>
      <c r="ML11" s="30">
        <f>IFERROR(IF(AVERAGE(DATA[[#This Row],[Care Assistant 1: Current 2021/22 Minimum hourly pay rate ADJUSTED]],DATA[[#This Row],[Care Assistant 1: Current 2021/22 Maximum hourly pay rate ADJUSTED]])&lt;LIVING_WAGE_22_23,DATA[[#This Row],[Care Assistant 1: Numbers employed (Full Time Equivalent)]],0),"")</f>
        <v>10</v>
      </c>
      <c r="MM11" s="30" t="str">
        <f>IFERROR(IF(AVERAGE(DATA[[#This Row],[Care Assistant 2: Current 2021/22 Minimum hourly pay rate ADJUSTED]],DATA[[#This Row],[Care Assistant 2: Current 2021/22 Maximum hourly pay rate ADJUSTED]])&lt;LIVING_WAGE_22_23,DATA[[#This Row],[Care Assistant 2: Numbers employed (Full Time Equivalent)]],0),"")</f>
        <v/>
      </c>
      <c r="MN11" s="30" t="str">
        <f>IFERROR(IF(AVERAGE(DATA[[#This Row],[Care Assistant 3: Current 2021/22 Minimum hourly pay rate ADJUSTED]],DATA[[#This Row],[Care Assistant 3: Current 2021/22 Maximum hourly pay rate ADJUSTED]])&lt;LIVING_WAGE_22_23,DATA[[#This Row],[Care Assistant 3: Numbers employed (Full Time Equivalent)]],0),"")</f>
        <v/>
      </c>
      <c r="MO11" s="30" t="str">
        <f>IFERROR(IF(AVERAGE(DATA[[#This Row],[Care Assistant 4: Current 2021/22 Minimum hourly pay rate ADJUSTED]],DATA[[#This Row],[Care Assistant 4: Current 2021/22 Maximum hourly pay rate ADJUSTED]])&lt;LIVING_WAGE_22_23,DATA[[#This Row],[Care Assistant 4: Numbers employed (Full Time Equivalent)]],0),"")</f>
        <v/>
      </c>
      <c r="MP11"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11"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11" s="30" t="str">
        <f>IFERROR(IF(AVERAGE(DATA[[#This Row],[Other staff 1: Current 2021/22 Minimum hourly pay rate ADJUSTED]],DATA[[#This Row],[Other staff 1: Current 2021/22 Maximum hourly pay rate ADJUSTED]])&lt;LIVING_WAGE_22_23,DATA[[#This Row],[Other staff 1: Numbers employed (Full Time Equivalent)]],0),"")</f>
        <v/>
      </c>
      <c r="MS11" s="30" t="str">
        <f>IFERROR(IF(AVERAGE(DATA[[#This Row],[Other staff 2: Current 2021/22 Minimum hourly pay rate ADJUSTED]],DATA[[#This Row],[Other staff 2: Current 2021/22 Maximum hourly pay rate ADJUSTED]])&lt;LIVING_WAGE_22_23,DATA[[#This Row],[Other staff 2: Numbers employed (Full Time Equivalent)]],0),"")</f>
        <v/>
      </c>
      <c r="MT11" s="30" t="str">
        <f>IFERROR(IF(AVERAGE(DATA[[#This Row],[Other staff 3: Current 2021/22 Minimum hourly pay rate ADJUSTED]],DATA[[#This Row],[Other staff 3: Current 2021/22 Maximum hourly pay rate ADJUSTED]])&lt;LIVING_WAGE_22_23,DATA[[#This Row],[Other staff 3: Numbers employed (Full Time Equivalent)]],0),"")</f>
        <v/>
      </c>
      <c r="MU11" s="30">
        <f>SUM(DATA[[#This Row],[Registered Manager FTE earning less than NLW 23yrs 2022/23]:[Other staff 3 FTE earning less than NLW 23yrs 2022/23]])</f>
        <v>11</v>
      </c>
      <c r="MV11"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11"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11"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11"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11"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11"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5.8999999999999986</v>
      </c>
      <c r="NB11"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11"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11"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11"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0.5</v>
      </c>
      <c r="NF11"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11"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11"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11"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11" s="30" t="b">
        <v>1</v>
      </c>
      <c r="NK11" s="30" t="b">
        <v>1</v>
      </c>
      <c r="NL11" s="30" t="s">
        <v>505</v>
      </c>
      <c r="NM11" s="30">
        <f>SUM(DATA[[#This Row],[Management staff HOURLY RATE]:[Training and development HOURLY RATE]])</f>
        <v>0</v>
      </c>
      <c r="NN11" s="30">
        <f>SUM(DATA[[#This Row],[Recruitment &amp; advertising (including DBS checks) HOURLY RATE]:[Non-Staffing Direct Cost: Other  - please specify (amount) 2 HOURLY RATE]])</f>
        <v>0</v>
      </c>
      <c r="NO11" s="30">
        <f>SUM(DATA[[#This Row],[Insurance  HOURLY RATE]:[Indirect costs: Other  - please specify (amount) 2 HOURLY RATE]])</f>
        <v>0</v>
      </c>
      <c r="NP11" s="30">
        <f>SUM(DATA[[#This Row],[Central / Regional Management HOURLY RATE]:[Corporate Overheads: Other  - please specify (amount) 2 HOURLY RATE]])</f>
        <v>0</v>
      </c>
      <c r="NQ11"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11" s="30" t="str">
        <f>IFERROR(IF(AVERAGE(DATA[[#This Row],[Deputy manager: Current 2021/22 Minimum hourly pay rate ADJUSTED]],DATA[[#This Row],[Deputy manager: Current 2021/22 Maximum hourly pay rate ADJUSTED]])&lt;REAL_LIVING_WAGE_22_23,DATA[[#This Row],[Deputy manager: Numbers employed (Full Time Equivalent)]],0),"")</f>
        <v/>
      </c>
      <c r="NS11" s="30" t="str">
        <f>IFERROR(IF(AVERAGE(DATA[[#This Row],[Other manager 1: Current 2021/22 Minimum hourly pay rate ADJUSTED]],DATA[[#This Row],[Other manager 1: Current 2021/22 Maximum hourly pay rate ADJUSTED]])&lt;REAL_LIVING_WAGE_22_23,DATA[[#This Row],[Other manager 1: Numbers employed (Full Time Equivalent)]],0),"")</f>
        <v/>
      </c>
      <c r="NT11" s="30" t="str">
        <f>IFERROR(IF(AVERAGE(DATA[[#This Row],[Other manager 2: Current 2021/22 Minimum hourly pay rate ADJUSTED]],DATA[[#This Row],[Other manager 2: Current 2021/22 Maximum hourly pay rate ADJUSTED]])&lt;REAL_LIVING_WAGE_22_23,DATA[[#This Row],[Other manager 2: Numbers employed (Full Time Equivalent)]],0),"")</f>
        <v/>
      </c>
      <c r="NU11" s="30" t="str">
        <f>IFERROR(IF(AVERAGE(DATA[[#This Row],[Other manager 3: Current 2021/22 Minimum hourly pay rate ADJUSTED]],DATA[[#This Row],[Other manager 3: Current 2021/22 Maximum hourly pay rate ADJUSTED]])&lt;REAL_LIVING_WAGE_22_23,DATA[[#This Row],[Other manager 3: Numbers employed (Full Time Equivalent)]],0),"")</f>
        <v/>
      </c>
      <c r="NV11" s="30">
        <f>IFERROR(IF(AVERAGE(DATA[[#This Row],[Care Assistant 1: Current 2021/22 Minimum hourly pay rate ADJUSTED]],DATA[[#This Row],[Care Assistant 1: Current 2021/22 Maximum hourly pay rate ADJUSTED]])&lt;REAL_LIVING_WAGE_22_23,DATA[[#This Row],[Care Assistant 1: Numbers employed (Full Time Equivalent)]],0),"")</f>
        <v>10</v>
      </c>
      <c r="NW11"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11"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11"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11"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11"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11" s="30" t="str">
        <f>IFERROR(IF(AVERAGE(DATA[[#This Row],[Other staff 1: Current 2021/22 Minimum hourly pay rate ADJUSTED]],DATA[[#This Row],[Other staff 1: Current 2021/22 Maximum hourly pay rate ADJUSTED]])&lt;REAL_LIVING_WAGE_22_23,DATA[[#This Row],[Other staff 1: Numbers employed (Full Time Equivalent)]],0),"")</f>
        <v/>
      </c>
      <c r="OC11" s="30" t="str">
        <f>IFERROR(IF(AVERAGE(DATA[[#This Row],[Other staff 2: Current 2021/22 Minimum hourly pay rate ADJUSTED]],DATA[[#This Row],[Other staff 2: Current 2021/22 Maximum hourly pay rate ADJUSTED]])&lt;REAL_LIVING_WAGE_22_23,DATA[[#This Row],[Other staff 2: Numbers employed (Full Time Equivalent)]],0),"")</f>
        <v/>
      </c>
      <c r="OD11" s="30" t="str">
        <f>IFERROR(IF(AVERAGE(DATA[[#This Row],[Other staff 3: Current 2021/22 Minimum hourly pay rate ADJUSTED]],DATA[[#This Row],[Other staff 3: Current 2021/22 Maximum hourly pay rate ADJUSTED]])&lt;REAL_LIVING_WAGE_22_23,DATA[[#This Row],[Other staff 3: Numbers employed (Full Time Equivalent)]],0),"")</f>
        <v/>
      </c>
      <c r="OE11" s="30">
        <f>SUM(DATA[[#This Row],[Registered Manager FTE earning less than RLW 23yrs 2022/23]:[Other staff 3 FTE earning less than RLW 23yrs 2022/23]])</f>
        <v>11</v>
      </c>
      <c r="OF11"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11"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11"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11"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11"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11"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9.9000000000000021</v>
      </c>
      <c r="OL11"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11"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11"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11"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0.90000000000000036</v>
      </c>
      <c r="OP11"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11"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11"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11"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11" s="30">
        <f>IFERROR(IF(DATA[[#This Row],[Registered manager: Numbers employed (Full Time Equivalent)]]=0,"",DATA[[#This Row],[Registered manager: Current 2021/22 Minimum hourly pay rate ADJUSTED 2]]*DATA[[#This Row],[Registered manager: Numbers employed (Full Time Equivalent)]]),"")</f>
        <v>14</v>
      </c>
      <c r="OU11" s="30">
        <f>IFERROR(IF(DATA[[#This Row],[Registered manager: Numbers employed (Full Time Equivalent)]]=0,"",DATA[[#This Row],[Registered manager: Current 2021/22 Maximum hourly pay rate ADJUSTED 2]]*DATA[[#This Row],[Registered manager: Numbers employed (Full Time Equivalent)]]),"")</f>
        <v>14</v>
      </c>
      <c r="OV11" s="30">
        <f>IFERROR(IF(DATA[[#This Row],[Registered manager: Numbers employed (Full Time Equivalent)]]=0,"",DATA[[#This Row],[Registered manager: Previous 2020/21 Minimum hourly pay rate ADJUSTED 2]]*DATA[[#This Row],[Registered manager: Numbers employed (Full Time Equivalent)]]),"")</f>
        <v>13.5</v>
      </c>
      <c r="OW11" s="30">
        <f>IFERROR(IF(DATA[[#This Row],[Registered manager: Numbers employed (Full Time Equivalent)]]=0,"",DATA[[#This Row],[Registered manager: Previous 2020/21 Maximum hourly pay rate ADJUSTED 2]]*DATA[[#This Row],[Registered manager: Numbers employed (Full Time Equivalent)]]),"")</f>
        <v>13.5</v>
      </c>
      <c r="OX11" s="30" t="str">
        <f>IFERROR(IF(DATA[[#This Row],[Deputy manager: Numbers employed (Full Time Equivalent)]]=0,"",DATA[[#This Row],[Deputy manager: Current 2021/22 Minimum hourly pay rate ADJUSTED 2]]*DATA[[#This Row],[Deputy manager: Numbers employed (Full Time Equivalent)]]),"")</f>
        <v/>
      </c>
      <c r="OY11" s="30" t="str">
        <f>IFERROR(IF(DATA[[#This Row],[Deputy manager: Numbers employed (Full Time Equivalent)]]=0,"",DATA[[#This Row],[Deputy manager: Current 2021/22 Maximum hourly pay rate ADJUSTED 2]]*DATA[[#This Row],[Deputy manager: Numbers employed (Full Time Equivalent)]]),"")</f>
        <v/>
      </c>
      <c r="OZ11" s="30" t="str">
        <f>IFERROR(IF(DATA[[#This Row],[Deputy manager: Numbers employed (Full Time Equivalent)]]=0,"",DATA[[#This Row],[Deputy manager: Previous 2020/21 Minimum hourly pay rate ADJUSTED 2]]*DATA[[#This Row],[Deputy manager: Numbers employed (Full Time Equivalent)]]),"")</f>
        <v/>
      </c>
      <c r="PA11" s="30" t="str">
        <f>IFERROR(IF(DATA[[#This Row],[Deputy manager: Numbers employed (Full Time Equivalent)]]=0,"",DATA[[#This Row],[Deputy manager: Previous 2020/21 Maximum hourly pay rate ADJUSTED 2]]*DATA[[#This Row],[Deputy manager: Numbers employed (Full Time Equivalent)]]),"")</f>
        <v/>
      </c>
      <c r="PB11" s="30" t="str">
        <f>IFERROR(IF(DATA[[#This Row],[Other manager 1: Numbers employed (Full Time Equivalent)]]=0,"",DATA[[#This Row],[Other manager 1: Current 2021/22 Minimum hourly pay rate ADJUSTED 2]]*DATA[[#This Row],[Other manager 1: Numbers employed (Full Time Equivalent)]]),"")</f>
        <v/>
      </c>
      <c r="PC11" s="30" t="str">
        <f>IFERROR(IF(DATA[[#This Row],[Other manager 1: Numbers employed (Full Time Equivalent)]]=0,"",DATA[[#This Row],[Other manager 1: Current 2021/22 Maximum hourly pay rate ADJUSTED 2]]*DATA[[#This Row],[Other manager 1: Numbers employed (Full Time Equivalent)]]),"")</f>
        <v/>
      </c>
      <c r="PD11" s="30" t="str">
        <f>IFERROR(IF(DATA[[#This Row],[Other manager 1: Numbers employed (Full Time Equivalent)]]=0,"",DATA[[#This Row],[Other manager 1: Previous 2020/21 Minimum hourly pay rate ADJUSTED 2]]*DATA[[#This Row],[Other manager 1: Numbers employed (Full Time Equivalent)]]),"")</f>
        <v/>
      </c>
      <c r="PE11" s="30" t="str">
        <f>IFERROR(IF(DATA[[#This Row],[Other manager 1: Numbers employed (Full Time Equivalent)]]=0,"",DATA[[#This Row],[Other manager 1: Previous 2020/21 Maximum hourly pay rate ADJUSTED 2]]*DATA[[#This Row],[Other manager 1: Numbers employed (Full Time Equivalent)]]),"")</f>
        <v/>
      </c>
      <c r="PF11" s="30" t="str">
        <f>IFERROR(IF(DATA[[#This Row],[Other manager 2: Numbers employed (Full Time Equivalent)]]=0,"",DATA[[#This Row],[Other manager 2: Current 2021/22 Minimum hourly pay rate ADJUSTED 2]]*DATA[[#This Row],[Other manager 2: Numbers employed (Full Time Equivalent)]]),"")</f>
        <v/>
      </c>
      <c r="PG11" s="30" t="str">
        <f>IFERROR(IF(DATA[[#This Row],[Other manager 2: Numbers employed (Full Time Equivalent)]]=0,"",DATA[[#This Row],[Other manager 2: Current 2021/22 Maximum hourly pay rate ADJUSTED 2]]*DATA[[#This Row],[Other manager 2: Numbers employed (Full Time Equivalent)]]),"")</f>
        <v/>
      </c>
      <c r="PH11" s="30" t="str">
        <f>IFERROR(IF(DATA[[#This Row],[Other manager 2: Numbers employed (Full Time Equivalent)]]=0,"",DATA[[#This Row],[Other manager 2: Previous 2020/21 Minimum hourly pay rate ADJUSTED 2]]*DATA[[#This Row],[Other manager 2: Numbers employed (Full Time Equivalent)]]),"")</f>
        <v/>
      </c>
      <c r="PI11" s="30" t="str">
        <f>IFERROR(IF(DATA[[#This Row],[Other manager 2: Numbers employed (Full Time Equivalent)]]=0,"",DATA[[#This Row],[Other manager 2: Previous 2020/21 Maximum hourly pay rate ADJUSTED 2]]*DATA[[#This Row],[Other manager 2: Numbers employed (Full Time Equivalent)]]),"")</f>
        <v/>
      </c>
      <c r="PJ11" s="30" t="str">
        <f>IFERROR(IF(DATA[[#This Row],[Other manager 3: Numbers employed (Full Time Equivalent)]]=0,"",DATA[[#This Row],[Other manager 3: Current 2021/22 Minimum hourly pay rate ADJUSTED 2]]*DATA[[#This Row],[Other manager 3: Numbers employed (Full Time Equivalent)]]),"")</f>
        <v/>
      </c>
      <c r="PK11" s="30" t="str">
        <f>IFERROR(IF(DATA[[#This Row],[Other manager 3: Numbers employed (Full Time Equivalent)]]=0,"",DATA[[#This Row],[Other manager 3: Current 2021/22 Maximum hourly pay rate ADJUSTED 2]]*DATA[[#This Row],[Other manager 3: Numbers employed (Full Time Equivalent)]]),"")</f>
        <v/>
      </c>
      <c r="PL11" s="30" t="str">
        <f>IFERROR(IF(DATA[[#This Row],[Other manager 3: Numbers employed (Full Time Equivalent)]]=0,"",DATA[[#This Row],[Other manager 3: Previous 2020/21 Minimum hourly pay rate ADJUSTED 2]]*DATA[[#This Row],[Other manager 3: Numbers employed (Full Time Equivalent)]]),"")</f>
        <v/>
      </c>
      <c r="PM11" s="30" t="str">
        <f>IFERROR(IF(DATA[[#This Row],[Other manager 3: Numbers employed (Full Time Equivalent)]]=0,"",DATA[[#This Row],[Other manager 3: Previous 2020/21 Maximum hourly pay rate ADJUSTED 2]]*DATA[[#This Row],[Other manager 3: Numbers employed (Full Time Equivalent)]]),"")</f>
        <v/>
      </c>
      <c r="PN11" s="30">
        <f>IFERROR(IF(DATA[[#This Row],[Care Assistant 1: Numbers employed (Full Time Equivalent)]]=0,"",DATA[[#This Row],[Care Assistant 1: Current 2021/22 Minimum hourly pay rate ADJUSTED 2]]*DATA[[#This Row],[Care Assistant 1: Numbers employed (Full Time Equivalent)]]),"")</f>
        <v>89.1</v>
      </c>
      <c r="PO11" s="30">
        <f>IFERROR(IF(DATA[[#This Row],[Care Assistant 1: Numbers employed (Full Time Equivalent)]]=0,"",DATA[[#This Row],[Care Assistant 1: Current 2021/22 Maximum hourly pay rate ADJUSTED 2]]*DATA[[#This Row],[Care Assistant 1: Numbers employed (Full Time Equivalent)]]),"")</f>
        <v>89.1</v>
      </c>
      <c r="PP11" s="30">
        <f>IFERROR(IF(DATA[[#This Row],[Care Assistant 1: Numbers employed (Full Time Equivalent)]]=0,"",DATA[[#This Row],[Care Assistant 1: Previous 2020/21 Minimum hourly pay rate ADJUSTED 2]]*DATA[[#This Row],[Care Assistant 1: Numbers employed (Full Time Equivalent)]]),"")</f>
        <v>87.2</v>
      </c>
      <c r="PQ11" s="30">
        <f>IFERROR(IF(DATA[[#This Row],[Care Assistant 1: Numbers employed (Full Time Equivalent)]]=0,"",DATA[[#This Row],[Care Assistant 1: Previous 2020/21 Maximum hourly pay rate ADJUSTED 2]]*DATA[[#This Row],[Care Assistant 1: Numbers employed (Full Time Equivalent)]]),"")</f>
        <v>87.2</v>
      </c>
      <c r="PR11" s="30" t="str">
        <f>IFERROR(IF(DATA[[#This Row],[Care Assistant 2: Numbers employed (Full Time Equivalent)]]=0,"",DATA[[#This Row],[Care Assistant 2: Current 2021/22 Minimum hourly pay rate ADJUSTED 2]]*DATA[[#This Row],[Care Assistant 2: Numbers employed (Full Time Equivalent)]]),"")</f>
        <v/>
      </c>
      <c r="PS11" s="30" t="str">
        <f>IFERROR(IF(DATA[[#This Row],[Care Assistant 2: Numbers employed (Full Time Equivalent)]]=0,"",DATA[[#This Row],[Care Assistant 2: Current 2021/22 Maximum hourly pay rate ADJUSTED 2]]*DATA[[#This Row],[Care Assistant 2: Numbers employed (Full Time Equivalent)]]),"")</f>
        <v/>
      </c>
      <c r="PT11" s="30" t="str">
        <f>IFERROR(IF(DATA[[#This Row],[Care Assistant 2: Numbers employed (Full Time Equivalent)]]=0,"",DATA[[#This Row],[Care Assistant 2: Previous 2020/21 Minimum hourly pay rate ADJUSTED 2]]*DATA[[#This Row],[Care Assistant 2: Numbers employed (Full Time Equivalent)]]),"")</f>
        <v/>
      </c>
      <c r="PU11" s="30" t="str">
        <f>IFERROR(IF(DATA[[#This Row],[Care Assistant 2: Numbers employed (Full Time Equivalent)]]=0,"",DATA[[#This Row],[Care Assistant 2: Previous 2020/21 Maximum hourly pay rate ADJUSTED 2]]*DATA[[#This Row],[Care Assistant 2: Numbers employed (Full Time Equivalent)]]),"")</f>
        <v/>
      </c>
      <c r="PV11" s="30" t="str">
        <f>IFERROR(IF(DATA[[#This Row],[Care Assistant 3: Numbers employed (Full Time Equivalent)]]=0,"",DATA[[#This Row],[Care Assistant 3: Current 2021/22 Minimum hourly pay rate ADJUSTED 2]]*DATA[[#This Row],[Care Assistant 3: Numbers employed (Full Time Equivalent)]]),"")</f>
        <v/>
      </c>
      <c r="PW11" s="30" t="str">
        <f>IFERROR(IF(DATA[[#This Row],[Care Assistant 3: Numbers employed (Full Time Equivalent)]]=0,"",DATA[[#This Row],[Care Assistant 3: Current 2021/22 Maximum hourly pay rate ADJUSTED 2]]*DATA[[#This Row],[Care Assistant 3: Numbers employed (Full Time Equivalent)]]),"")</f>
        <v/>
      </c>
      <c r="PX11" s="30" t="str">
        <f>IFERROR(IF(DATA[[#This Row],[Care Assistant 3: Numbers employed (Full Time Equivalent)]]=0,"",DATA[[#This Row],[Care Assistant 3: Previous 2020/21 Minimum hourly pay rate ADJUSTED 2]]*DATA[[#This Row],[Care Assistant 3: Numbers employed (Full Time Equivalent)]]),"")</f>
        <v/>
      </c>
      <c r="PY11" s="30" t="str">
        <f>IFERROR(IF(DATA[[#This Row],[Care Assistant 3: Numbers employed (Full Time Equivalent)]]=0,"",DATA[[#This Row],[Care Assistant 3: Previous 2020/21 Maximum hourly pay rate ADJUSTED 2]]*DATA[[#This Row],[Care Assistant 3: Numbers employed (Full Time Equivalent)]]),"")</f>
        <v/>
      </c>
      <c r="PZ11" s="30" t="str">
        <f>IFERROR(IF(DATA[[#This Row],[Care Assistant 4: Numbers employed (Full Time Equivalent)]]=0,"",DATA[[#This Row],[Care Assistant 4: Current 2021/22 Minimum hourly pay rate ADJUSTED 2]]*DATA[[#This Row],[Care Assistant 4: Numbers employed (Full Time Equivalent)]]),"")</f>
        <v/>
      </c>
      <c r="QA11" s="30" t="str">
        <f>IFERROR(IF(DATA[[#This Row],[Care Assistant 4: Numbers employed (Full Time Equivalent)]]=0,"",DATA[[#This Row],[Care Assistant 4: Current 2021/22 Maximum hourly pay rate ADJUSTED 2]]*DATA[[#This Row],[Care Assistant 4: Numbers employed (Full Time Equivalent)]]),"")</f>
        <v/>
      </c>
      <c r="QB11" s="30" t="str">
        <f>IFERROR(IF(DATA[[#This Row],[Care Assistant 4: Numbers employed (Full Time Equivalent)]]=0,"",DATA[[#This Row],[Care Assistant 4: Previous 2020/21 Minimum hourly pay rate ADJUSTED 2]]*DATA[[#This Row],[Care Assistant 4: Numbers employed (Full Time Equivalent)]]),"")</f>
        <v/>
      </c>
      <c r="QC11" s="30" t="str">
        <f>IFERROR(IF(DATA[[#This Row],[Care Assistant 4: Numbers employed (Full Time Equivalent)]]=0,"",DATA[[#This Row],[Care Assistant 4: Previous 2020/21 Maximum hourly pay rate ADJUSTED 2]]*DATA[[#This Row],[Care Assistant 4: Numbers employed (Full Time Equivalent)]]),"")</f>
        <v/>
      </c>
      <c r="QD11" s="30">
        <f>IFERROR(IF(DATA[[#This Row],[Administrative Officer 1: Numbers employed (Full Time Equivalent)]]=0,"",DATA[[#This Row],[Administrative Officer 1: Current 2021/22 Minimum hourly pay rate ADJUSTED 2]]*DATA[[#This Row],[Administrative Officer 1: Numbers employed (Full Time Equivalent)]]),"")</f>
        <v>9</v>
      </c>
      <c r="QE11" s="30">
        <f>IFERROR(IF(DATA[[#This Row],[Administrative Officer 1: Numbers employed (Full Time Equivalent)]]=0,"",DATA[[#This Row],[Administrative Officer 1: Current 2021/22 Maximum hourly pay rate ADJUSTED 2]]*DATA[[#This Row],[Administrative Officer 1: Numbers employed (Full Time Equivalent)]]),"")</f>
        <v>9</v>
      </c>
      <c r="QF11" s="30">
        <f>IFERROR(IF(DATA[[#This Row],[Administrative Officer 1: Numbers employed (Full Time Equivalent)]]=0,"",DATA[[#This Row],[Administrative Officer 1: Previous 2020/21 Minimum hourly pay rate ADJUSTED 2]]*DATA[[#This Row],[Administrative Officer 1: Numbers employed (Full Time Equivalent)]]),"")</f>
        <v>8.8000000000000007</v>
      </c>
      <c r="QG11" s="30">
        <f>IFERROR(IF(DATA[[#This Row],[Administrative Officer 1: Numbers employed (Full Time Equivalent)]]=0,"",DATA[[#This Row],[Administrative Officer 1: Previous 2020/21 Maximum hourly pay rate ADJUSTED 2]]*DATA[[#This Row],[Administrative Officer 1: Numbers employed (Full Time Equivalent)]]),"")</f>
        <v>8.8000000000000007</v>
      </c>
      <c r="QH11" s="30" t="str">
        <f>IFERROR(IF(DATA[[#This Row],[Administrative Officer 2: Numbers employed (Full Time Equivalent)]]=0,"",DATA[[#This Row],[Administrative Officer 2: Current 2021/22 Minimum hourly pay rate ADJUSTED 2]]*DATA[[#This Row],[Administrative Officer 2: Numbers employed (Full Time Equivalent)]]),"")</f>
        <v/>
      </c>
      <c r="QI11" s="30" t="str">
        <f>IFERROR(IF(DATA[[#This Row],[Administrative Officer 2: Numbers employed (Full Time Equivalent)]]=0,"",DATA[[#This Row],[Administrative Officer 2: Current 2021/22 Maximum hourly pay rate ADJUSTED 2]]*DATA[[#This Row],[Administrative Officer 2: Numbers employed (Full Time Equivalent)]]),"")</f>
        <v/>
      </c>
      <c r="QJ11" s="30" t="str">
        <f>IFERROR(IF(DATA[[#This Row],[Administrative Officer 2: Numbers employed (Full Time Equivalent)]]=0,"",DATA[[#This Row],[Administrative Officer 2: Previous 2020/21 Minimum hourly pay rate ADJUSTED 2]]*DATA[[#This Row],[Administrative Officer 2: Numbers employed (Full Time Equivalent)]]),"")</f>
        <v/>
      </c>
      <c r="QK11" s="30" t="str">
        <f>IFERROR(IF(DATA[[#This Row],[Administrative Officer 2: Numbers employed (Full Time Equivalent)]]=0,"",DATA[[#This Row],[Administrative Officer 2: Previous 2020/21 Maximum hourly pay rate ADJUSTED 2]]*DATA[[#This Row],[Administrative Officer 2: Numbers employed (Full Time Equivalent)]]),"")</f>
        <v/>
      </c>
      <c r="QL11" s="30" t="str">
        <f>IFERROR(IF(DATA[[#This Row],[Administrative Officer 3: Numbers employed (Full Time Equivalent)]]=0,"",DATA[[#This Row],[Administrative Officer 3: Current 2021/22 Minimum hourly pay rate ADJUSTED 2]]*DATA[[#This Row],[Administrative Officer 3: Numbers employed (Full Time Equivalent)]]),"")</f>
        <v/>
      </c>
      <c r="QM11" s="30" t="str">
        <f>IFERROR(IF(DATA[[#This Row],[Administrative Officer 3: Numbers employed (Full Time Equivalent)]]=0,"",DATA[[#This Row],[Administrative Officer 3: Current 2021/22 Maximum hourly pay rate ADJUSTED 2]]*DATA[[#This Row],[Administrative Officer 3: Numbers employed (Full Time Equivalent)]]),"")</f>
        <v/>
      </c>
      <c r="QN11" s="30" t="str">
        <f>IFERROR(IF(DATA[[#This Row],[Administrative Officer 3: Numbers employed (Full Time Equivalent)]]=0,"",DATA[[#This Row],[Administrative Officer 3: Previous 2020/21 Minimum hourly pay rate ADJUSTED 2]]*DATA[[#This Row],[Administrative Officer 3: Numbers employed (Full Time Equivalent)]]),"")</f>
        <v/>
      </c>
      <c r="QO11" s="30" t="str">
        <f>IFERROR(IF(DATA[[#This Row],[Administrative Officer 3: Numbers employed (Full Time Equivalent)]]=0,"",DATA[[#This Row],[Administrative Officer 3: Previous 2020/21 Maximum hourly pay rate ADJUSTED 2]]*DATA[[#This Row],[Administrative Officer 3: Numbers employed (Full Time Equivalent)]]),"")</f>
        <v/>
      </c>
      <c r="QP11" s="28" t="str">
        <f>IFERROR(IF(DATA[[#This Row],[Other staff 1: Numbers employed (Full Time Equivalent)]]=0,"",DATA[[#This Row],[Other staff 1: Current 2021/22 Minimum hourly pay rate ADJUSTED 2]]*DATA[[#This Row],[Other staff 1: Numbers employed (Full Time Equivalent)]]),"")</f>
        <v/>
      </c>
      <c r="QQ11" s="28" t="str">
        <f>IFERROR(IF(DATA[[#This Row],[Other staff 1: Numbers employed (Full Time Equivalent)]]=0,"",DATA[[#This Row],[Other staff 1: Current 2021/22 Maximum hourly pay rate ADJUSTED 2]]*DATA[[#This Row],[Other staff 1: Numbers employed (Full Time Equivalent)]]),"")</f>
        <v/>
      </c>
      <c r="QR11" s="28" t="str">
        <f>IFERROR(IF(DATA[[#This Row],[Other staff 1: Numbers employed (Full Time Equivalent)]]=0,"",DATA[[#This Row],[Other staff 1: Previous 2020/21 Minimum hourly pay rate ADJUSTED 2]]*DATA[[#This Row],[Other staff 1: Numbers employed (Full Time Equivalent)]]),"")</f>
        <v/>
      </c>
      <c r="QS11" s="28" t="str">
        <f>IFERROR(IF(DATA[[#This Row],[Other staff 1: Numbers employed (Full Time Equivalent)]]=0,"",DATA[[#This Row],[Other staff 1: Previous 2020/21 Maximum hourly pay rate ADJUSTED 2]]*DATA[[#This Row],[Other staff 1: Numbers employed (Full Time Equivalent)]]),"")</f>
        <v/>
      </c>
      <c r="QT11" s="28" t="str">
        <f>IFERROR(IF(DATA[[#This Row],[Other staff 2: Numbers employed (Full Time Equivalent)]]=0,"",DATA[[#This Row],[Other staff 2: Current 2021/22 Minimum hourly pay rate ADJUSTED 2]]*DATA[[#This Row],[Other staff 2: Numbers employed (Full Time Equivalent)]]),"")</f>
        <v/>
      </c>
      <c r="QU11" s="28" t="str">
        <f>IFERROR(IF(DATA[[#This Row],[Other staff 2: Numbers employed (Full Time Equivalent)]]=0,"",DATA[[#This Row],[Other staff 2: Current 2021/22 Maximum hourly pay rate ADJUSTED 2]]*DATA[[#This Row],[Other staff 2: Numbers employed (Full Time Equivalent)]]),"")</f>
        <v/>
      </c>
      <c r="QV11" s="28" t="str">
        <f>IFERROR(IF(DATA[[#This Row],[Other staff 2: Numbers employed (Full Time Equivalent)]]=0,"",DATA[[#This Row],[Other staff 2: Previous 2020/21 Minimum hourly pay rate ADJUSTED 2]]*DATA[[#This Row],[Other staff 2: Numbers employed (Full Time Equivalent)]]),"")</f>
        <v/>
      </c>
      <c r="QW11" s="28" t="str">
        <f>IFERROR(IF(DATA[[#This Row],[Other staff 2: Numbers employed (Full Time Equivalent)]]=0,"",DATA[[#This Row],[Other staff 2: Previous 2020/21 Maximum hourly pay rate ADJUSTED 2]]*DATA[[#This Row],[Other staff 2: Numbers employed (Full Time Equivalent)]]),"")</f>
        <v/>
      </c>
      <c r="QX11" s="28" t="str">
        <f>IFERROR(IF(DATA[[#This Row],[Other staff 3: Numbers employed (Full Time Equivalent)]]=0,"",DATA[[#This Row],[Other staff 3: Current 2021/22 Minimum hourly pay rate ADJUSTED 2]]*DATA[[#This Row],[Other staff 3: Numbers employed (Full Time Equivalent)]]),"")</f>
        <v/>
      </c>
      <c r="QY11" s="28" t="str">
        <f>IFERROR(IF(DATA[[#This Row],[Other staff 3: Numbers employed (Full Time Equivalent)]]=0,"",DATA[[#This Row],[Other staff 3: Current 2021/22 Maximum hourly pay rate ADJUSTED 2]]*DATA[[#This Row],[Other staff 3: Numbers employed (Full Time Equivalent)]]),"")</f>
        <v/>
      </c>
      <c r="QZ11" s="28" t="str">
        <f>IFERROR(IF(DATA[[#This Row],[Other staff 3: Numbers employed (Full Time Equivalent)]]=0,"",DATA[[#This Row],[Other staff 3: Previous 2020/21 Minimum hourly pay rate ADJUSTED 2]]*DATA[[#This Row],[Other staff 3: Numbers employed (Full Time Equivalent)]]),"")</f>
        <v/>
      </c>
      <c r="RA11" s="28" t="str">
        <f>IFERROR(IF(DATA[[#This Row],[Other staff 3: Numbers employed (Full Time Equivalent)]]=0,"",DATA[[#This Row],[Other staff 3: Previous 2020/21 Maximum hourly pay rate ADJUSTED 2]]*DATA[[#This Row],[Other staff 3: Numbers employed (Full Time Equivalent)]]),"")</f>
        <v/>
      </c>
      <c r="RB11"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11"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11"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11"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11"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11"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10</v>
      </c>
      <c r="RH11"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11"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11"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11"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11"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11"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11"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11"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11"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12" spans="1:484" x14ac:dyDescent="0.25">
      <c r="G12" s="2">
        <v>6</v>
      </c>
      <c r="H12" s="2">
        <v>48</v>
      </c>
      <c r="I12" s="2">
        <v>0</v>
      </c>
      <c r="J12" s="2">
        <v>1</v>
      </c>
      <c r="K12" s="2">
        <v>0</v>
      </c>
      <c r="L12" s="2" t="s">
        <v>240</v>
      </c>
      <c r="M12" s="2" t="s">
        <v>240</v>
      </c>
      <c r="R12" s="2">
        <v>14.93</v>
      </c>
      <c r="S12" s="2">
        <v>14.93</v>
      </c>
      <c r="T12" s="2">
        <v>14.64</v>
      </c>
      <c r="U12" s="2">
        <v>14.64</v>
      </c>
      <c r="V12" s="2">
        <v>1</v>
      </c>
      <c r="W12" s="2">
        <v>12.72</v>
      </c>
      <c r="X12" s="2">
        <v>12.72</v>
      </c>
      <c r="Y12" s="2">
        <v>12.47</v>
      </c>
      <c r="Z12" s="2">
        <v>12.47</v>
      </c>
      <c r="AA12" s="2">
        <v>1</v>
      </c>
      <c r="AC12" s="2">
        <v>0</v>
      </c>
      <c r="AD12" s="2">
        <v>0</v>
      </c>
      <c r="AE12" s="2">
        <v>0</v>
      </c>
      <c r="AF12" s="2">
        <v>0</v>
      </c>
      <c r="AG12" s="2">
        <v>0</v>
      </c>
      <c r="AH12" s="2"/>
      <c r="AI12" s="2">
        <v>0</v>
      </c>
      <c r="AJ12" s="2">
        <v>0</v>
      </c>
      <c r="AK12" s="2">
        <v>0</v>
      </c>
      <c r="AL12" s="2">
        <v>0</v>
      </c>
      <c r="AM12" s="2">
        <v>0</v>
      </c>
      <c r="AN12" s="2"/>
      <c r="AO12" s="2">
        <v>0</v>
      </c>
      <c r="AP12" s="2">
        <v>0</v>
      </c>
      <c r="AQ12" s="2">
        <v>0</v>
      </c>
      <c r="AR12" s="2">
        <v>0</v>
      </c>
      <c r="AS12" s="2">
        <v>0</v>
      </c>
      <c r="AT12" s="2" t="s">
        <v>344</v>
      </c>
      <c r="AU12" s="2">
        <v>8.91</v>
      </c>
      <c r="AV12" s="2">
        <v>8.91</v>
      </c>
      <c r="AW12" s="2">
        <v>8.7200000000000006</v>
      </c>
      <c r="AX12" s="2">
        <v>8.7200000000000006</v>
      </c>
      <c r="AY12" s="2">
        <v>10</v>
      </c>
      <c r="AZ12" s="2"/>
      <c r="BA12" s="2">
        <v>0</v>
      </c>
      <c r="BB12" s="2">
        <v>0</v>
      </c>
      <c r="BC12" s="2">
        <v>0</v>
      </c>
      <c r="BD12" s="2">
        <v>0</v>
      </c>
      <c r="BE12" s="2">
        <v>0</v>
      </c>
      <c r="BF12" s="2"/>
      <c r="BG12" s="2">
        <v>0</v>
      </c>
      <c r="BH12" s="2">
        <v>0</v>
      </c>
      <c r="BI12" s="2">
        <v>0</v>
      </c>
      <c r="BJ12" s="2">
        <v>0</v>
      </c>
      <c r="BK12" s="2">
        <v>0</v>
      </c>
      <c r="BL12" s="2"/>
      <c r="BM12" s="2">
        <v>0</v>
      </c>
      <c r="BN12" s="2">
        <v>0</v>
      </c>
      <c r="BO12" s="2">
        <v>0</v>
      </c>
      <c r="BP12" s="2">
        <v>0</v>
      </c>
      <c r="BQ12" s="2">
        <v>0</v>
      </c>
      <c r="BR12" s="2"/>
      <c r="BS12" s="2">
        <v>0</v>
      </c>
      <c r="BT12" s="2">
        <v>0</v>
      </c>
      <c r="BU12" s="2">
        <v>0</v>
      </c>
      <c r="BV12" s="2">
        <v>0</v>
      </c>
      <c r="BW12" s="2">
        <v>0</v>
      </c>
      <c r="BX12" s="2"/>
      <c r="BY12" s="2">
        <v>0</v>
      </c>
      <c r="BZ12" s="2">
        <v>0</v>
      </c>
      <c r="CA12" s="2">
        <v>0</v>
      </c>
      <c r="CB12" s="2">
        <v>0</v>
      </c>
      <c r="CC12" s="2">
        <v>0</v>
      </c>
      <c r="CD12" s="2"/>
      <c r="CE12" s="2">
        <v>0</v>
      </c>
      <c r="CF12" s="2">
        <v>0</v>
      </c>
      <c r="CG12" s="2">
        <v>0</v>
      </c>
      <c r="CH12" s="2">
        <v>0</v>
      </c>
      <c r="CI12" s="2">
        <v>0</v>
      </c>
      <c r="CJ12" s="2"/>
      <c r="CK12" s="2">
        <v>0</v>
      </c>
      <c r="CL12" s="2">
        <v>0</v>
      </c>
      <c r="CM12" s="2">
        <v>0</v>
      </c>
      <c r="CN12" s="2">
        <v>0</v>
      </c>
      <c r="CO12" s="2">
        <v>0</v>
      </c>
      <c r="CP12" s="2"/>
      <c r="CQ12" s="2">
        <v>0</v>
      </c>
      <c r="CR12" s="2">
        <v>0</v>
      </c>
      <c r="CS12" s="2">
        <v>0</v>
      </c>
      <c r="CT12" s="2">
        <v>0</v>
      </c>
      <c r="CU12" s="2">
        <v>0</v>
      </c>
      <c r="CV12" s="2"/>
      <c r="CW12" s="2">
        <v>0</v>
      </c>
      <c r="CX12" s="2">
        <v>0</v>
      </c>
      <c r="CY12" s="2">
        <v>0</v>
      </c>
      <c r="CZ12" s="2">
        <v>0</v>
      </c>
      <c r="DA12" s="2">
        <v>0</v>
      </c>
      <c r="DB12" s="2">
        <v>0.03</v>
      </c>
      <c r="DC12" s="2">
        <v>155.75</v>
      </c>
      <c r="DD12" s="2">
        <v>0</v>
      </c>
      <c r="DE12" s="2">
        <v>24</v>
      </c>
      <c r="DF12" s="2">
        <v>0</v>
      </c>
      <c r="DG12" s="2">
        <v>274.75</v>
      </c>
      <c r="DH12" s="2">
        <v>4</v>
      </c>
      <c r="DI12" s="2">
        <v>0</v>
      </c>
      <c r="DJ12" s="2">
        <v>0</v>
      </c>
      <c r="DK12" s="2">
        <v>0</v>
      </c>
      <c r="DL12" s="2">
        <v>0</v>
      </c>
      <c r="DM12" s="2">
        <v>0</v>
      </c>
      <c r="DN12" s="2">
        <v>0</v>
      </c>
      <c r="DO12" s="2">
        <v>15.58</v>
      </c>
      <c r="DP12" s="2">
        <v>15.58</v>
      </c>
      <c r="DQ12" s="2">
        <v>15.58</v>
      </c>
      <c r="DR12" s="18">
        <v>43922</v>
      </c>
      <c r="DS12" s="18">
        <v>44286</v>
      </c>
      <c r="DT12" s="2">
        <v>15764</v>
      </c>
      <c r="DU12" s="2">
        <v>63227.61</v>
      </c>
      <c r="DV12" s="2">
        <v>232624.23</v>
      </c>
      <c r="DW12" s="2">
        <v>0</v>
      </c>
      <c r="DX12" s="2">
        <v>0</v>
      </c>
      <c r="DY12" s="2">
        <v>0</v>
      </c>
      <c r="DZ12" s="2">
        <v>4437.0600000000004</v>
      </c>
      <c r="EA12" s="2">
        <v>0</v>
      </c>
      <c r="EB12" s="2">
        <v>0</v>
      </c>
      <c r="EC12" s="2">
        <v>910</v>
      </c>
      <c r="ED12" s="2">
        <v>0</v>
      </c>
      <c r="EE12" s="2">
        <v>1244.33</v>
      </c>
      <c r="EF12" s="2">
        <v>0</v>
      </c>
      <c r="EG12" s="2">
        <v>558.04</v>
      </c>
      <c r="EH12" s="2" t="s">
        <v>324</v>
      </c>
      <c r="EI12" s="2">
        <v>0</v>
      </c>
      <c r="EJ12" s="2" t="s">
        <v>324</v>
      </c>
      <c r="EK12" s="2">
        <v>0</v>
      </c>
      <c r="EL12" s="2">
        <v>795.08</v>
      </c>
      <c r="EM12" s="2">
        <v>0</v>
      </c>
      <c r="EN12" s="2">
        <v>0</v>
      </c>
      <c r="EO12" s="2">
        <v>513.39</v>
      </c>
      <c r="EP12" s="2">
        <v>0</v>
      </c>
      <c r="EQ12" s="2">
        <v>0</v>
      </c>
      <c r="ER12" s="2">
        <v>0</v>
      </c>
      <c r="ES12" s="2">
        <v>0</v>
      </c>
      <c r="ET12" s="2" t="s">
        <v>324</v>
      </c>
      <c r="EU12" s="2">
        <v>0</v>
      </c>
      <c r="EV12" s="2" t="s">
        <v>324</v>
      </c>
      <c r="EW12" s="2">
        <v>0</v>
      </c>
      <c r="EX12" s="2">
        <v>47960.04</v>
      </c>
      <c r="EY12" s="2">
        <v>8555.14</v>
      </c>
      <c r="EZ12" s="2" t="s">
        <v>326</v>
      </c>
      <c r="FA12" s="2">
        <v>2892</v>
      </c>
      <c r="FB12" s="2" t="s">
        <v>326</v>
      </c>
      <c r="FC12" s="2">
        <v>0</v>
      </c>
      <c r="FD12" s="2"/>
      <c r="FE12" s="2">
        <v>0</v>
      </c>
      <c r="FF12" s="2">
        <v>0</v>
      </c>
      <c r="FG12" s="2"/>
      <c r="FH12" s="19">
        <v>44480.623391203706</v>
      </c>
      <c r="FI12" s="2" t="s">
        <v>345</v>
      </c>
      <c r="FJ12" s="2">
        <f>SUM(DATA[[#This Row],[Number of Home support clients:]],DATA[[#This Row],[Number of supported living clients:]])</f>
        <v>48</v>
      </c>
      <c r="FK12"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41-50</v>
      </c>
      <c r="FL12"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14.93</v>
      </c>
      <c r="FM12"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14.93</v>
      </c>
      <c r="FN12"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14.64</v>
      </c>
      <c r="FO12"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14.64</v>
      </c>
      <c r="FP12"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12.72</v>
      </c>
      <c r="FQ12"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12.72</v>
      </c>
      <c r="FR12"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12.47</v>
      </c>
      <c r="FS12"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12.47</v>
      </c>
      <c r="FT12"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12"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12"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12"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12"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12"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12"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12"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12"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12"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12"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12"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12"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12"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12"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12"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8.7200000000000006</v>
      </c>
      <c r="GJ12"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12"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12"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12"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12"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12"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12"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12"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12"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12"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12"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12"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12"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12"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12"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12"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12"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12"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12"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12"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12"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12"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12"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2"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2"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12"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12"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12"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12"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12"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12"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12"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12"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12"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12"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12"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12"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14.93</v>
      </c>
      <c r="HU12"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14.93</v>
      </c>
      <c r="HV12"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14.64</v>
      </c>
      <c r="HW12"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14.64</v>
      </c>
      <c r="HX12"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12.72</v>
      </c>
      <c r="HY12"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12.72</v>
      </c>
      <c r="HZ12"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12.47</v>
      </c>
      <c r="IA12"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12.47</v>
      </c>
      <c r="IB12"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12"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12"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12"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12"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12"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12"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12"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12"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12"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12"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12"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12"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12"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12"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12"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8.7200000000000006</v>
      </c>
      <c r="IR12"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12"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12"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12"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12"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12"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12"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12"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12"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12"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12"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12"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12"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12"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12"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12"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12"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12"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12"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12"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12"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12"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12"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12"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12"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12"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12"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12"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12"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12"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12"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12"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12"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12"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12"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12"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12"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12" s="21">
        <f>SUM(DATA[[#This Row],[Care Assistant 1: Numbers employed (Full Time Equivalent)]],DATA[[#This Row],[Care Assistant 2: Numbers employed (Full Time Equivalent)]],DATA[[#This Row],[Care Assistant 3: Numbers employed (Full Time Equivalent)]],DATA[[#This Row],[Care Assistant 4: Numbers employed (Full Time Equivalent)]])</f>
        <v>10</v>
      </c>
      <c r="KD12" s="21">
        <f>SUM(DATA[[#This Row],[Administrative Officer 1: Numbers employed (Full Time Equivalent)]],DATA[[#This Row],[Administrative Officer 2: Numbers employed (Full Time Equivalent)]])</f>
        <v>0</v>
      </c>
      <c r="KE12" s="21">
        <f>SUM(DATA[[#This Row],[Other staff 1: Numbers employed (Full Time Equivalent)]],DATA[[#This Row],[Other staff 2: Numbers employed (Full Time Equivalent)]],DATA[[#This Row],[Other staff 3: Numbers employed (Full Time Equivalent)]])</f>
        <v>0</v>
      </c>
      <c r="KF12" s="21">
        <f>SUM(DATA[[#This Row],[Total FTE Management Employees]:[Total FTE Other Employees]])</f>
        <v>12</v>
      </c>
      <c r="KG12" s="21" t="str">
        <f>IF(SUM(DATA[[#This Row],[Home Support service split percentage (Expenditure):]],DATA[[#This Row],[Supported Living service split percentage (Expenditure):]])&gt;0, IF(DATA[[#This Row],[Home Support service split percentage (Expenditure):]]&gt;0.5,"Home Support","Supported Living"), "Unknown")</f>
        <v>Home Support</v>
      </c>
      <c r="KH12" s="21">
        <f>SUM(DATA[[#This Row],[Home Support: Birmingham City Council]:[Home Support: Self-funded]])</f>
        <v>458.5</v>
      </c>
      <c r="KI12" s="21">
        <f>SUM(DATA[[#This Row],[Supported Living: Birmingham City Council]:[Supported Living: Self-funded]])</f>
        <v>0</v>
      </c>
      <c r="KJ12"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12"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12"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12"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12" s="21" t="b">
        <f>SUM(DATA[[#This Row],[Number of hours of care charged for in last full accounting year]:[Corporate Overheads: Other  - please specify (category) 1]])&gt;0</f>
        <v>1</v>
      </c>
      <c r="KO12" s="21">
        <f>SUM(DATA[[#This Row],[Total annual expenditure: Management staff]:[Total annual expenditure: Training and development]])</f>
        <v>300288.90000000002</v>
      </c>
      <c r="KP12" s="21">
        <f>SUM(DATA[[#This Row],[Recruitment &amp; advertising (including DBS checks)]:[Non-Staffing Direct Cost: Other  - please specify (amount) 2]])</f>
        <v>2712.37</v>
      </c>
      <c r="KQ12" s="21">
        <f>SUM(DATA[[#This Row],[Insurance ]:[Indirect costs: Other 2 - please specify (amount)]])</f>
        <v>1308.47</v>
      </c>
      <c r="KR12" s="21">
        <f>SUM(DATA[[#This Row],[Central / Regional Management]],DATA[[#This Row],[Support Services (finance / HR / Payroll / legal etc.)]],DATA[[#This Row],[Corporate Overheads: Other  - please specify (amount) 1]],DATA[[#This Row],[Corporate Overheads: Other  - please specify (amount) 2]])</f>
        <v>59407.18</v>
      </c>
      <c r="KS12"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4.0108861963968536</v>
      </c>
      <c r="KT12"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14.756675336209085</v>
      </c>
      <c r="KU12"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12"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2"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12" s="30">
        <f>IF(OR(NOT(DATA[[#This Row],[Total annual expenditure: Travel Cost]]&gt;0),NOT(DATA[[#This Row],[Number of hours of care charged for in last full accounting year]]&gt;0)),0,DATA[[#This Row],[Total annual expenditure: Travel Cost]]/DATA[[#This Row],[Number of hours of care charged for in last full accounting year]])</f>
        <v>0.28146790154783052</v>
      </c>
      <c r="KY12"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12"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12"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5.772646536412078E-2</v>
      </c>
      <c r="LB12"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12" s="30">
        <f>IF(OR(NOT(DATA[[#This Row],[Care consumables &amp; uniforms]]&gt;0),NOT(DATA[[#This Row],[Number of hours of care charged for in last full accounting year]]&gt;0)),0,DATA[[#This Row],[Care consumables &amp; uniforms]]/DATA[[#This Row],[Number of hours of care charged for in last full accounting year]])</f>
        <v>7.8934914996193858E-2</v>
      </c>
      <c r="LD12" s="30">
        <f>IF(OR(NOT(DATA[[#This Row],[Electronic call monitoring]]&gt;0),NOT(DATA[[#This Row],[Number of hours of care charged for in last full accounting year]]&gt;0)),0,DATA[[#This Row],[Electronic call monitoring]]/DATA[[#This Row],[Number of hours of care charged for in last full accounting year]])</f>
        <v>0</v>
      </c>
      <c r="LE12" s="30">
        <f>IF(OR(NOT(DATA[[#This Row],[IT Equipment &amp; Telephoney]]&gt;0),NOT(DATA[[#This Row],[Number of hours of care charged for in last full accounting year]]&gt;0)),0,DATA[[#This Row],[IT Equipment &amp; Telephoney]]/DATA[[#This Row],[Number of hours of care charged for in last full accounting year]])</f>
        <v>3.5399644760213143E-2</v>
      </c>
      <c r="LF12"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12"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12" s="30">
        <f>IF(OR(NOT(DATA[[#This Row],[Insurance ]]&gt;0),NOT(DATA[[#This Row],[Number of hours of care charged for in last full accounting year]]&gt;0)),0,DATA[[#This Row],[Insurance ]]/DATA[[#This Row],[Number of hours of care charged for in last full accounting year]])</f>
        <v>5.0436437452423245E-2</v>
      </c>
      <c r="LI12"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12" s="30">
        <f>IF(OR(NOT(DATA[[#This Row],[Repairs and maintenance]]&gt;0),NOT(DATA[[#This Row],[Number of hours of care charged for in last full accounting year]]&gt;0)),0,DATA[[#This Row],[Repairs and maintenance]]/DATA[[#This Row],[Number of hours of care charged for in last full accounting year]])</f>
        <v>0</v>
      </c>
      <c r="LK12"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3.2567241816797765E-2</v>
      </c>
      <c r="LL12" s="30">
        <f>IF(OR(NOT(DATA[[#This Row],[Registration &amp; Inspection fees ]]&gt;0),NOT(DATA[[#This Row],[Number of hours of care charged for in last full accounting year]]&gt;0)),0,DATA[[#This Row],[Registration &amp; Inspection fees ]]/DATA[[#This Row],[Number of hours of care charged for in last full accounting year]])</f>
        <v>0</v>
      </c>
      <c r="LM12" s="30">
        <f>IF(OR(NOT(DATA[[#This Row],[Subscriptions]]&gt;0),NOT(DATA[[#This Row],[Number of hours of care charged for in last full accounting year]]&gt;0)),0,DATA[[#This Row],[Subscriptions]]/DATA[[#This Row],[Number of hours of care charged for in last full accounting year]])</f>
        <v>0</v>
      </c>
      <c r="LN12" s="30">
        <f>IF(OR(NOT(DATA[[#This Row],[Cost of finance]]&gt;0),NOT(DATA[[#This Row],[Number of hours of care charged for in last full accounting year]]&gt;0)),0,DATA[[#This Row],[Cost of finance]]/DATA[[#This Row],[Number of hours of care charged for in last full accounting year]])</f>
        <v>0</v>
      </c>
      <c r="LO12" s="30">
        <f>IF(OR(NOT(DATA[[#This Row],[Other non-staff current expenses]]&gt;0),NOT(DATA[[#This Row],[Number of hours of care charged for in last full accounting year]]&gt;0)),0,DATA[[#This Row],[Other non-staff current expenses]]/DATA[[#This Row],[Number of hours of care charged for in last full accounting year]])</f>
        <v>0</v>
      </c>
      <c r="LP12"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12"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12" s="30">
        <f>IF(OR(NOT(DATA[[#This Row],[Central / Regional Management]]&gt;0),NOT(DATA[[#This Row],[Number of hours of care charged for in last full accounting year]]&gt;0)),0,DATA[[#This Row],[Central / Regional Management]]/DATA[[#This Row],[Number of hours of care charged for in last full accounting year]])</f>
        <v>3.0423775691448873</v>
      </c>
      <c r="LS12"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0.54270109109363107</v>
      </c>
      <c r="LT12"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0.18345597564070032</v>
      </c>
      <c r="LU12"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12" s="30">
        <f>SUM(DATA[[#This Row],[Management staff HOURLY RATE]:[Corporate Overheads: Other  - please specify (amount) 2 HOURLY RATE]])</f>
        <v>23.072628774422729</v>
      </c>
      <c r="LW12" s="30" t="str">
        <f>IF(OR(NOT(DATA[[#This Row],[Net Operating Profit]]&gt;0),NOT(DATA[[#This Row],[Number of hours of care charged for in last full accounting year]]&gt;0)),"",DATA[[#This Row],[Net Operating Profit]]/DATA[[#This Row],[Number of hours of care charged for in last full accounting year]])</f>
        <v/>
      </c>
      <c r="LX12" s="30">
        <f>IF(OR(NOT(DATA[[#This Row],[Return on Capital employed]]&gt;0),NOT(DATA[[#This Row],[Number of hours of care charged for in last full accounting year]]&gt;0)),0,DATA[[#This Row],[Return on Capital employed]]/DATA[[#This Row],[Number of hours of care charged for in last full accounting year]])</f>
        <v>0</v>
      </c>
      <c r="LY12" s="31">
        <v>6</v>
      </c>
      <c r="LZ12" s="30" t="s">
        <v>345</v>
      </c>
      <c r="MA12" s="30" t="b">
        <f>DATA[[#This Row],[Number of Home support clients:]]&gt;0</f>
        <v>1</v>
      </c>
      <c r="MB12" s="30" t="b">
        <f>DATA[[#This Row],[Number of supported living clients:]]&gt;0</f>
        <v>0</v>
      </c>
      <c r="MC12" s="30" t="b">
        <f>DATA[[#This Row],[Total Home Support Hours]]&gt;0</f>
        <v>1</v>
      </c>
      <c r="MD12" s="30" t="b">
        <f>DATA[[#This Row],[Total Supported Living Hours]]&gt;0</f>
        <v>0</v>
      </c>
      <c r="ME12" s="30" t="b">
        <f>DATA[[#This Row],[Home Support service split percentage (Expenditure):]]&gt;0.5</f>
        <v>1</v>
      </c>
      <c r="MF12" s="30" t="b">
        <f>DATA[[#This Row],[Agency staff HOURLY RATE]]=0</f>
        <v>1</v>
      </c>
      <c r="MG12" s="30">
        <f>IFERROR(IF(AVERAGE(DATA[[#This Row],[Registered manager: Current 2021/22 Minimum hourly pay rate ADJUSTED]],DATA[[#This Row],[Registered manager: Current 2021/22 Maximum hourly pay rate ADJUSTED]])&lt;LIVING_WAGE_22_23,DATA[[#This Row],[Registered manager: Numbers employed (Full Time Equivalent)]],0),"")</f>
        <v>0</v>
      </c>
      <c r="MH12" s="30">
        <f>IFERROR(IF(AVERAGE(DATA[[#This Row],[Deputy manager: Current 2021/22 Minimum hourly pay rate ADJUSTED]],DATA[[#This Row],[Deputy manager: Current 2021/22 Maximum hourly pay rate ADJUSTED]])&lt;LIVING_WAGE_22_23,DATA[[#This Row],[Deputy manager: Numbers employed (Full Time Equivalent)]],0),"")</f>
        <v>0</v>
      </c>
      <c r="MI12" s="30" t="str">
        <f>IFERROR(IF(AVERAGE(DATA[[#This Row],[Other manager 1: Current 2021/22 Minimum hourly pay rate ADJUSTED]],DATA[[#This Row],[Other manager 1: Current 2021/22 Maximum hourly pay rate ADJUSTED]])&lt;LIVING_WAGE_22_23,DATA[[#This Row],[Other manager 1: Numbers employed (Full Time Equivalent)]],0),"")</f>
        <v/>
      </c>
      <c r="MJ12" s="30" t="str">
        <f>IFERROR(IF(AVERAGE(DATA[[#This Row],[Other manager 2: Current 2021/22 Minimum hourly pay rate ADJUSTED]],DATA[[#This Row],[Other manager 2: Current 2021/22 Maximum hourly pay rate ADJUSTED]])&lt;LIVING_WAGE_22_23,DATA[[#This Row],[Other manager 2: Numbers employed (Full Time Equivalent)]],0),"")</f>
        <v/>
      </c>
      <c r="MK12" s="30" t="str">
        <f>IFERROR(IF(AVERAGE(DATA[[#This Row],[Other manager 3: Current 2021/22 Minimum hourly pay rate ADJUSTED]],DATA[[#This Row],[Other manager 3: Current 2021/22 Maximum hourly pay rate ADJUSTED]])&lt;LIVING_WAGE_22_23,DATA[[#This Row],[Other manager 3: Numbers employed (Full Time Equivalent)]],0),"")</f>
        <v/>
      </c>
      <c r="ML12" s="30">
        <f>IFERROR(IF(AVERAGE(DATA[[#This Row],[Care Assistant 1: Current 2021/22 Minimum hourly pay rate ADJUSTED]],DATA[[#This Row],[Care Assistant 1: Current 2021/22 Maximum hourly pay rate ADJUSTED]])&lt;LIVING_WAGE_22_23,DATA[[#This Row],[Care Assistant 1: Numbers employed (Full Time Equivalent)]],0),"")</f>
        <v>10</v>
      </c>
      <c r="MM12" s="30" t="str">
        <f>IFERROR(IF(AVERAGE(DATA[[#This Row],[Care Assistant 2: Current 2021/22 Minimum hourly pay rate ADJUSTED]],DATA[[#This Row],[Care Assistant 2: Current 2021/22 Maximum hourly pay rate ADJUSTED]])&lt;LIVING_WAGE_22_23,DATA[[#This Row],[Care Assistant 2: Numbers employed (Full Time Equivalent)]],0),"")</f>
        <v/>
      </c>
      <c r="MN12" s="30" t="str">
        <f>IFERROR(IF(AVERAGE(DATA[[#This Row],[Care Assistant 3: Current 2021/22 Minimum hourly pay rate ADJUSTED]],DATA[[#This Row],[Care Assistant 3: Current 2021/22 Maximum hourly pay rate ADJUSTED]])&lt;LIVING_WAGE_22_23,DATA[[#This Row],[Care Assistant 3: Numbers employed (Full Time Equivalent)]],0),"")</f>
        <v/>
      </c>
      <c r="MO12" s="30" t="str">
        <f>IFERROR(IF(AVERAGE(DATA[[#This Row],[Care Assistant 4: Current 2021/22 Minimum hourly pay rate ADJUSTED]],DATA[[#This Row],[Care Assistant 4: Current 2021/22 Maximum hourly pay rate ADJUSTED]])&lt;LIVING_WAGE_22_23,DATA[[#This Row],[Care Assistant 4: Numbers employed (Full Time Equivalent)]],0),"")</f>
        <v/>
      </c>
      <c r="MP12"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12"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12" s="30" t="str">
        <f>IFERROR(IF(AVERAGE(DATA[[#This Row],[Other staff 1: Current 2021/22 Minimum hourly pay rate ADJUSTED]],DATA[[#This Row],[Other staff 1: Current 2021/22 Maximum hourly pay rate ADJUSTED]])&lt;LIVING_WAGE_22_23,DATA[[#This Row],[Other staff 1: Numbers employed (Full Time Equivalent)]],0),"")</f>
        <v/>
      </c>
      <c r="MS12" s="30" t="str">
        <f>IFERROR(IF(AVERAGE(DATA[[#This Row],[Other staff 2: Current 2021/22 Minimum hourly pay rate ADJUSTED]],DATA[[#This Row],[Other staff 2: Current 2021/22 Maximum hourly pay rate ADJUSTED]])&lt;LIVING_WAGE_22_23,DATA[[#This Row],[Other staff 2: Numbers employed (Full Time Equivalent)]],0),"")</f>
        <v/>
      </c>
      <c r="MT12" s="30" t="str">
        <f>IFERROR(IF(AVERAGE(DATA[[#This Row],[Other staff 3: Current 2021/22 Minimum hourly pay rate ADJUSTED]],DATA[[#This Row],[Other staff 3: Current 2021/22 Maximum hourly pay rate ADJUSTED]])&lt;LIVING_WAGE_22_23,DATA[[#This Row],[Other staff 3: Numbers employed (Full Time Equivalent)]],0),"")</f>
        <v/>
      </c>
      <c r="MU12" s="30">
        <f>SUM(DATA[[#This Row],[Registered Manager FTE earning less than NLW 23yrs 2022/23]:[Other staff 3 FTE earning less than NLW 23yrs 2022/23]])</f>
        <v>10</v>
      </c>
      <c r="MV12"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12"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12"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12"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12"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12"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5.8999999999999986</v>
      </c>
      <c r="NB12"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12"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12"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12"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12"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12"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12"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12"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12" s="30" t="b">
        <v>0</v>
      </c>
      <c r="NK12" s="30" t="b">
        <v>1</v>
      </c>
      <c r="NL12" s="30" t="s">
        <v>972</v>
      </c>
      <c r="NM12" s="30">
        <f>SUM(DATA[[#This Row],[Management staff HOURLY RATE]:[Training and development HOURLY RATE]])</f>
        <v>19.04902943415377</v>
      </c>
      <c r="NN12" s="30">
        <f>SUM(DATA[[#This Row],[Recruitment &amp; advertising (including DBS checks) HOURLY RATE]:[Non-Staffing Direct Cost: Other  - please specify (amount) 2 HOURLY RATE]])</f>
        <v>0.17206102512052779</v>
      </c>
      <c r="NO12" s="30">
        <f>SUM(DATA[[#This Row],[Insurance  HOURLY RATE]:[Indirect costs: Other  - please specify (amount) 2 HOURLY RATE]])</f>
        <v>8.3003679269221003E-2</v>
      </c>
      <c r="NP12" s="30">
        <f>SUM(DATA[[#This Row],[Central / Regional Management HOURLY RATE]:[Corporate Overheads: Other  - please specify (amount) 2 HOURLY RATE]])</f>
        <v>3.7685346358792184</v>
      </c>
      <c r="NQ12"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12" s="30">
        <f>IFERROR(IF(AVERAGE(DATA[[#This Row],[Deputy manager: Current 2021/22 Minimum hourly pay rate ADJUSTED]],DATA[[#This Row],[Deputy manager: Current 2021/22 Maximum hourly pay rate ADJUSTED]])&lt;REAL_LIVING_WAGE_22_23,DATA[[#This Row],[Deputy manager: Numbers employed (Full Time Equivalent)]],0),"")</f>
        <v>0</v>
      </c>
      <c r="NS12" s="30" t="str">
        <f>IFERROR(IF(AVERAGE(DATA[[#This Row],[Other manager 1: Current 2021/22 Minimum hourly pay rate ADJUSTED]],DATA[[#This Row],[Other manager 1: Current 2021/22 Maximum hourly pay rate ADJUSTED]])&lt;REAL_LIVING_WAGE_22_23,DATA[[#This Row],[Other manager 1: Numbers employed (Full Time Equivalent)]],0),"")</f>
        <v/>
      </c>
      <c r="NT12" s="30" t="str">
        <f>IFERROR(IF(AVERAGE(DATA[[#This Row],[Other manager 2: Current 2021/22 Minimum hourly pay rate ADJUSTED]],DATA[[#This Row],[Other manager 2: Current 2021/22 Maximum hourly pay rate ADJUSTED]])&lt;REAL_LIVING_WAGE_22_23,DATA[[#This Row],[Other manager 2: Numbers employed (Full Time Equivalent)]],0),"")</f>
        <v/>
      </c>
      <c r="NU12" s="30" t="str">
        <f>IFERROR(IF(AVERAGE(DATA[[#This Row],[Other manager 3: Current 2021/22 Minimum hourly pay rate ADJUSTED]],DATA[[#This Row],[Other manager 3: Current 2021/22 Maximum hourly pay rate ADJUSTED]])&lt;REAL_LIVING_WAGE_22_23,DATA[[#This Row],[Other manager 3: Numbers employed (Full Time Equivalent)]],0),"")</f>
        <v/>
      </c>
      <c r="NV12" s="30">
        <f>IFERROR(IF(AVERAGE(DATA[[#This Row],[Care Assistant 1: Current 2021/22 Minimum hourly pay rate ADJUSTED]],DATA[[#This Row],[Care Assistant 1: Current 2021/22 Maximum hourly pay rate ADJUSTED]])&lt;REAL_LIVING_WAGE_22_23,DATA[[#This Row],[Care Assistant 1: Numbers employed (Full Time Equivalent)]],0),"")</f>
        <v>10</v>
      </c>
      <c r="NW12"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12"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12"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12"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12"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12" s="30" t="str">
        <f>IFERROR(IF(AVERAGE(DATA[[#This Row],[Other staff 1: Current 2021/22 Minimum hourly pay rate ADJUSTED]],DATA[[#This Row],[Other staff 1: Current 2021/22 Maximum hourly pay rate ADJUSTED]])&lt;REAL_LIVING_WAGE_22_23,DATA[[#This Row],[Other staff 1: Numbers employed (Full Time Equivalent)]],0),"")</f>
        <v/>
      </c>
      <c r="OC12" s="30" t="str">
        <f>IFERROR(IF(AVERAGE(DATA[[#This Row],[Other staff 2: Current 2021/22 Minimum hourly pay rate ADJUSTED]],DATA[[#This Row],[Other staff 2: Current 2021/22 Maximum hourly pay rate ADJUSTED]])&lt;REAL_LIVING_WAGE_22_23,DATA[[#This Row],[Other staff 2: Numbers employed (Full Time Equivalent)]],0),"")</f>
        <v/>
      </c>
      <c r="OD12" s="30" t="str">
        <f>IFERROR(IF(AVERAGE(DATA[[#This Row],[Other staff 3: Current 2021/22 Minimum hourly pay rate ADJUSTED]],DATA[[#This Row],[Other staff 3: Current 2021/22 Maximum hourly pay rate ADJUSTED]])&lt;REAL_LIVING_WAGE_22_23,DATA[[#This Row],[Other staff 3: Numbers employed (Full Time Equivalent)]],0),"")</f>
        <v/>
      </c>
      <c r="OE12" s="30">
        <f>SUM(DATA[[#This Row],[Registered Manager FTE earning less than RLW 23yrs 2022/23]:[Other staff 3 FTE earning less than RLW 23yrs 2022/23]])</f>
        <v>10</v>
      </c>
      <c r="OF12"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12"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12"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12"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12"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12"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9.9000000000000021</v>
      </c>
      <c r="OL12"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12"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12"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12"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12"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12"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12"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12"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12" s="30">
        <f>IFERROR(IF(DATA[[#This Row],[Registered manager: Numbers employed (Full Time Equivalent)]]=0,"",DATA[[#This Row],[Registered manager: Current 2021/22 Minimum hourly pay rate ADJUSTED 2]]*DATA[[#This Row],[Registered manager: Numbers employed (Full Time Equivalent)]]),"")</f>
        <v>14.93</v>
      </c>
      <c r="OU12" s="30">
        <f>IFERROR(IF(DATA[[#This Row],[Registered manager: Numbers employed (Full Time Equivalent)]]=0,"",DATA[[#This Row],[Registered manager: Current 2021/22 Maximum hourly pay rate ADJUSTED 2]]*DATA[[#This Row],[Registered manager: Numbers employed (Full Time Equivalent)]]),"")</f>
        <v>14.93</v>
      </c>
      <c r="OV12" s="30">
        <f>IFERROR(IF(DATA[[#This Row],[Registered manager: Numbers employed (Full Time Equivalent)]]=0,"",DATA[[#This Row],[Registered manager: Previous 2020/21 Minimum hourly pay rate ADJUSTED 2]]*DATA[[#This Row],[Registered manager: Numbers employed (Full Time Equivalent)]]),"")</f>
        <v>14.64</v>
      </c>
      <c r="OW12" s="30">
        <f>IFERROR(IF(DATA[[#This Row],[Registered manager: Numbers employed (Full Time Equivalent)]]=0,"",DATA[[#This Row],[Registered manager: Previous 2020/21 Maximum hourly pay rate ADJUSTED 2]]*DATA[[#This Row],[Registered manager: Numbers employed (Full Time Equivalent)]]),"")</f>
        <v>14.64</v>
      </c>
      <c r="OX12" s="30">
        <f>IFERROR(IF(DATA[[#This Row],[Deputy manager: Numbers employed (Full Time Equivalent)]]=0,"",DATA[[#This Row],[Deputy manager: Current 2021/22 Minimum hourly pay rate ADJUSTED 2]]*DATA[[#This Row],[Deputy manager: Numbers employed (Full Time Equivalent)]]),"")</f>
        <v>12.72</v>
      </c>
      <c r="OY12" s="30">
        <f>IFERROR(IF(DATA[[#This Row],[Deputy manager: Numbers employed (Full Time Equivalent)]]=0,"",DATA[[#This Row],[Deputy manager: Current 2021/22 Maximum hourly pay rate ADJUSTED 2]]*DATA[[#This Row],[Deputy manager: Numbers employed (Full Time Equivalent)]]),"")</f>
        <v>12.72</v>
      </c>
      <c r="OZ12" s="30">
        <f>IFERROR(IF(DATA[[#This Row],[Deputy manager: Numbers employed (Full Time Equivalent)]]=0,"",DATA[[#This Row],[Deputy manager: Previous 2020/21 Minimum hourly pay rate ADJUSTED 2]]*DATA[[#This Row],[Deputy manager: Numbers employed (Full Time Equivalent)]]),"")</f>
        <v>12.47</v>
      </c>
      <c r="PA12" s="30">
        <f>IFERROR(IF(DATA[[#This Row],[Deputy manager: Numbers employed (Full Time Equivalent)]]=0,"",DATA[[#This Row],[Deputy manager: Previous 2020/21 Maximum hourly pay rate ADJUSTED 2]]*DATA[[#This Row],[Deputy manager: Numbers employed (Full Time Equivalent)]]),"")</f>
        <v>12.47</v>
      </c>
      <c r="PB12" s="30" t="str">
        <f>IFERROR(IF(DATA[[#This Row],[Other manager 1: Numbers employed (Full Time Equivalent)]]=0,"",DATA[[#This Row],[Other manager 1: Current 2021/22 Minimum hourly pay rate ADJUSTED 2]]*DATA[[#This Row],[Other manager 1: Numbers employed (Full Time Equivalent)]]),"")</f>
        <v/>
      </c>
      <c r="PC12" s="30" t="str">
        <f>IFERROR(IF(DATA[[#This Row],[Other manager 1: Numbers employed (Full Time Equivalent)]]=0,"",DATA[[#This Row],[Other manager 1: Current 2021/22 Maximum hourly pay rate ADJUSTED 2]]*DATA[[#This Row],[Other manager 1: Numbers employed (Full Time Equivalent)]]),"")</f>
        <v/>
      </c>
      <c r="PD12" s="30" t="str">
        <f>IFERROR(IF(DATA[[#This Row],[Other manager 1: Numbers employed (Full Time Equivalent)]]=0,"",DATA[[#This Row],[Other manager 1: Previous 2020/21 Minimum hourly pay rate ADJUSTED 2]]*DATA[[#This Row],[Other manager 1: Numbers employed (Full Time Equivalent)]]),"")</f>
        <v/>
      </c>
      <c r="PE12" s="30" t="str">
        <f>IFERROR(IF(DATA[[#This Row],[Other manager 1: Numbers employed (Full Time Equivalent)]]=0,"",DATA[[#This Row],[Other manager 1: Previous 2020/21 Maximum hourly pay rate ADJUSTED 2]]*DATA[[#This Row],[Other manager 1: Numbers employed (Full Time Equivalent)]]),"")</f>
        <v/>
      </c>
      <c r="PF12" s="30" t="str">
        <f>IFERROR(IF(DATA[[#This Row],[Other manager 2: Numbers employed (Full Time Equivalent)]]=0,"",DATA[[#This Row],[Other manager 2: Current 2021/22 Minimum hourly pay rate ADJUSTED 2]]*DATA[[#This Row],[Other manager 2: Numbers employed (Full Time Equivalent)]]),"")</f>
        <v/>
      </c>
      <c r="PG12" s="30" t="str">
        <f>IFERROR(IF(DATA[[#This Row],[Other manager 2: Numbers employed (Full Time Equivalent)]]=0,"",DATA[[#This Row],[Other manager 2: Current 2021/22 Maximum hourly pay rate ADJUSTED 2]]*DATA[[#This Row],[Other manager 2: Numbers employed (Full Time Equivalent)]]),"")</f>
        <v/>
      </c>
      <c r="PH12" s="30" t="str">
        <f>IFERROR(IF(DATA[[#This Row],[Other manager 2: Numbers employed (Full Time Equivalent)]]=0,"",DATA[[#This Row],[Other manager 2: Previous 2020/21 Minimum hourly pay rate ADJUSTED 2]]*DATA[[#This Row],[Other manager 2: Numbers employed (Full Time Equivalent)]]),"")</f>
        <v/>
      </c>
      <c r="PI12" s="30" t="str">
        <f>IFERROR(IF(DATA[[#This Row],[Other manager 2: Numbers employed (Full Time Equivalent)]]=0,"",DATA[[#This Row],[Other manager 2: Previous 2020/21 Maximum hourly pay rate ADJUSTED 2]]*DATA[[#This Row],[Other manager 2: Numbers employed (Full Time Equivalent)]]),"")</f>
        <v/>
      </c>
      <c r="PJ12" s="30" t="str">
        <f>IFERROR(IF(DATA[[#This Row],[Other manager 3: Numbers employed (Full Time Equivalent)]]=0,"",DATA[[#This Row],[Other manager 3: Current 2021/22 Minimum hourly pay rate ADJUSTED 2]]*DATA[[#This Row],[Other manager 3: Numbers employed (Full Time Equivalent)]]),"")</f>
        <v/>
      </c>
      <c r="PK12" s="30" t="str">
        <f>IFERROR(IF(DATA[[#This Row],[Other manager 3: Numbers employed (Full Time Equivalent)]]=0,"",DATA[[#This Row],[Other manager 3: Current 2021/22 Maximum hourly pay rate ADJUSTED 2]]*DATA[[#This Row],[Other manager 3: Numbers employed (Full Time Equivalent)]]),"")</f>
        <v/>
      </c>
      <c r="PL12" s="30" t="str">
        <f>IFERROR(IF(DATA[[#This Row],[Other manager 3: Numbers employed (Full Time Equivalent)]]=0,"",DATA[[#This Row],[Other manager 3: Previous 2020/21 Minimum hourly pay rate ADJUSTED 2]]*DATA[[#This Row],[Other manager 3: Numbers employed (Full Time Equivalent)]]),"")</f>
        <v/>
      </c>
      <c r="PM12" s="30" t="str">
        <f>IFERROR(IF(DATA[[#This Row],[Other manager 3: Numbers employed (Full Time Equivalent)]]=0,"",DATA[[#This Row],[Other manager 3: Previous 2020/21 Maximum hourly pay rate ADJUSTED 2]]*DATA[[#This Row],[Other manager 3: Numbers employed (Full Time Equivalent)]]),"")</f>
        <v/>
      </c>
      <c r="PN12" s="30">
        <f>IFERROR(IF(DATA[[#This Row],[Care Assistant 1: Numbers employed (Full Time Equivalent)]]=0,"",DATA[[#This Row],[Care Assistant 1: Current 2021/22 Minimum hourly pay rate ADJUSTED 2]]*DATA[[#This Row],[Care Assistant 1: Numbers employed (Full Time Equivalent)]]),"")</f>
        <v>89.1</v>
      </c>
      <c r="PO12" s="30">
        <f>IFERROR(IF(DATA[[#This Row],[Care Assistant 1: Numbers employed (Full Time Equivalent)]]=0,"",DATA[[#This Row],[Care Assistant 1: Current 2021/22 Maximum hourly pay rate ADJUSTED 2]]*DATA[[#This Row],[Care Assistant 1: Numbers employed (Full Time Equivalent)]]),"")</f>
        <v>89.1</v>
      </c>
      <c r="PP12" s="30">
        <f>IFERROR(IF(DATA[[#This Row],[Care Assistant 1: Numbers employed (Full Time Equivalent)]]=0,"",DATA[[#This Row],[Care Assistant 1: Previous 2020/21 Minimum hourly pay rate ADJUSTED 2]]*DATA[[#This Row],[Care Assistant 1: Numbers employed (Full Time Equivalent)]]),"")</f>
        <v>87.2</v>
      </c>
      <c r="PQ12" s="30">
        <f>IFERROR(IF(DATA[[#This Row],[Care Assistant 1: Numbers employed (Full Time Equivalent)]]=0,"",DATA[[#This Row],[Care Assistant 1: Previous 2020/21 Maximum hourly pay rate ADJUSTED 2]]*DATA[[#This Row],[Care Assistant 1: Numbers employed (Full Time Equivalent)]]),"")</f>
        <v>87.2</v>
      </c>
      <c r="PR12" s="30" t="str">
        <f>IFERROR(IF(DATA[[#This Row],[Care Assistant 2: Numbers employed (Full Time Equivalent)]]=0,"",DATA[[#This Row],[Care Assistant 2: Current 2021/22 Minimum hourly pay rate ADJUSTED 2]]*DATA[[#This Row],[Care Assistant 2: Numbers employed (Full Time Equivalent)]]),"")</f>
        <v/>
      </c>
      <c r="PS12" s="30" t="str">
        <f>IFERROR(IF(DATA[[#This Row],[Care Assistant 2: Numbers employed (Full Time Equivalent)]]=0,"",DATA[[#This Row],[Care Assistant 2: Current 2021/22 Maximum hourly pay rate ADJUSTED 2]]*DATA[[#This Row],[Care Assistant 2: Numbers employed (Full Time Equivalent)]]),"")</f>
        <v/>
      </c>
      <c r="PT12" s="30" t="str">
        <f>IFERROR(IF(DATA[[#This Row],[Care Assistant 2: Numbers employed (Full Time Equivalent)]]=0,"",DATA[[#This Row],[Care Assistant 2: Previous 2020/21 Minimum hourly pay rate ADJUSTED 2]]*DATA[[#This Row],[Care Assistant 2: Numbers employed (Full Time Equivalent)]]),"")</f>
        <v/>
      </c>
      <c r="PU12" s="30" t="str">
        <f>IFERROR(IF(DATA[[#This Row],[Care Assistant 2: Numbers employed (Full Time Equivalent)]]=0,"",DATA[[#This Row],[Care Assistant 2: Previous 2020/21 Maximum hourly pay rate ADJUSTED 2]]*DATA[[#This Row],[Care Assistant 2: Numbers employed (Full Time Equivalent)]]),"")</f>
        <v/>
      </c>
      <c r="PV12" s="30" t="str">
        <f>IFERROR(IF(DATA[[#This Row],[Care Assistant 3: Numbers employed (Full Time Equivalent)]]=0,"",DATA[[#This Row],[Care Assistant 3: Current 2021/22 Minimum hourly pay rate ADJUSTED 2]]*DATA[[#This Row],[Care Assistant 3: Numbers employed (Full Time Equivalent)]]),"")</f>
        <v/>
      </c>
      <c r="PW12" s="30" t="str">
        <f>IFERROR(IF(DATA[[#This Row],[Care Assistant 3: Numbers employed (Full Time Equivalent)]]=0,"",DATA[[#This Row],[Care Assistant 3: Current 2021/22 Maximum hourly pay rate ADJUSTED 2]]*DATA[[#This Row],[Care Assistant 3: Numbers employed (Full Time Equivalent)]]),"")</f>
        <v/>
      </c>
      <c r="PX12" s="30" t="str">
        <f>IFERROR(IF(DATA[[#This Row],[Care Assistant 3: Numbers employed (Full Time Equivalent)]]=0,"",DATA[[#This Row],[Care Assistant 3: Previous 2020/21 Minimum hourly pay rate ADJUSTED 2]]*DATA[[#This Row],[Care Assistant 3: Numbers employed (Full Time Equivalent)]]),"")</f>
        <v/>
      </c>
      <c r="PY12" s="30" t="str">
        <f>IFERROR(IF(DATA[[#This Row],[Care Assistant 3: Numbers employed (Full Time Equivalent)]]=0,"",DATA[[#This Row],[Care Assistant 3: Previous 2020/21 Maximum hourly pay rate ADJUSTED 2]]*DATA[[#This Row],[Care Assistant 3: Numbers employed (Full Time Equivalent)]]),"")</f>
        <v/>
      </c>
      <c r="PZ12" s="30" t="str">
        <f>IFERROR(IF(DATA[[#This Row],[Care Assistant 4: Numbers employed (Full Time Equivalent)]]=0,"",DATA[[#This Row],[Care Assistant 4: Current 2021/22 Minimum hourly pay rate ADJUSTED 2]]*DATA[[#This Row],[Care Assistant 4: Numbers employed (Full Time Equivalent)]]),"")</f>
        <v/>
      </c>
      <c r="QA12" s="30" t="str">
        <f>IFERROR(IF(DATA[[#This Row],[Care Assistant 4: Numbers employed (Full Time Equivalent)]]=0,"",DATA[[#This Row],[Care Assistant 4: Current 2021/22 Maximum hourly pay rate ADJUSTED 2]]*DATA[[#This Row],[Care Assistant 4: Numbers employed (Full Time Equivalent)]]),"")</f>
        <v/>
      </c>
      <c r="QB12" s="30" t="str">
        <f>IFERROR(IF(DATA[[#This Row],[Care Assistant 4: Numbers employed (Full Time Equivalent)]]=0,"",DATA[[#This Row],[Care Assistant 4: Previous 2020/21 Minimum hourly pay rate ADJUSTED 2]]*DATA[[#This Row],[Care Assistant 4: Numbers employed (Full Time Equivalent)]]),"")</f>
        <v/>
      </c>
      <c r="QC12" s="30" t="str">
        <f>IFERROR(IF(DATA[[#This Row],[Care Assistant 4: Numbers employed (Full Time Equivalent)]]=0,"",DATA[[#This Row],[Care Assistant 4: Previous 2020/21 Maximum hourly pay rate ADJUSTED 2]]*DATA[[#This Row],[Care Assistant 4: Numbers employed (Full Time Equivalent)]]),"")</f>
        <v/>
      </c>
      <c r="QD12" s="30" t="str">
        <f>IFERROR(IF(DATA[[#This Row],[Administrative Officer 1: Numbers employed (Full Time Equivalent)]]=0,"",DATA[[#This Row],[Administrative Officer 1: Current 2021/22 Minimum hourly pay rate ADJUSTED 2]]*DATA[[#This Row],[Administrative Officer 1: Numbers employed (Full Time Equivalent)]]),"")</f>
        <v/>
      </c>
      <c r="QE12" s="30" t="str">
        <f>IFERROR(IF(DATA[[#This Row],[Administrative Officer 1: Numbers employed (Full Time Equivalent)]]=0,"",DATA[[#This Row],[Administrative Officer 1: Current 2021/22 Maximum hourly pay rate ADJUSTED 2]]*DATA[[#This Row],[Administrative Officer 1: Numbers employed (Full Time Equivalent)]]),"")</f>
        <v/>
      </c>
      <c r="QF12" s="30" t="str">
        <f>IFERROR(IF(DATA[[#This Row],[Administrative Officer 1: Numbers employed (Full Time Equivalent)]]=0,"",DATA[[#This Row],[Administrative Officer 1: Previous 2020/21 Minimum hourly pay rate ADJUSTED 2]]*DATA[[#This Row],[Administrative Officer 1: Numbers employed (Full Time Equivalent)]]),"")</f>
        <v/>
      </c>
      <c r="QG12" s="30" t="str">
        <f>IFERROR(IF(DATA[[#This Row],[Administrative Officer 1: Numbers employed (Full Time Equivalent)]]=0,"",DATA[[#This Row],[Administrative Officer 1: Previous 2020/21 Maximum hourly pay rate ADJUSTED 2]]*DATA[[#This Row],[Administrative Officer 1: Numbers employed (Full Time Equivalent)]]),"")</f>
        <v/>
      </c>
      <c r="QH12" s="30" t="str">
        <f>IFERROR(IF(DATA[[#This Row],[Administrative Officer 2: Numbers employed (Full Time Equivalent)]]=0,"",DATA[[#This Row],[Administrative Officer 2: Current 2021/22 Minimum hourly pay rate ADJUSTED 2]]*DATA[[#This Row],[Administrative Officer 2: Numbers employed (Full Time Equivalent)]]),"")</f>
        <v/>
      </c>
      <c r="QI12" s="30" t="str">
        <f>IFERROR(IF(DATA[[#This Row],[Administrative Officer 2: Numbers employed (Full Time Equivalent)]]=0,"",DATA[[#This Row],[Administrative Officer 2: Current 2021/22 Maximum hourly pay rate ADJUSTED 2]]*DATA[[#This Row],[Administrative Officer 2: Numbers employed (Full Time Equivalent)]]),"")</f>
        <v/>
      </c>
      <c r="QJ12" s="30" t="str">
        <f>IFERROR(IF(DATA[[#This Row],[Administrative Officer 2: Numbers employed (Full Time Equivalent)]]=0,"",DATA[[#This Row],[Administrative Officer 2: Previous 2020/21 Minimum hourly pay rate ADJUSTED 2]]*DATA[[#This Row],[Administrative Officer 2: Numbers employed (Full Time Equivalent)]]),"")</f>
        <v/>
      </c>
      <c r="QK12" s="30" t="str">
        <f>IFERROR(IF(DATA[[#This Row],[Administrative Officer 2: Numbers employed (Full Time Equivalent)]]=0,"",DATA[[#This Row],[Administrative Officer 2: Previous 2020/21 Maximum hourly pay rate ADJUSTED 2]]*DATA[[#This Row],[Administrative Officer 2: Numbers employed (Full Time Equivalent)]]),"")</f>
        <v/>
      </c>
      <c r="QL12" s="30" t="str">
        <f>IFERROR(IF(DATA[[#This Row],[Administrative Officer 3: Numbers employed (Full Time Equivalent)]]=0,"",DATA[[#This Row],[Administrative Officer 3: Current 2021/22 Minimum hourly pay rate ADJUSTED 2]]*DATA[[#This Row],[Administrative Officer 3: Numbers employed (Full Time Equivalent)]]),"")</f>
        <v/>
      </c>
      <c r="QM12" s="30" t="str">
        <f>IFERROR(IF(DATA[[#This Row],[Administrative Officer 3: Numbers employed (Full Time Equivalent)]]=0,"",DATA[[#This Row],[Administrative Officer 3: Current 2021/22 Maximum hourly pay rate ADJUSTED 2]]*DATA[[#This Row],[Administrative Officer 3: Numbers employed (Full Time Equivalent)]]),"")</f>
        <v/>
      </c>
      <c r="QN12" s="30" t="str">
        <f>IFERROR(IF(DATA[[#This Row],[Administrative Officer 3: Numbers employed (Full Time Equivalent)]]=0,"",DATA[[#This Row],[Administrative Officer 3: Previous 2020/21 Minimum hourly pay rate ADJUSTED 2]]*DATA[[#This Row],[Administrative Officer 3: Numbers employed (Full Time Equivalent)]]),"")</f>
        <v/>
      </c>
      <c r="QO12" s="30" t="str">
        <f>IFERROR(IF(DATA[[#This Row],[Administrative Officer 3: Numbers employed (Full Time Equivalent)]]=0,"",DATA[[#This Row],[Administrative Officer 3: Previous 2020/21 Maximum hourly pay rate ADJUSTED 2]]*DATA[[#This Row],[Administrative Officer 3: Numbers employed (Full Time Equivalent)]]),"")</f>
        <v/>
      </c>
      <c r="QP12" s="28" t="str">
        <f>IFERROR(IF(DATA[[#This Row],[Other staff 1: Numbers employed (Full Time Equivalent)]]=0,"",DATA[[#This Row],[Other staff 1: Current 2021/22 Minimum hourly pay rate ADJUSTED 2]]*DATA[[#This Row],[Other staff 1: Numbers employed (Full Time Equivalent)]]),"")</f>
        <v/>
      </c>
      <c r="QQ12" s="28" t="str">
        <f>IFERROR(IF(DATA[[#This Row],[Other staff 1: Numbers employed (Full Time Equivalent)]]=0,"",DATA[[#This Row],[Other staff 1: Current 2021/22 Maximum hourly pay rate ADJUSTED 2]]*DATA[[#This Row],[Other staff 1: Numbers employed (Full Time Equivalent)]]),"")</f>
        <v/>
      </c>
      <c r="QR12" s="28" t="str">
        <f>IFERROR(IF(DATA[[#This Row],[Other staff 1: Numbers employed (Full Time Equivalent)]]=0,"",DATA[[#This Row],[Other staff 1: Previous 2020/21 Minimum hourly pay rate ADJUSTED 2]]*DATA[[#This Row],[Other staff 1: Numbers employed (Full Time Equivalent)]]),"")</f>
        <v/>
      </c>
      <c r="QS12" s="28" t="str">
        <f>IFERROR(IF(DATA[[#This Row],[Other staff 1: Numbers employed (Full Time Equivalent)]]=0,"",DATA[[#This Row],[Other staff 1: Previous 2020/21 Maximum hourly pay rate ADJUSTED 2]]*DATA[[#This Row],[Other staff 1: Numbers employed (Full Time Equivalent)]]),"")</f>
        <v/>
      </c>
      <c r="QT12" s="28" t="str">
        <f>IFERROR(IF(DATA[[#This Row],[Other staff 2: Numbers employed (Full Time Equivalent)]]=0,"",DATA[[#This Row],[Other staff 2: Current 2021/22 Minimum hourly pay rate ADJUSTED 2]]*DATA[[#This Row],[Other staff 2: Numbers employed (Full Time Equivalent)]]),"")</f>
        <v/>
      </c>
      <c r="QU12" s="28" t="str">
        <f>IFERROR(IF(DATA[[#This Row],[Other staff 2: Numbers employed (Full Time Equivalent)]]=0,"",DATA[[#This Row],[Other staff 2: Current 2021/22 Maximum hourly pay rate ADJUSTED 2]]*DATA[[#This Row],[Other staff 2: Numbers employed (Full Time Equivalent)]]),"")</f>
        <v/>
      </c>
      <c r="QV12" s="28" t="str">
        <f>IFERROR(IF(DATA[[#This Row],[Other staff 2: Numbers employed (Full Time Equivalent)]]=0,"",DATA[[#This Row],[Other staff 2: Previous 2020/21 Minimum hourly pay rate ADJUSTED 2]]*DATA[[#This Row],[Other staff 2: Numbers employed (Full Time Equivalent)]]),"")</f>
        <v/>
      </c>
      <c r="QW12" s="28" t="str">
        <f>IFERROR(IF(DATA[[#This Row],[Other staff 2: Numbers employed (Full Time Equivalent)]]=0,"",DATA[[#This Row],[Other staff 2: Previous 2020/21 Maximum hourly pay rate ADJUSTED 2]]*DATA[[#This Row],[Other staff 2: Numbers employed (Full Time Equivalent)]]),"")</f>
        <v/>
      </c>
      <c r="QX12" s="28" t="str">
        <f>IFERROR(IF(DATA[[#This Row],[Other staff 3: Numbers employed (Full Time Equivalent)]]=0,"",DATA[[#This Row],[Other staff 3: Current 2021/22 Minimum hourly pay rate ADJUSTED 2]]*DATA[[#This Row],[Other staff 3: Numbers employed (Full Time Equivalent)]]),"")</f>
        <v/>
      </c>
      <c r="QY12" s="28" t="str">
        <f>IFERROR(IF(DATA[[#This Row],[Other staff 3: Numbers employed (Full Time Equivalent)]]=0,"",DATA[[#This Row],[Other staff 3: Current 2021/22 Maximum hourly pay rate ADJUSTED 2]]*DATA[[#This Row],[Other staff 3: Numbers employed (Full Time Equivalent)]]),"")</f>
        <v/>
      </c>
      <c r="QZ12" s="28" t="str">
        <f>IFERROR(IF(DATA[[#This Row],[Other staff 3: Numbers employed (Full Time Equivalent)]]=0,"",DATA[[#This Row],[Other staff 3: Previous 2020/21 Minimum hourly pay rate ADJUSTED 2]]*DATA[[#This Row],[Other staff 3: Numbers employed (Full Time Equivalent)]]),"")</f>
        <v/>
      </c>
      <c r="RA12" s="28" t="str">
        <f>IFERROR(IF(DATA[[#This Row],[Other staff 3: Numbers employed (Full Time Equivalent)]]=0,"",DATA[[#This Row],[Other staff 3: Previous 2020/21 Maximum hourly pay rate ADJUSTED 2]]*DATA[[#This Row],[Other staff 3: Numbers employed (Full Time Equivalent)]]),"")</f>
        <v/>
      </c>
      <c r="RB12"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12"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12"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12"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12"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12"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10</v>
      </c>
      <c r="RH12"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12"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12"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12"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12"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12"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12"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12"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12"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13" spans="1:484" x14ac:dyDescent="0.25">
      <c r="G13" s="2">
        <v>7</v>
      </c>
      <c r="H13" s="2">
        <v>12</v>
      </c>
      <c r="I13" s="2">
        <v>51</v>
      </c>
      <c r="J13" s="2">
        <v>0.18</v>
      </c>
      <c r="K13" s="2">
        <v>0.72</v>
      </c>
      <c r="L13" s="2" t="s">
        <v>328</v>
      </c>
      <c r="M13" s="2" t="s">
        <v>328</v>
      </c>
      <c r="R13" s="2">
        <v>20.82</v>
      </c>
      <c r="S13" s="2">
        <v>20.82</v>
      </c>
      <c r="T13" s="2">
        <v>20.82</v>
      </c>
      <c r="U13" s="2">
        <v>20.82</v>
      </c>
      <c r="V13" s="2">
        <v>1</v>
      </c>
      <c r="W13" s="2">
        <v>20.82</v>
      </c>
      <c r="X13" s="2">
        <v>20.82</v>
      </c>
      <c r="Y13" s="2">
        <v>20.82</v>
      </c>
      <c r="Z13" s="2">
        <v>20.82</v>
      </c>
      <c r="AA13" s="2">
        <v>1</v>
      </c>
      <c r="AB13" s="2" t="s">
        <v>346</v>
      </c>
      <c r="AC13" s="2">
        <v>0</v>
      </c>
      <c r="AD13" s="2">
        <v>10.01</v>
      </c>
      <c r="AE13" s="2">
        <v>0</v>
      </c>
      <c r="AF13" s="2">
        <v>10.01</v>
      </c>
      <c r="AG13" s="2">
        <v>8</v>
      </c>
      <c r="AH13" s="2" t="s">
        <v>347</v>
      </c>
      <c r="AI13" s="2">
        <v>20.82</v>
      </c>
      <c r="AJ13" s="2">
        <v>20.82</v>
      </c>
      <c r="AK13" s="2">
        <v>20.82</v>
      </c>
      <c r="AL13" s="2">
        <v>20.82</v>
      </c>
      <c r="AM13" s="2">
        <v>1</v>
      </c>
      <c r="AN13" s="2" t="s">
        <v>348</v>
      </c>
      <c r="AO13" s="2">
        <v>0</v>
      </c>
      <c r="AP13" s="2">
        <v>14.35</v>
      </c>
      <c r="AQ13" s="2">
        <v>0</v>
      </c>
      <c r="AR13" s="2">
        <v>0</v>
      </c>
      <c r="AS13" s="2">
        <v>2</v>
      </c>
      <c r="AT13" s="2" t="s">
        <v>349</v>
      </c>
      <c r="AU13" s="2">
        <v>0</v>
      </c>
      <c r="AV13" s="2">
        <v>9.41</v>
      </c>
      <c r="AW13" s="2">
        <v>0</v>
      </c>
      <c r="AX13" s="2">
        <v>9.2200000000000006</v>
      </c>
      <c r="AY13" s="2">
        <v>63</v>
      </c>
      <c r="AZ13" s="2" t="s">
        <v>350</v>
      </c>
      <c r="BA13" s="2">
        <v>0</v>
      </c>
      <c r="BB13" s="2">
        <v>8.91</v>
      </c>
      <c r="BC13" s="2">
        <v>0</v>
      </c>
      <c r="BD13" s="2">
        <v>8.7200000000000006</v>
      </c>
      <c r="BE13" s="2">
        <v>48.5</v>
      </c>
      <c r="BF13" s="2" t="s">
        <v>350</v>
      </c>
      <c r="BG13" s="2">
        <v>0</v>
      </c>
      <c r="BH13" s="2">
        <v>8.36</v>
      </c>
      <c r="BI13" s="2">
        <v>0</v>
      </c>
      <c r="BJ13" s="2">
        <v>8.1999999999999993</v>
      </c>
      <c r="BK13" s="2">
        <v>42.5</v>
      </c>
      <c r="BL13" s="2" t="s">
        <v>350</v>
      </c>
      <c r="BM13" s="2">
        <v>0</v>
      </c>
      <c r="BN13" s="2">
        <v>6.56</v>
      </c>
      <c r="BO13" s="2">
        <v>0</v>
      </c>
      <c r="BP13" s="2">
        <v>6.45</v>
      </c>
      <c r="BQ13" s="2">
        <v>1</v>
      </c>
      <c r="BR13" s="2" t="s">
        <v>351</v>
      </c>
      <c r="BS13" s="2">
        <v>0</v>
      </c>
      <c r="BT13" s="2">
        <v>8.91</v>
      </c>
      <c r="BU13" s="2">
        <v>0</v>
      </c>
      <c r="BV13" s="2">
        <v>0</v>
      </c>
      <c r="BW13" s="2">
        <v>1</v>
      </c>
      <c r="BX13" s="2" t="s">
        <v>352</v>
      </c>
      <c r="BY13" s="2">
        <v>0</v>
      </c>
      <c r="BZ13" s="2">
        <v>11.28</v>
      </c>
      <c r="CA13" s="2">
        <v>0</v>
      </c>
      <c r="CB13" s="2">
        <v>0</v>
      </c>
      <c r="CC13" s="2">
        <v>1</v>
      </c>
      <c r="CD13" s="2" t="s">
        <v>351</v>
      </c>
      <c r="CE13" s="2">
        <v>0</v>
      </c>
      <c r="CF13" s="2">
        <v>6.56</v>
      </c>
      <c r="CG13" s="2">
        <v>0</v>
      </c>
      <c r="CH13" s="2">
        <v>0</v>
      </c>
      <c r="CI13" s="2">
        <v>1</v>
      </c>
      <c r="CJ13" s="2" t="s">
        <v>353</v>
      </c>
      <c r="CK13" s="2">
        <v>0</v>
      </c>
      <c r="CL13" s="2">
        <v>8.91</v>
      </c>
      <c r="CM13" s="2">
        <v>0</v>
      </c>
      <c r="CN13" s="2">
        <v>0</v>
      </c>
      <c r="CO13" s="2">
        <v>1</v>
      </c>
      <c r="CP13" s="2" t="s">
        <v>354</v>
      </c>
      <c r="CQ13" s="2">
        <v>0</v>
      </c>
      <c r="CR13" s="2">
        <v>8.91</v>
      </c>
      <c r="CS13" s="2">
        <v>0</v>
      </c>
      <c r="CT13" s="2">
        <v>0</v>
      </c>
      <c r="CU13" s="2">
        <v>2</v>
      </c>
      <c r="CV13" s="2" t="s">
        <v>355</v>
      </c>
      <c r="CW13" s="2">
        <v>0</v>
      </c>
      <c r="CX13" s="2">
        <v>14.1</v>
      </c>
      <c r="CY13" s="2">
        <v>0</v>
      </c>
      <c r="CZ13" s="2">
        <v>11.24</v>
      </c>
      <c r="DA13" s="2">
        <v>2</v>
      </c>
      <c r="DB13" s="2">
        <v>0.03</v>
      </c>
      <c r="DC13" s="2">
        <v>262</v>
      </c>
      <c r="DD13" s="2">
        <v>271</v>
      </c>
      <c r="DE13" s="2">
        <v>276.5</v>
      </c>
      <c r="DF13" s="2">
        <v>0</v>
      </c>
      <c r="DG13" s="2">
        <v>55</v>
      </c>
      <c r="DH13" s="2">
        <v>0</v>
      </c>
      <c r="DI13" s="2">
        <v>438</v>
      </c>
      <c r="DJ13" s="2">
        <v>1316.5</v>
      </c>
      <c r="DK13" s="2">
        <v>526</v>
      </c>
      <c r="DL13" s="2">
        <v>624</v>
      </c>
      <c r="DM13" s="2">
        <v>399</v>
      </c>
      <c r="DN13" s="2">
        <v>0</v>
      </c>
      <c r="DO13" s="2">
        <v>0</v>
      </c>
      <c r="DP13" s="2">
        <v>0</v>
      </c>
      <c r="DQ13" s="2">
        <v>0</v>
      </c>
      <c r="DR13" s="18">
        <v>43831</v>
      </c>
      <c r="DS13" s="18">
        <v>44196</v>
      </c>
      <c r="DT13" s="2">
        <v>189645</v>
      </c>
      <c r="DU13" s="2">
        <v>271640.89</v>
      </c>
      <c r="DV13" s="2">
        <v>1802120.74</v>
      </c>
      <c r="DW13" s="2">
        <v>24022.71</v>
      </c>
      <c r="DX13" s="2">
        <v>0</v>
      </c>
      <c r="DY13" s="2">
        <v>0</v>
      </c>
      <c r="DZ13" s="2">
        <v>12267.13</v>
      </c>
      <c r="EA13" s="2">
        <v>5728.11</v>
      </c>
      <c r="EB13" s="2">
        <v>69663.009999999995</v>
      </c>
      <c r="EC13" s="2">
        <v>12166.43</v>
      </c>
      <c r="ED13" s="2">
        <v>0</v>
      </c>
      <c r="EE13" s="2">
        <v>16301.2</v>
      </c>
      <c r="EF13" s="2">
        <v>3636</v>
      </c>
      <c r="EG13" s="2">
        <v>17267.38</v>
      </c>
      <c r="EH13" s="2" t="s">
        <v>324</v>
      </c>
      <c r="EI13" s="2">
        <v>0</v>
      </c>
      <c r="EJ13" s="2" t="s">
        <v>324</v>
      </c>
      <c r="EK13" s="2">
        <v>0</v>
      </c>
      <c r="EL13" s="2">
        <v>8868.6299999999992</v>
      </c>
      <c r="EM13" s="2">
        <v>14249.08</v>
      </c>
      <c r="EN13" s="2">
        <v>2600.54</v>
      </c>
      <c r="EO13" s="2">
        <v>54517.31</v>
      </c>
      <c r="EP13" s="2">
        <v>2351.5500000000002</v>
      </c>
      <c r="EQ13" s="2">
        <v>55.93</v>
      </c>
      <c r="ER13" s="2">
        <v>8527.4599999999991</v>
      </c>
      <c r="ES13" s="2">
        <v>2078.67</v>
      </c>
      <c r="ET13" s="2" t="s">
        <v>356</v>
      </c>
      <c r="EU13" s="2">
        <v>5022.45</v>
      </c>
      <c r="EV13" s="2" t="s">
        <v>324</v>
      </c>
      <c r="EW13" s="2">
        <v>0</v>
      </c>
      <c r="EX13" s="2">
        <v>0</v>
      </c>
      <c r="EY13" s="2">
        <v>14039</v>
      </c>
      <c r="EZ13" s="2" t="s">
        <v>342</v>
      </c>
      <c r="FA13" s="2">
        <v>20731</v>
      </c>
      <c r="FB13" s="2" t="s">
        <v>357</v>
      </c>
      <c r="FC13" s="2">
        <v>5048.4799999999996</v>
      </c>
      <c r="FD13" s="2">
        <v>425459</v>
      </c>
      <c r="FE13" s="2">
        <v>0</v>
      </c>
      <c r="FF13" s="2">
        <v>0</v>
      </c>
      <c r="FG13" s="2"/>
      <c r="FH13" s="19">
        <v>44480.623425925929</v>
      </c>
      <c r="FI13" s="2" t="s">
        <v>345</v>
      </c>
      <c r="FJ13" s="2">
        <f>SUM(DATA[[#This Row],[Number of Home support clients:]],DATA[[#This Row],[Number of supported living clients:]])</f>
        <v>63</v>
      </c>
      <c r="FK13"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61-70</v>
      </c>
      <c r="FL13"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20.82</v>
      </c>
      <c r="FM13"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20.82</v>
      </c>
      <c r="FN13"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20.82</v>
      </c>
      <c r="FO13"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20.82</v>
      </c>
      <c r="FP13"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20.82</v>
      </c>
      <c r="FQ13"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20.82</v>
      </c>
      <c r="FR13"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20.82</v>
      </c>
      <c r="FS13"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20.82</v>
      </c>
      <c r="FT13"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10.01</v>
      </c>
      <c r="FU13"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10.01</v>
      </c>
      <c r="FV13"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10.01</v>
      </c>
      <c r="FW13"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10.01</v>
      </c>
      <c r="FX13"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20.82</v>
      </c>
      <c r="FY13"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20.82</v>
      </c>
      <c r="FZ13"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20.82</v>
      </c>
      <c r="GA13"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20.82</v>
      </c>
      <c r="GB13"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14.35</v>
      </c>
      <c r="GC13"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14.35</v>
      </c>
      <c r="GD13"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13"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13"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9.41</v>
      </c>
      <c r="GG13"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9.41</v>
      </c>
      <c r="GH13"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9.2200000000000006</v>
      </c>
      <c r="GI13"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9.2200000000000006</v>
      </c>
      <c r="GJ13"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8.91</v>
      </c>
      <c r="GK13"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8.91</v>
      </c>
      <c r="GL13"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8.7200000000000006</v>
      </c>
      <c r="GM13"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8.7200000000000006</v>
      </c>
      <c r="GN13"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8.36</v>
      </c>
      <c r="GO13"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8.36</v>
      </c>
      <c r="GP13"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8.1999999999999993</v>
      </c>
      <c r="GQ13"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8.1999999999999993</v>
      </c>
      <c r="GR13"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6.56</v>
      </c>
      <c r="GS13"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6.56</v>
      </c>
      <c r="GT13"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6.45</v>
      </c>
      <c r="GU13"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6.45</v>
      </c>
      <c r="GV13"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8.91</v>
      </c>
      <c r="GW13"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8.91</v>
      </c>
      <c r="GX13"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13"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13"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11.28</v>
      </c>
      <c r="HA13"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11.28</v>
      </c>
      <c r="HB13"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13"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13"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6.56</v>
      </c>
      <c r="HE13"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6.56</v>
      </c>
      <c r="HF13"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3"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3"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8.91</v>
      </c>
      <c r="HI13"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8.91</v>
      </c>
      <c r="HJ13"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13"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13"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8.91</v>
      </c>
      <c r="HM13"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8.91</v>
      </c>
      <c r="HN13"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13"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13" s="2">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14.1</v>
      </c>
      <c r="HQ13" s="2">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14.1</v>
      </c>
      <c r="HR13" s="2">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11.24</v>
      </c>
      <c r="HS13" s="2">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11.24</v>
      </c>
      <c r="HT13"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20.82</v>
      </c>
      <c r="HU13"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20.82</v>
      </c>
      <c r="HV13"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20.82</v>
      </c>
      <c r="HW13"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20.82</v>
      </c>
      <c r="HX13"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20.82</v>
      </c>
      <c r="HY13"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20.82</v>
      </c>
      <c r="HZ13"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20.82</v>
      </c>
      <c r="IA13"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20.82</v>
      </c>
      <c r="IB13"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10.01</v>
      </c>
      <c r="IC13"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10.01</v>
      </c>
      <c r="ID13"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10.01</v>
      </c>
      <c r="IE13"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10.01</v>
      </c>
      <c r="IF13"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20.82</v>
      </c>
      <c r="IG13"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20.82</v>
      </c>
      <c r="IH13"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20.82</v>
      </c>
      <c r="II13"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20.82</v>
      </c>
      <c r="IJ13"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14.35</v>
      </c>
      <c r="IK13"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14.35</v>
      </c>
      <c r="IL13"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14.35</v>
      </c>
      <c r="IM13"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14.35</v>
      </c>
      <c r="IN13"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9.41</v>
      </c>
      <c r="IO13"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9.41</v>
      </c>
      <c r="IP13"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9.2200000000000006</v>
      </c>
      <c r="IQ13"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9.2200000000000006</v>
      </c>
      <c r="IR13"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8.91</v>
      </c>
      <c r="IS13"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8.91</v>
      </c>
      <c r="IT13"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8.7200000000000006</v>
      </c>
      <c r="IU13"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8.7200000000000006</v>
      </c>
      <c r="IV13"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8.36</v>
      </c>
      <c r="IW13"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8.36</v>
      </c>
      <c r="IX13"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8.1999999999999993</v>
      </c>
      <c r="IY13"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8.1999999999999993</v>
      </c>
      <c r="IZ13"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6.56</v>
      </c>
      <c r="JA13"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6.56</v>
      </c>
      <c r="JB13"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6.45</v>
      </c>
      <c r="JC13"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6.45</v>
      </c>
      <c r="JD13"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8.91</v>
      </c>
      <c r="JE13"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8.91</v>
      </c>
      <c r="JF13"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8.91</v>
      </c>
      <c r="JG13"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8.91</v>
      </c>
      <c r="JH13"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11.28</v>
      </c>
      <c r="JI13"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11.28</v>
      </c>
      <c r="JJ13"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11.28</v>
      </c>
      <c r="JK13"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11.28</v>
      </c>
      <c r="JL13"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6.56</v>
      </c>
      <c r="JM13"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6.56</v>
      </c>
      <c r="JN13"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6.56</v>
      </c>
      <c r="JO13"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6.56</v>
      </c>
      <c r="JP13"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8.91</v>
      </c>
      <c r="JQ13"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8.91</v>
      </c>
      <c r="JR13"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8.91</v>
      </c>
      <c r="JS13"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8.91</v>
      </c>
      <c r="JT13"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8.91</v>
      </c>
      <c r="JU13"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8.91</v>
      </c>
      <c r="JV13"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8.91</v>
      </c>
      <c r="JW13"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8.91</v>
      </c>
      <c r="JX13" s="2">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14.1</v>
      </c>
      <c r="JY13" s="2">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14.1</v>
      </c>
      <c r="JZ13" s="2">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11.24</v>
      </c>
      <c r="KA13" s="2">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11.24</v>
      </c>
      <c r="KB13"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13</v>
      </c>
      <c r="KC13" s="21">
        <f>SUM(DATA[[#This Row],[Care Assistant 1: Numbers employed (Full Time Equivalent)]],DATA[[#This Row],[Care Assistant 2: Numbers employed (Full Time Equivalent)]],DATA[[#This Row],[Care Assistant 3: Numbers employed (Full Time Equivalent)]],DATA[[#This Row],[Care Assistant 4: Numbers employed (Full Time Equivalent)]])</f>
        <v>155</v>
      </c>
      <c r="KD13" s="21">
        <f>SUM(DATA[[#This Row],[Administrative Officer 1: Numbers employed (Full Time Equivalent)]],DATA[[#This Row],[Administrative Officer 2: Numbers employed (Full Time Equivalent)]])</f>
        <v>2</v>
      </c>
      <c r="KE13" s="21">
        <f>SUM(DATA[[#This Row],[Other staff 1: Numbers employed (Full Time Equivalent)]],DATA[[#This Row],[Other staff 2: Numbers employed (Full Time Equivalent)]],DATA[[#This Row],[Other staff 3: Numbers employed (Full Time Equivalent)]])</f>
        <v>5</v>
      </c>
      <c r="KF13" s="21">
        <f>SUM(DATA[[#This Row],[Total FTE Management Employees]:[Total FTE Other Employees]])</f>
        <v>175</v>
      </c>
      <c r="KG13" s="21" t="str">
        <f>IF(SUM(DATA[[#This Row],[Home Support service split percentage (Expenditure):]],DATA[[#This Row],[Supported Living service split percentage (Expenditure):]])&gt;0, IF(DATA[[#This Row],[Home Support service split percentage (Expenditure):]]&gt;0.5,"Home Support","Supported Living"), "Unknown")</f>
        <v>Supported Living</v>
      </c>
      <c r="KH13" s="21">
        <f>SUM(DATA[[#This Row],[Home Support: Birmingham City Council]:[Home Support: Self-funded]])</f>
        <v>864.5</v>
      </c>
      <c r="KI13" s="21">
        <f>SUM(DATA[[#This Row],[Supported Living: Birmingham City Council]:[Supported Living: Self-funded]])</f>
        <v>3303.5</v>
      </c>
      <c r="KJ13"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13"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13"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171.23999999999998</v>
      </c>
      <c r="KM13"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171.23999999999998</v>
      </c>
      <c r="KN13" s="21" t="b">
        <f>SUM(DATA[[#This Row],[Number of hours of care charged for in last full accounting year]:[Corporate Overheads: Other  - please specify (category) 1]])&gt;0</f>
        <v>1</v>
      </c>
      <c r="KO13" s="21">
        <f>SUM(DATA[[#This Row],[Total annual expenditure: Management staff]:[Total annual expenditure: Training and development]])</f>
        <v>2185442.5899999994</v>
      </c>
      <c r="KP13" s="21">
        <f>SUM(DATA[[#This Row],[Recruitment &amp; advertising (including DBS checks)]:[Non-Staffing Direct Cost: Other  - please specify (amount) 2]])</f>
        <v>49371.01</v>
      </c>
      <c r="KQ13" s="21">
        <f>SUM(DATA[[#This Row],[Insurance ]:[Indirect costs: Other 2 - please specify (amount)]])</f>
        <v>98271.62</v>
      </c>
      <c r="KR13" s="21">
        <f>SUM(DATA[[#This Row],[Central / Regional Management]],DATA[[#This Row],[Support Services (finance / HR / Payroll / legal etc.)]],DATA[[#This Row],[Corporate Overheads: Other  - please specify (amount) 1]],DATA[[#This Row],[Corporate Overheads: Other  - please specify (amount) 2]])</f>
        <v>39818.479999999996</v>
      </c>
      <c r="KS13"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1.4323651559492738</v>
      </c>
      <c r="KT13"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9.5026008595006459</v>
      </c>
      <c r="KU13"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0.12667199240686544</v>
      </c>
      <c r="KV13"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3"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13" s="30">
        <f>IF(OR(NOT(DATA[[#This Row],[Total annual expenditure: Travel Cost]]&gt;0),NOT(DATA[[#This Row],[Number of hours of care charged for in last full accounting year]]&gt;0)),0,DATA[[#This Row],[Total annual expenditure: Travel Cost]]/DATA[[#This Row],[Number of hours of care charged for in last full accounting year]])</f>
        <v>6.4684700361201192E-2</v>
      </c>
      <c r="KY13" s="30">
        <f>IF(OR(NOT(DATA[[#This Row],[Total annual expenditure: Travel Time]]&gt;0),NOT(DATA[[#This Row],[Number of hours of care charged for in last full accounting year]]&gt;0)),0,DATA[[#This Row],[Total annual expenditure: Travel Time]]/DATA[[#This Row],[Number of hours of care charged for in last full accounting year]])</f>
        <v>3.0204381871391281E-2</v>
      </c>
      <c r="KZ13"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0.36733375517414113</v>
      </c>
      <c r="LA13"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6.4153708244351293E-2</v>
      </c>
      <c r="LB13"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13" s="30">
        <f>IF(OR(NOT(DATA[[#This Row],[Care consumables &amp; uniforms]]&gt;0),NOT(DATA[[#This Row],[Number of hours of care charged for in last full accounting year]]&gt;0)),0,DATA[[#This Row],[Care consumables &amp; uniforms]]/DATA[[#This Row],[Number of hours of care charged for in last full accounting year]])</f>
        <v>8.5956392206491081E-2</v>
      </c>
      <c r="LD13" s="30">
        <f>IF(OR(NOT(DATA[[#This Row],[Electronic call monitoring]]&gt;0),NOT(DATA[[#This Row],[Number of hours of care charged for in last full accounting year]]&gt;0)),0,DATA[[#This Row],[Electronic call monitoring]]/DATA[[#This Row],[Number of hours of care charged for in last full accounting year]])</f>
        <v>1.9172664715652932E-2</v>
      </c>
      <c r="LE13" s="30">
        <f>IF(OR(NOT(DATA[[#This Row],[IT Equipment &amp; Telephoney]]&gt;0),NOT(DATA[[#This Row],[Number of hours of care charged for in last full accounting year]]&gt;0)),0,DATA[[#This Row],[IT Equipment &amp; Telephoney]]/DATA[[#This Row],[Number of hours of care charged for in last full accounting year]])</f>
        <v>9.1051069102797338E-2</v>
      </c>
      <c r="LF13"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13"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13" s="30">
        <f>IF(OR(NOT(DATA[[#This Row],[Insurance ]]&gt;0),NOT(DATA[[#This Row],[Number of hours of care charged for in last full accounting year]]&gt;0)),0,DATA[[#This Row],[Insurance ]]/DATA[[#This Row],[Number of hours of care charged for in last full accounting year]])</f>
        <v>4.6764375543779164E-2</v>
      </c>
      <c r="LI13"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7.5135542724564311E-2</v>
      </c>
      <c r="LJ13" s="30">
        <f>IF(OR(NOT(DATA[[#This Row],[Repairs and maintenance]]&gt;0),NOT(DATA[[#This Row],[Number of hours of care charged for in last full accounting year]]&gt;0)),0,DATA[[#This Row],[Repairs and maintenance]]/DATA[[#This Row],[Number of hours of care charged for in last full accounting year]])</f>
        <v>1.3712673679770096E-2</v>
      </c>
      <c r="LK13"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0.28747032613567453</v>
      </c>
      <c r="LL13" s="30">
        <f>IF(OR(NOT(DATA[[#This Row],[Registration &amp; Inspection fees ]]&gt;0),NOT(DATA[[#This Row],[Number of hours of care charged for in last full accounting year]]&gt;0)),0,DATA[[#This Row],[Registration &amp; Inspection fees ]]/DATA[[#This Row],[Number of hours of care charged for in last full accounting year]])</f>
        <v>1.2399746895515306E-2</v>
      </c>
      <c r="LM13" s="30">
        <f>IF(OR(NOT(DATA[[#This Row],[Subscriptions]]&gt;0),NOT(DATA[[#This Row],[Number of hours of care charged for in last full accounting year]]&gt;0)),0,DATA[[#This Row],[Subscriptions]]/DATA[[#This Row],[Number of hours of care charged for in last full accounting year]])</f>
        <v>2.9491945477075587E-4</v>
      </c>
      <c r="LN13" s="30">
        <f>IF(OR(NOT(DATA[[#This Row],[Cost of finance]]&gt;0),NOT(DATA[[#This Row],[Number of hours of care charged for in last full accounting year]]&gt;0)),0,DATA[[#This Row],[Cost of finance]]/DATA[[#This Row],[Number of hours of care charged for in last full accounting year]])</f>
        <v>4.4965382688707846E-2</v>
      </c>
      <c r="LO13" s="30">
        <f>IF(OR(NOT(DATA[[#This Row],[Other non-staff current expenses]]&gt;0),NOT(DATA[[#This Row],[Number of hours of care charged for in last full accounting year]]&gt;0)),0,DATA[[#This Row],[Other non-staff current expenses]]/DATA[[#This Row],[Number of hours of care charged for in last full accounting year]])</f>
        <v>1.0960847900023728E-2</v>
      </c>
      <c r="LP13"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2.6483429565767616E-2</v>
      </c>
      <c r="LQ13"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13" s="30">
        <f>IF(OR(NOT(DATA[[#This Row],[Central / Regional Management]]&gt;0),NOT(DATA[[#This Row],[Number of hours of care charged for in last full accounting year]]&gt;0)),0,DATA[[#This Row],[Central / Regional Management]]/DATA[[#This Row],[Number of hours of care charged for in last full accounting year]])</f>
        <v>0</v>
      </c>
      <c r="LS13"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7.4027788763215488E-2</v>
      </c>
      <c r="LT13"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0.10931477233778902</v>
      </c>
      <c r="LU13"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2.6620686018613723E-2</v>
      </c>
      <c r="LV13" s="30">
        <f>SUM(DATA[[#This Row],[Management staff HOURLY RATE]:[Corporate Overheads: Other  - please specify (amount) 2 HOURLY RATE]])</f>
        <v>12.512345171240998</v>
      </c>
      <c r="LW13" s="30">
        <f>IF(OR(NOT(DATA[[#This Row],[Net Operating Profit]]&gt;0),NOT(DATA[[#This Row],[Number of hours of care charged for in last full accounting year]]&gt;0)),"",DATA[[#This Row],[Net Operating Profit]]/DATA[[#This Row],[Number of hours of care charged for in last full accounting year]])</f>
        <v>2.2434496032059901</v>
      </c>
      <c r="LX13" s="30">
        <f>IF(OR(NOT(DATA[[#This Row],[Return on Capital employed]]&gt;0),NOT(DATA[[#This Row],[Number of hours of care charged for in last full accounting year]]&gt;0)),0,DATA[[#This Row],[Return on Capital employed]]/DATA[[#This Row],[Number of hours of care charged for in last full accounting year]])</f>
        <v>0</v>
      </c>
      <c r="LY13" s="31">
        <v>7</v>
      </c>
      <c r="LZ13" s="30" t="s">
        <v>345</v>
      </c>
      <c r="MA13" s="30" t="b">
        <f>DATA[[#This Row],[Number of Home support clients:]]&gt;0</f>
        <v>1</v>
      </c>
      <c r="MB13" s="30" t="b">
        <f>DATA[[#This Row],[Number of supported living clients:]]&gt;0</f>
        <v>1</v>
      </c>
      <c r="MC13" s="30" t="b">
        <f>DATA[[#This Row],[Total Home Support Hours]]&gt;0</f>
        <v>1</v>
      </c>
      <c r="MD13" s="30" t="b">
        <f>DATA[[#This Row],[Total Supported Living Hours]]&gt;0</f>
        <v>1</v>
      </c>
      <c r="ME13" s="30" t="b">
        <f>DATA[[#This Row],[Home Support service split percentage (Expenditure):]]&gt;0.5</f>
        <v>0</v>
      </c>
      <c r="MF13" s="30" t="b">
        <f>DATA[[#This Row],[Agency staff HOURLY RATE]]=0</f>
        <v>1</v>
      </c>
      <c r="MG13" s="30">
        <f>IFERROR(IF(AVERAGE(DATA[[#This Row],[Registered manager: Current 2021/22 Minimum hourly pay rate ADJUSTED]],DATA[[#This Row],[Registered manager: Current 2021/22 Maximum hourly pay rate ADJUSTED]])&lt;LIVING_WAGE_22_23,DATA[[#This Row],[Registered manager: Numbers employed (Full Time Equivalent)]],0),"")</f>
        <v>0</v>
      </c>
      <c r="MH13" s="30">
        <f>IFERROR(IF(AVERAGE(DATA[[#This Row],[Deputy manager: Current 2021/22 Minimum hourly pay rate ADJUSTED]],DATA[[#This Row],[Deputy manager: Current 2021/22 Maximum hourly pay rate ADJUSTED]])&lt;LIVING_WAGE_22_23,DATA[[#This Row],[Deputy manager: Numbers employed (Full Time Equivalent)]],0),"")</f>
        <v>0</v>
      </c>
      <c r="MI13" s="30">
        <f>IFERROR(IF(AVERAGE(DATA[[#This Row],[Other manager 1: Current 2021/22 Minimum hourly pay rate ADJUSTED]],DATA[[#This Row],[Other manager 1: Current 2021/22 Maximum hourly pay rate ADJUSTED]])&lt;LIVING_WAGE_22_23,DATA[[#This Row],[Other manager 1: Numbers employed (Full Time Equivalent)]],0),"")</f>
        <v>0</v>
      </c>
      <c r="MJ13" s="30">
        <f>IFERROR(IF(AVERAGE(DATA[[#This Row],[Other manager 2: Current 2021/22 Minimum hourly pay rate ADJUSTED]],DATA[[#This Row],[Other manager 2: Current 2021/22 Maximum hourly pay rate ADJUSTED]])&lt;LIVING_WAGE_22_23,DATA[[#This Row],[Other manager 2: Numbers employed (Full Time Equivalent)]],0),"")</f>
        <v>0</v>
      </c>
      <c r="MK13" s="30">
        <f>IFERROR(IF(AVERAGE(DATA[[#This Row],[Other manager 3: Current 2021/22 Minimum hourly pay rate ADJUSTED]],DATA[[#This Row],[Other manager 3: Current 2021/22 Maximum hourly pay rate ADJUSTED]])&lt;LIVING_WAGE_22_23,DATA[[#This Row],[Other manager 3: Numbers employed (Full Time Equivalent)]],0),"")</f>
        <v>0</v>
      </c>
      <c r="ML13" s="30">
        <f>IFERROR(IF(AVERAGE(DATA[[#This Row],[Care Assistant 1: Current 2021/22 Minimum hourly pay rate ADJUSTED]],DATA[[#This Row],[Care Assistant 1: Current 2021/22 Maximum hourly pay rate ADJUSTED]])&lt;LIVING_WAGE_22_23,DATA[[#This Row],[Care Assistant 1: Numbers employed (Full Time Equivalent)]],0),"")</f>
        <v>63</v>
      </c>
      <c r="MM13" s="30">
        <f>IFERROR(IF(AVERAGE(DATA[[#This Row],[Care Assistant 2: Current 2021/22 Minimum hourly pay rate ADJUSTED]],DATA[[#This Row],[Care Assistant 2: Current 2021/22 Maximum hourly pay rate ADJUSTED]])&lt;LIVING_WAGE_22_23,DATA[[#This Row],[Care Assistant 2: Numbers employed (Full Time Equivalent)]],0),"")</f>
        <v>48.5</v>
      </c>
      <c r="MN13" s="30">
        <f>IFERROR(IF(AVERAGE(DATA[[#This Row],[Care Assistant 3: Current 2021/22 Minimum hourly pay rate ADJUSTED]],DATA[[#This Row],[Care Assistant 3: Current 2021/22 Maximum hourly pay rate ADJUSTED]])&lt;LIVING_WAGE_22_23,DATA[[#This Row],[Care Assistant 3: Numbers employed (Full Time Equivalent)]],0),"")</f>
        <v>42.5</v>
      </c>
      <c r="MO13" s="30">
        <f>IFERROR(IF(AVERAGE(DATA[[#This Row],[Care Assistant 4: Current 2021/22 Minimum hourly pay rate ADJUSTED]],DATA[[#This Row],[Care Assistant 4: Current 2021/22 Maximum hourly pay rate ADJUSTED]])&lt;LIVING_WAGE_22_23,DATA[[#This Row],[Care Assistant 4: Numbers employed (Full Time Equivalent)]],0),"")</f>
        <v>1</v>
      </c>
      <c r="MP13"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13"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13" s="30">
        <f>IFERROR(IF(AVERAGE(DATA[[#This Row],[Other staff 1: Current 2021/22 Minimum hourly pay rate ADJUSTED]],DATA[[#This Row],[Other staff 1: Current 2021/22 Maximum hourly pay rate ADJUSTED]])&lt;LIVING_WAGE_22_23,DATA[[#This Row],[Other staff 1: Numbers employed (Full Time Equivalent)]],0),"")</f>
        <v>1</v>
      </c>
      <c r="MS13" s="30">
        <f>IFERROR(IF(AVERAGE(DATA[[#This Row],[Other staff 2: Current 2021/22 Minimum hourly pay rate ADJUSTED]],DATA[[#This Row],[Other staff 2: Current 2021/22 Maximum hourly pay rate ADJUSTED]])&lt;LIVING_WAGE_22_23,DATA[[#This Row],[Other staff 2: Numbers employed (Full Time Equivalent)]],0),"")</f>
        <v>2</v>
      </c>
      <c r="MT13" s="30">
        <f>IFERROR(IF(AVERAGE(DATA[[#This Row],[Other staff 3: Current 2021/22 Minimum hourly pay rate ADJUSTED]],DATA[[#This Row],[Other staff 3: Current 2021/22 Maximum hourly pay rate ADJUSTED]])&lt;LIVING_WAGE_22_23,DATA[[#This Row],[Other staff 3: Numbers employed (Full Time Equivalent)]],0),"")</f>
        <v>0</v>
      </c>
      <c r="MU13" s="30">
        <f>SUM(DATA[[#This Row],[Registered Manager FTE earning less than NLW 23yrs 2022/23]:[Other staff 3 FTE earning less than NLW 23yrs 2022/23]])</f>
        <v>159</v>
      </c>
      <c r="MV13"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13"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13"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13"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13"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13"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5.669999999999991</v>
      </c>
      <c r="NB13"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28.614999999999995</v>
      </c>
      <c r="NC13"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48.450000000000024</v>
      </c>
      <c r="ND13"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2.9400000000000004</v>
      </c>
      <c r="NE13"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0.58999999999999986</v>
      </c>
      <c r="NF13"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13"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0.58999999999999986</v>
      </c>
      <c r="NH13"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1.1799999999999997</v>
      </c>
      <c r="NI13" s="30">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0</v>
      </c>
      <c r="NJ13" s="30" t="b">
        <v>1</v>
      </c>
      <c r="NK13" s="30" t="b">
        <v>1</v>
      </c>
      <c r="NL13" s="30" t="s">
        <v>505</v>
      </c>
      <c r="NM13" s="30">
        <f>SUM(DATA[[#This Row],[Management staff HOURLY RATE]:[Training and development HOURLY RATE]])</f>
        <v>11.523860845263519</v>
      </c>
      <c r="NN13" s="30">
        <f>SUM(DATA[[#This Row],[Recruitment &amp; advertising (including DBS checks) HOURLY RATE]:[Non-Staffing Direct Cost: Other  - please specify (amount) 2 HOURLY RATE]])</f>
        <v>0.26033383426929269</v>
      </c>
      <c r="NO13" s="30">
        <f>SUM(DATA[[#This Row],[Insurance  HOURLY RATE]:[Indirect costs: Other  - please specify (amount) 2 HOURLY RATE]])</f>
        <v>0.51818724458857346</v>
      </c>
      <c r="NP13" s="30">
        <f>SUM(DATA[[#This Row],[Central / Regional Management HOURLY RATE]:[Corporate Overheads: Other  - please specify (amount) 2 HOURLY RATE]])</f>
        <v>0.20996324711961822</v>
      </c>
      <c r="NQ13"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13" s="30">
        <f>IFERROR(IF(AVERAGE(DATA[[#This Row],[Deputy manager: Current 2021/22 Minimum hourly pay rate ADJUSTED]],DATA[[#This Row],[Deputy manager: Current 2021/22 Maximum hourly pay rate ADJUSTED]])&lt;REAL_LIVING_WAGE_22_23,DATA[[#This Row],[Deputy manager: Numbers employed (Full Time Equivalent)]],0),"")</f>
        <v>0</v>
      </c>
      <c r="NS13" s="30">
        <f>IFERROR(IF(AVERAGE(DATA[[#This Row],[Other manager 1: Current 2021/22 Minimum hourly pay rate ADJUSTED]],DATA[[#This Row],[Other manager 1: Current 2021/22 Maximum hourly pay rate ADJUSTED]])&lt;REAL_LIVING_WAGE_22_23,DATA[[#This Row],[Other manager 1: Numbers employed (Full Time Equivalent)]],0),"")</f>
        <v>0</v>
      </c>
      <c r="NT13" s="30">
        <f>IFERROR(IF(AVERAGE(DATA[[#This Row],[Other manager 2: Current 2021/22 Minimum hourly pay rate ADJUSTED]],DATA[[#This Row],[Other manager 2: Current 2021/22 Maximum hourly pay rate ADJUSTED]])&lt;REAL_LIVING_WAGE_22_23,DATA[[#This Row],[Other manager 2: Numbers employed (Full Time Equivalent)]],0),"")</f>
        <v>0</v>
      </c>
      <c r="NU13" s="30">
        <f>IFERROR(IF(AVERAGE(DATA[[#This Row],[Other manager 3: Current 2021/22 Minimum hourly pay rate ADJUSTED]],DATA[[#This Row],[Other manager 3: Current 2021/22 Maximum hourly pay rate ADJUSTED]])&lt;REAL_LIVING_WAGE_22_23,DATA[[#This Row],[Other manager 3: Numbers employed (Full Time Equivalent)]],0),"")</f>
        <v>0</v>
      </c>
      <c r="NV13" s="30">
        <f>IFERROR(IF(AVERAGE(DATA[[#This Row],[Care Assistant 1: Current 2021/22 Minimum hourly pay rate ADJUSTED]],DATA[[#This Row],[Care Assistant 1: Current 2021/22 Maximum hourly pay rate ADJUSTED]])&lt;REAL_LIVING_WAGE_22_23,DATA[[#This Row],[Care Assistant 1: Numbers employed (Full Time Equivalent)]],0),"")</f>
        <v>63</v>
      </c>
      <c r="NW13" s="30">
        <f>IFERROR(IF(AVERAGE(DATA[[#This Row],[Care Assistant 2: Current 2021/22 Minimum hourly pay rate ADJUSTED]],DATA[[#This Row],[Care Assistant 2: Current 2021/22 Maximum hourly pay rate ADJUSTED]])&lt;REAL_LIVING_WAGE_22_23,DATA[[#This Row],[Care Assistant 2: Numbers employed (Full Time Equivalent)]],0),"")</f>
        <v>48.5</v>
      </c>
      <c r="NX13" s="30">
        <f>IFERROR(IF(AVERAGE(DATA[[#This Row],[Care Assistant 3: Current 2021/22 Minimum hourly pay rate ADJUSTED]],DATA[[#This Row],[Care Assistant 3: Current 2021/22 Maximum hourly pay rate ADJUSTED]])&lt;REAL_LIVING_WAGE_22_23,DATA[[#This Row],[Care Assistant 3: Numbers employed (Full Time Equivalent)]],0),"")</f>
        <v>42.5</v>
      </c>
      <c r="NY13" s="30">
        <f>IFERROR(IF(AVERAGE(DATA[[#This Row],[Care Assistant 4: Current 2021/22 Minimum hourly pay rate ADJUSTED]],DATA[[#This Row],[Care Assistant 4: Current 2021/22 Maximum hourly pay rate ADJUSTED]])&lt;REAL_LIVING_WAGE_22_23,DATA[[#This Row],[Care Assistant 4: Numbers employed (Full Time Equivalent)]],0),"")</f>
        <v>1</v>
      </c>
      <c r="NZ13"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13"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13" s="30">
        <f>IFERROR(IF(AVERAGE(DATA[[#This Row],[Other staff 1: Current 2021/22 Minimum hourly pay rate ADJUSTED]],DATA[[#This Row],[Other staff 1: Current 2021/22 Maximum hourly pay rate ADJUSTED]])&lt;REAL_LIVING_WAGE_22_23,DATA[[#This Row],[Other staff 1: Numbers employed (Full Time Equivalent)]],0),"")</f>
        <v>1</v>
      </c>
      <c r="OC13" s="30">
        <f>IFERROR(IF(AVERAGE(DATA[[#This Row],[Other staff 2: Current 2021/22 Minimum hourly pay rate ADJUSTED]],DATA[[#This Row],[Other staff 2: Current 2021/22 Maximum hourly pay rate ADJUSTED]])&lt;REAL_LIVING_WAGE_22_23,DATA[[#This Row],[Other staff 2: Numbers employed (Full Time Equivalent)]],0),"")</f>
        <v>2</v>
      </c>
      <c r="OD13" s="30">
        <f>IFERROR(IF(AVERAGE(DATA[[#This Row],[Other staff 3: Current 2021/22 Minimum hourly pay rate ADJUSTED]],DATA[[#This Row],[Other staff 3: Current 2021/22 Maximum hourly pay rate ADJUSTED]])&lt;REAL_LIVING_WAGE_22_23,DATA[[#This Row],[Other staff 3: Numbers employed (Full Time Equivalent)]],0),"")</f>
        <v>0</v>
      </c>
      <c r="OE13" s="30">
        <f>SUM(DATA[[#This Row],[Registered Manager FTE earning less than RLW 23yrs 2022/23]:[Other staff 3 FTE earning less than RLW 23yrs 2022/23]])</f>
        <v>159</v>
      </c>
      <c r="OF13"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13"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13"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13"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13"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13"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30.870000000000012</v>
      </c>
      <c r="OL13"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48.015000000000008</v>
      </c>
      <c r="OM13"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65.450000000000045</v>
      </c>
      <c r="ON13"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3.3400000000000007</v>
      </c>
      <c r="OO13"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0.99000000000000021</v>
      </c>
      <c r="OP13"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13"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0.99000000000000021</v>
      </c>
      <c r="OR13"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1.9800000000000004</v>
      </c>
      <c r="OS13" s="30">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0</v>
      </c>
      <c r="OT13" s="30">
        <f>IFERROR(IF(DATA[[#This Row],[Registered manager: Numbers employed (Full Time Equivalent)]]=0,"",DATA[[#This Row],[Registered manager: Current 2021/22 Minimum hourly pay rate ADJUSTED 2]]*DATA[[#This Row],[Registered manager: Numbers employed (Full Time Equivalent)]]),"")</f>
        <v>20.82</v>
      </c>
      <c r="OU13" s="30">
        <f>IFERROR(IF(DATA[[#This Row],[Registered manager: Numbers employed (Full Time Equivalent)]]=0,"",DATA[[#This Row],[Registered manager: Current 2021/22 Maximum hourly pay rate ADJUSTED 2]]*DATA[[#This Row],[Registered manager: Numbers employed (Full Time Equivalent)]]),"")</f>
        <v>20.82</v>
      </c>
      <c r="OV13" s="30">
        <f>IFERROR(IF(DATA[[#This Row],[Registered manager: Numbers employed (Full Time Equivalent)]]=0,"",DATA[[#This Row],[Registered manager: Previous 2020/21 Minimum hourly pay rate ADJUSTED 2]]*DATA[[#This Row],[Registered manager: Numbers employed (Full Time Equivalent)]]),"")</f>
        <v>20.82</v>
      </c>
      <c r="OW13" s="30">
        <f>IFERROR(IF(DATA[[#This Row],[Registered manager: Numbers employed (Full Time Equivalent)]]=0,"",DATA[[#This Row],[Registered manager: Previous 2020/21 Maximum hourly pay rate ADJUSTED 2]]*DATA[[#This Row],[Registered manager: Numbers employed (Full Time Equivalent)]]),"")</f>
        <v>20.82</v>
      </c>
      <c r="OX13" s="30">
        <f>IFERROR(IF(DATA[[#This Row],[Deputy manager: Numbers employed (Full Time Equivalent)]]=0,"",DATA[[#This Row],[Deputy manager: Current 2021/22 Minimum hourly pay rate ADJUSTED 2]]*DATA[[#This Row],[Deputy manager: Numbers employed (Full Time Equivalent)]]),"")</f>
        <v>20.82</v>
      </c>
      <c r="OY13" s="30">
        <f>IFERROR(IF(DATA[[#This Row],[Deputy manager: Numbers employed (Full Time Equivalent)]]=0,"",DATA[[#This Row],[Deputy manager: Current 2021/22 Maximum hourly pay rate ADJUSTED 2]]*DATA[[#This Row],[Deputy manager: Numbers employed (Full Time Equivalent)]]),"")</f>
        <v>20.82</v>
      </c>
      <c r="OZ13" s="30">
        <f>IFERROR(IF(DATA[[#This Row],[Deputy manager: Numbers employed (Full Time Equivalent)]]=0,"",DATA[[#This Row],[Deputy manager: Previous 2020/21 Minimum hourly pay rate ADJUSTED 2]]*DATA[[#This Row],[Deputy manager: Numbers employed (Full Time Equivalent)]]),"")</f>
        <v>20.82</v>
      </c>
      <c r="PA13" s="30">
        <f>IFERROR(IF(DATA[[#This Row],[Deputy manager: Numbers employed (Full Time Equivalent)]]=0,"",DATA[[#This Row],[Deputy manager: Previous 2020/21 Maximum hourly pay rate ADJUSTED 2]]*DATA[[#This Row],[Deputy manager: Numbers employed (Full Time Equivalent)]]),"")</f>
        <v>20.82</v>
      </c>
      <c r="PB13" s="30">
        <f>IFERROR(IF(DATA[[#This Row],[Other manager 1: Numbers employed (Full Time Equivalent)]]=0,"",DATA[[#This Row],[Other manager 1: Current 2021/22 Minimum hourly pay rate ADJUSTED 2]]*DATA[[#This Row],[Other manager 1: Numbers employed (Full Time Equivalent)]]),"")</f>
        <v>80.08</v>
      </c>
      <c r="PC13" s="30">
        <f>IFERROR(IF(DATA[[#This Row],[Other manager 1: Numbers employed (Full Time Equivalent)]]=0,"",DATA[[#This Row],[Other manager 1: Current 2021/22 Maximum hourly pay rate ADJUSTED 2]]*DATA[[#This Row],[Other manager 1: Numbers employed (Full Time Equivalent)]]),"")</f>
        <v>80.08</v>
      </c>
      <c r="PD13" s="30">
        <f>IFERROR(IF(DATA[[#This Row],[Other manager 1: Numbers employed (Full Time Equivalent)]]=0,"",DATA[[#This Row],[Other manager 1: Previous 2020/21 Minimum hourly pay rate ADJUSTED 2]]*DATA[[#This Row],[Other manager 1: Numbers employed (Full Time Equivalent)]]),"")</f>
        <v>80.08</v>
      </c>
      <c r="PE13" s="30">
        <f>IFERROR(IF(DATA[[#This Row],[Other manager 1: Numbers employed (Full Time Equivalent)]]=0,"",DATA[[#This Row],[Other manager 1: Previous 2020/21 Maximum hourly pay rate ADJUSTED 2]]*DATA[[#This Row],[Other manager 1: Numbers employed (Full Time Equivalent)]]),"")</f>
        <v>80.08</v>
      </c>
      <c r="PF13" s="30">
        <f>IFERROR(IF(DATA[[#This Row],[Other manager 2: Numbers employed (Full Time Equivalent)]]=0,"",DATA[[#This Row],[Other manager 2: Current 2021/22 Minimum hourly pay rate ADJUSTED 2]]*DATA[[#This Row],[Other manager 2: Numbers employed (Full Time Equivalent)]]),"")</f>
        <v>20.82</v>
      </c>
      <c r="PG13" s="30">
        <f>IFERROR(IF(DATA[[#This Row],[Other manager 2: Numbers employed (Full Time Equivalent)]]=0,"",DATA[[#This Row],[Other manager 2: Current 2021/22 Maximum hourly pay rate ADJUSTED 2]]*DATA[[#This Row],[Other manager 2: Numbers employed (Full Time Equivalent)]]),"")</f>
        <v>20.82</v>
      </c>
      <c r="PH13" s="30">
        <f>IFERROR(IF(DATA[[#This Row],[Other manager 2: Numbers employed (Full Time Equivalent)]]=0,"",DATA[[#This Row],[Other manager 2: Previous 2020/21 Minimum hourly pay rate ADJUSTED 2]]*DATA[[#This Row],[Other manager 2: Numbers employed (Full Time Equivalent)]]),"")</f>
        <v>20.82</v>
      </c>
      <c r="PI13" s="30">
        <f>IFERROR(IF(DATA[[#This Row],[Other manager 2: Numbers employed (Full Time Equivalent)]]=0,"",DATA[[#This Row],[Other manager 2: Previous 2020/21 Maximum hourly pay rate ADJUSTED 2]]*DATA[[#This Row],[Other manager 2: Numbers employed (Full Time Equivalent)]]),"")</f>
        <v>20.82</v>
      </c>
      <c r="PJ13" s="30">
        <f>IFERROR(IF(DATA[[#This Row],[Other manager 3: Numbers employed (Full Time Equivalent)]]=0,"",DATA[[#This Row],[Other manager 3: Current 2021/22 Minimum hourly pay rate ADJUSTED 2]]*DATA[[#This Row],[Other manager 3: Numbers employed (Full Time Equivalent)]]),"")</f>
        <v>28.7</v>
      </c>
      <c r="PK13" s="30">
        <f>IFERROR(IF(DATA[[#This Row],[Other manager 3: Numbers employed (Full Time Equivalent)]]=0,"",DATA[[#This Row],[Other manager 3: Current 2021/22 Maximum hourly pay rate ADJUSTED 2]]*DATA[[#This Row],[Other manager 3: Numbers employed (Full Time Equivalent)]]),"")</f>
        <v>28.7</v>
      </c>
      <c r="PL13" s="30">
        <f>IFERROR(IF(DATA[[#This Row],[Other manager 3: Numbers employed (Full Time Equivalent)]]=0,"",DATA[[#This Row],[Other manager 3: Previous 2020/21 Minimum hourly pay rate ADJUSTED 2]]*DATA[[#This Row],[Other manager 3: Numbers employed (Full Time Equivalent)]]),"")</f>
        <v>28.7</v>
      </c>
      <c r="PM13" s="30">
        <f>IFERROR(IF(DATA[[#This Row],[Other manager 3: Numbers employed (Full Time Equivalent)]]=0,"",DATA[[#This Row],[Other manager 3: Previous 2020/21 Maximum hourly pay rate ADJUSTED 2]]*DATA[[#This Row],[Other manager 3: Numbers employed (Full Time Equivalent)]]),"")</f>
        <v>28.7</v>
      </c>
      <c r="PN13" s="30">
        <f>IFERROR(IF(DATA[[#This Row],[Care Assistant 1: Numbers employed (Full Time Equivalent)]]=0,"",DATA[[#This Row],[Care Assistant 1: Current 2021/22 Minimum hourly pay rate ADJUSTED 2]]*DATA[[#This Row],[Care Assistant 1: Numbers employed (Full Time Equivalent)]]),"")</f>
        <v>592.83000000000004</v>
      </c>
      <c r="PO13" s="30">
        <f>IFERROR(IF(DATA[[#This Row],[Care Assistant 1: Numbers employed (Full Time Equivalent)]]=0,"",DATA[[#This Row],[Care Assistant 1: Current 2021/22 Maximum hourly pay rate ADJUSTED 2]]*DATA[[#This Row],[Care Assistant 1: Numbers employed (Full Time Equivalent)]]),"")</f>
        <v>592.83000000000004</v>
      </c>
      <c r="PP13" s="30">
        <f>IFERROR(IF(DATA[[#This Row],[Care Assistant 1: Numbers employed (Full Time Equivalent)]]=0,"",DATA[[#This Row],[Care Assistant 1: Previous 2020/21 Minimum hourly pay rate ADJUSTED 2]]*DATA[[#This Row],[Care Assistant 1: Numbers employed (Full Time Equivalent)]]),"")</f>
        <v>580.86</v>
      </c>
      <c r="PQ13" s="30">
        <f>IFERROR(IF(DATA[[#This Row],[Care Assistant 1: Numbers employed (Full Time Equivalent)]]=0,"",DATA[[#This Row],[Care Assistant 1: Previous 2020/21 Maximum hourly pay rate ADJUSTED 2]]*DATA[[#This Row],[Care Assistant 1: Numbers employed (Full Time Equivalent)]]),"")</f>
        <v>580.86</v>
      </c>
      <c r="PR13" s="30">
        <f>IFERROR(IF(DATA[[#This Row],[Care Assistant 2: Numbers employed (Full Time Equivalent)]]=0,"",DATA[[#This Row],[Care Assistant 2: Current 2021/22 Minimum hourly pay rate ADJUSTED 2]]*DATA[[#This Row],[Care Assistant 2: Numbers employed (Full Time Equivalent)]]),"")</f>
        <v>432.13499999999999</v>
      </c>
      <c r="PS13" s="30">
        <f>IFERROR(IF(DATA[[#This Row],[Care Assistant 2: Numbers employed (Full Time Equivalent)]]=0,"",DATA[[#This Row],[Care Assistant 2: Current 2021/22 Maximum hourly pay rate ADJUSTED 2]]*DATA[[#This Row],[Care Assistant 2: Numbers employed (Full Time Equivalent)]]),"")</f>
        <v>432.13499999999999</v>
      </c>
      <c r="PT13" s="30">
        <f>IFERROR(IF(DATA[[#This Row],[Care Assistant 2: Numbers employed (Full Time Equivalent)]]=0,"",DATA[[#This Row],[Care Assistant 2: Previous 2020/21 Minimum hourly pay rate ADJUSTED 2]]*DATA[[#This Row],[Care Assistant 2: Numbers employed (Full Time Equivalent)]]),"")</f>
        <v>422.92</v>
      </c>
      <c r="PU13" s="30">
        <f>IFERROR(IF(DATA[[#This Row],[Care Assistant 2: Numbers employed (Full Time Equivalent)]]=0,"",DATA[[#This Row],[Care Assistant 2: Previous 2020/21 Maximum hourly pay rate ADJUSTED 2]]*DATA[[#This Row],[Care Assistant 2: Numbers employed (Full Time Equivalent)]]),"")</f>
        <v>422.92</v>
      </c>
      <c r="PV13" s="30">
        <f>IFERROR(IF(DATA[[#This Row],[Care Assistant 3: Numbers employed (Full Time Equivalent)]]=0,"",DATA[[#This Row],[Care Assistant 3: Current 2021/22 Minimum hourly pay rate ADJUSTED 2]]*DATA[[#This Row],[Care Assistant 3: Numbers employed (Full Time Equivalent)]]),"")</f>
        <v>355.29999999999995</v>
      </c>
      <c r="PW13" s="30">
        <f>IFERROR(IF(DATA[[#This Row],[Care Assistant 3: Numbers employed (Full Time Equivalent)]]=0,"",DATA[[#This Row],[Care Assistant 3: Current 2021/22 Maximum hourly pay rate ADJUSTED 2]]*DATA[[#This Row],[Care Assistant 3: Numbers employed (Full Time Equivalent)]]),"")</f>
        <v>355.29999999999995</v>
      </c>
      <c r="PX13" s="30">
        <f>IFERROR(IF(DATA[[#This Row],[Care Assistant 3: Numbers employed (Full Time Equivalent)]]=0,"",DATA[[#This Row],[Care Assistant 3: Previous 2020/21 Minimum hourly pay rate ADJUSTED 2]]*DATA[[#This Row],[Care Assistant 3: Numbers employed (Full Time Equivalent)]]),"")</f>
        <v>348.49999999999994</v>
      </c>
      <c r="PY13" s="30">
        <f>IFERROR(IF(DATA[[#This Row],[Care Assistant 3: Numbers employed (Full Time Equivalent)]]=0,"",DATA[[#This Row],[Care Assistant 3: Previous 2020/21 Maximum hourly pay rate ADJUSTED 2]]*DATA[[#This Row],[Care Assistant 3: Numbers employed (Full Time Equivalent)]]),"")</f>
        <v>348.49999999999994</v>
      </c>
      <c r="PZ13" s="30">
        <f>IFERROR(IF(DATA[[#This Row],[Care Assistant 4: Numbers employed (Full Time Equivalent)]]=0,"",DATA[[#This Row],[Care Assistant 4: Current 2021/22 Minimum hourly pay rate ADJUSTED 2]]*DATA[[#This Row],[Care Assistant 4: Numbers employed (Full Time Equivalent)]]),"")</f>
        <v>6.56</v>
      </c>
      <c r="QA13" s="30">
        <f>IFERROR(IF(DATA[[#This Row],[Care Assistant 4: Numbers employed (Full Time Equivalent)]]=0,"",DATA[[#This Row],[Care Assistant 4: Current 2021/22 Maximum hourly pay rate ADJUSTED 2]]*DATA[[#This Row],[Care Assistant 4: Numbers employed (Full Time Equivalent)]]),"")</f>
        <v>6.56</v>
      </c>
      <c r="QB13" s="30">
        <f>IFERROR(IF(DATA[[#This Row],[Care Assistant 4: Numbers employed (Full Time Equivalent)]]=0,"",DATA[[#This Row],[Care Assistant 4: Previous 2020/21 Minimum hourly pay rate ADJUSTED 2]]*DATA[[#This Row],[Care Assistant 4: Numbers employed (Full Time Equivalent)]]),"")</f>
        <v>6.45</v>
      </c>
      <c r="QC13" s="30">
        <f>IFERROR(IF(DATA[[#This Row],[Care Assistant 4: Numbers employed (Full Time Equivalent)]]=0,"",DATA[[#This Row],[Care Assistant 4: Previous 2020/21 Maximum hourly pay rate ADJUSTED 2]]*DATA[[#This Row],[Care Assistant 4: Numbers employed (Full Time Equivalent)]]),"")</f>
        <v>6.45</v>
      </c>
      <c r="QD13" s="30">
        <f>IFERROR(IF(DATA[[#This Row],[Administrative Officer 1: Numbers employed (Full Time Equivalent)]]=0,"",DATA[[#This Row],[Administrative Officer 1: Current 2021/22 Minimum hourly pay rate ADJUSTED 2]]*DATA[[#This Row],[Administrative Officer 1: Numbers employed (Full Time Equivalent)]]),"")</f>
        <v>8.91</v>
      </c>
      <c r="QE13" s="30">
        <f>IFERROR(IF(DATA[[#This Row],[Administrative Officer 1: Numbers employed (Full Time Equivalent)]]=0,"",DATA[[#This Row],[Administrative Officer 1: Current 2021/22 Maximum hourly pay rate ADJUSTED 2]]*DATA[[#This Row],[Administrative Officer 1: Numbers employed (Full Time Equivalent)]]),"")</f>
        <v>8.91</v>
      </c>
      <c r="QF13" s="30">
        <f>IFERROR(IF(DATA[[#This Row],[Administrative Officer 1: Numbers employed (Full Time Equivalent)]]=0,"",DATA[[#This Row],[Administrative Officer 1: Previous 2020/21 Minimum hourly pay rate ADJUSTED 2]]*DATA[[#This Row],[Administrative Officer 1: Numbers employed (Full Time Equivalent)]]),"")</f>
        <v>8.91</v>
      </c>
      <c r="QG13" s="30">
        <f>IFERROR(IF(DATA[[#This Row],[Administrative Officer 1: Numbers employed (Full Time Equivalent)]]=0,"",DATA[[#This Row],[Administrative Officer 1: Previous 2020/21 Maximum hourly pay rate ADJUSTED 2]]*DATA[[#This Row],[Administrative Officer 1: Numbers employed (Full Time Equivalent)]]),"")</f>
        <v>8.91</v>
      </c>
      <c r="QH13" s="30">
        <f>IFERROR(IF(DATA[[#This Row],[Administrative Officer 2: Numbers employed (Full Time Equivalent)]]=0,"",DATA[[#This Row],[Administrative Officer 2: Current 2021/22 Minimum hourly pay rate ADJUSTED 2]]*DATA[[#This Row],[Administrative Officer 2: Numbers employed (Full Time Equivalent)]]),"")</f>
        <v>11.28</v>
      </c>
      <c r="QI13" s="30">
        <f>IFERROR(IF(DATA[[#This Row],[Administrative Officer 2: Numbers employed (Full Time Equivalent)]]=0,"",DATA[[#This Row],[Administrative Officer 2: Current 2021/22 Maximum hourly pay rate ADJUSTED 2]]*DATA[[#This Row],[Administrative Officer 2: Numbers employed (Full Time Equivalent)]]),"")</f>
        <v>11.28</v>
      </c>
      <c r="QJ13" s="30">
        <f>IFERROR(IF(DATA[[#This Row],[Administrative Officer 2: Numbers employed (Full Time Equivalent)]]=0,"",DATA[[#This Row],[Administrative Officer 2: Previous 2020/21 Minimum hourly pay rate ADJUSTED 2]]*DATA[[#This Row],[Administrative Officer 2: Numbers employed (Full Time Equivalent)]]),"")</f>
        <v>11.28</v>
      </c>
      <c r="QK13" s="30">
        <f>IFERROR(IF(DATA[[#This Row],[Administrative Officer 2: Numbers employed (Full Time Equivalent)]]=0,"",DATA[[#This Row],[Administrative Officer 2: Previous 2020/21 Maximum hourly pay rate ADJUSTED 2]]*DATA[[#This Row],[Administrative Officer 2: Numbers employed (Full Time Equivalent)]]),"")</f>
        <v>11.28</v>
      </c>
      <c r="QL13" s="30">
        <f>IFERROR(IF(DATA[[#This Row],[Administrative Officer 3: Numbers employed (Full Time Equivalent)]]=0,"",DATA[[#This Row],[Administrative Officer 3: Current 2021/22 Minimum hourly pay rate ADJUSTED 2]]*DATA[[#This Row],[Administrative Officer 3: Numbers employed (Full Time Equivalent)]]),"")</f>
        <v>6.56</v>
      </c>
      <c r="QM13" s="30">
        <f>IFERROR(IF(DATA[[#This Row],[Administrative Officer 3: Numbers employed (Full Time Equivalent)]]=0,"",DATA[[#This Row],[Administrative Officer 3: Current 2021/22 Maximum hourly pay rate ADJUSTED 2]]*DATA[[#This Row],[Administrative Officer 3: Numbers employed (Full Time Equivalent)]]),"")</f>
        <v>6.56</v>
      </c>
      <c r="QN13" s="30">
        <f>IFERROR(IF(DATA[[#This Row],[Administrative Officer 3: Numbers employed (Full Time Equivalent)]]=0,"",DATA[[#This Row],[Administrative Officer 3: Previous 2020/21 Minimum hourly pay rate ADJUSTED 2]]*DATA[[#This Row],[Administrative Officer 3: Numbers employed (Full Time Equivalent)]]),"")</f>
        <v>6.56</v>
      </c>
      <c r="QO13" s="30">
        <f>IFERROR(IF(DATA[[#This Row],[Administrative Officer 3: Numbers employed (Full Time Equivalent)]]=0,"",DATA[[#This Row],[Administrative Officer 3: Previous 2020/21 Maximum hourly pay rate ADJUSTED 2]]*DATA[[#This Row],[Administrative Officer 3: Numbers employed (Full Time Equivalent)]]),"")</f>
        <v>6.56</v>
      </c>
      <c r="QP13" s="28">
        <f>IFERROR(IF(DATA[[#This Row],[Other staff 1: Numbers employed (Full Time Equivalent)]]=0,"",DATA[[#This Row],[Other staff 1: Current 2021/22 Minimum hourly pay rate ADJUSTED 2]]*DATA[[#This Row],[Other staff 1: Numbers employed (Full Time Equivalent)]]),"")</f>
        <v>8.91</v>
      </c>
      <c r="QQ13" s="28">
        <f>IFERROR(IF(DATA[[#This Row],[Other staff 1: Numbers employed (Full Time Equivalent)]]=0,"",DATA[[#This Row],[Other staff 1: Current 2021/22 Maximum hourly pay rate ADJUSTED 2]]*DATA[[#This Row],[Other staff 1: Numbers employed (Full Time Equivalent)]]),"")</f>
        <v>8.91</v>
      </c>
      <c r="QR13" s="28">
        <f>IFERROR(IF(DATA[[#This Row],[Other staff 1: Numbers employed (Full Time Equivalent)]]=0,"",DATA[[#This Row],[Other staff 1: Previous 2020/21 Minimum hourly pay rate ADJUSTED 2]]*DATA[[#This Row],[Other staff 1: Numbers employed (Full Time Equivalent)]]),"")</f>
        <v>8.91</v>
      </c>
      <c r="QS13" s="28">
        <f>IFERROR(IF(DATA[[#This Row],[Other staff 1: Numbers employed (Full Time Equivalent)]]=0,"",DATA[[#This Row],[Other staff 1: Previous 2020/21 Maximum hourly pay rate ADJUSTED 2]]*DATA[[#This Row],[Other staff 1: Numbers employed (Full Time Equivalent)]]),"")</f>
        <v>8.91</v>
      </c>
      <c r="QT13" s="28">
        <f>IFERROR(IF(DATA[[#This Row],[Other staff 2: Numbers employed (Full Time Equivalent)]]=0,"",DATA[[#This Row],[Other staff 2: Current 2021/22 Minimum hourly pay rate ADJUSTED 2]]*DATA[[#This Row],[Other staff 2: Numbers employed (Full Time Equivalent)]]),"")</f>
        <v>17.82</v>
      </c>
      <c r="QU13" s="28">
        <f>IFERROR(IF(DATA[[#This Row],[Other staff 2: Numbers employed (Full Time Equivalent)]]=0,"",DATA[[#This Row],[Other staff 2: Current 2021/22 Maximum hourly pay rate ADJUSTED 2]]*DATA[[#This Row],[Other staff 2: Numbers employed (Full Time Equivalent)]]),"")</f>
        <v>17.82</v>
      </c>
      <c r="QV13" s="28">
        <f>IFERROR(IF(DATA[[#This Row],[Other staff 2: Numbers employed (Full Time Equivalent)]]=0,"",DATA[[#This Row],[Other staff 2: Previous 2020/21 Minimum hourly pay rate ADJUSTED 2]]*DATA[[#This Row],[Other staff 2: Numbers employed (Full Time Equivalent)]]),"")</f>
        <v>17.82</v>
      </c>
      <c r="QW13" s="28">
        <f>IFERROR(IF(DATA[[#This Row],[Other staff 2: Numbers employed (Full Time Equivalent)]]=0,"",DATA[[#This Row],[Other staff 2: Previous 2020/21 Maximum hourly pay rate ADJUSTED 2]]*DATA[[#This Row],[Other staff 2: Numbers employed (Full Time Equivalent)]]),"")</f>
        <v>17.82</v>
      </c>
      <c r="QX13" s="28">
        <f>IFERROR(IF(DATA[[#This Row],[Other staff 3: Numbers employed (Full Time Equivalent)]]=0,"",DATA[[#This Row],[Other staff 3: Current 2021/22 Minimum hourly pay rate ADJUSTED 2]]*DATA[[#This Row],[Other staff 3: Numbers employed (Full Time Equivalent)]]),"")</f>
        <v>28.2</v>
      </c>
      <c r="QY13" s="28">
        <f>IFERROR(IF(DATA[[#This Row],[Other staff 3: Numbers employed (Full Time Equivalent)]]=0,"",DATA[[#This Row],[Other staff 3: Current 2021/22 Maximum hourly pay rate ADJUSTED 2]]*DATA[[#This Row],[Other staff 3: Numbers employed (Full Time Equivalent)]]),"")</f>
        <v>28.2</v>
      </c>
      <c r="QZ13" s="28">
        <f>IFERROR(IF(DATA[[#This Row],[Other staff 3: Numbers employed (Full Time Equivalent)]]=0,"",DATA[[#This Row],[Other staff 3: Previous 2020/21 Minimum hourly pay rate ADJUSTED 2]]*DATA[[#This Row],[Other staff 3: Numbers employed (Full Time Equivalent)]]),"")</f>
        <v>22.48</v>
      </c>
      <c r="RA13" s="28">
        <f>IFERROR(IF(DATA[[#This Row],[Other staff 3: Numbers employed (Full Time Equivalent)]]=0,"",DATA[[#This Row],[Other staff 3: Previous 2020/21 Maximum hourly pay rate ADJUSTED 2]]*DATA[[#This Row],[Other staff 3: Numbers employed (Full Time Equivalent)]]),"")</f>
        <v>22.48</v>
      </c>
      <c r="RB13"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13"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13"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8</v>
      </c>
      <c r="RE13"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13"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2</v>
      </c>
      <c r="RG13"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63</v>
      </c>
      <c r="RH13"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48.5</v>
      </c>
      <c r="RI13"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42.5</v>
      </c>
      <c r="RJ13"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1</v>
      </c>
      <c r="RK13"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13"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13"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1</v>
      </c>
      <c r="RN13"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13"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2</v>
      </c>
      <c r="RP13"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2</v>
      </c>
    </row>
    <row r="14" spans="1:484" x14ac:dyDescent="0.25">
      <c r="G14" s="2">
        <v>8</v>
      </c>
      <c r="H14" s="2">
        <v>13</v>
      </c>
      <c r="I14" s="2">
        <v>9</v>
      </c>
      <c r="J14" s="2">
        <v>0.22</v>
      </c>
      <c r="K14" s="2">
        <v>0.78</v>
      </c>
      <c r="L14" s="2" t="s">
        <v>328</v>
      </c>
      <c r="M14" s="2" t="s">
        <v>328</v>
      </c>
      <c r="R14" s="2">
        <v>25.64</v>
      </c>
      <c r="S14" s="2">
        <v>0</v>
      </c>
      <c r="T14" s="2">
        <v>25.64</v>
      </c>
      <c r="U14" s="2">
        <v>0</v>
      </c>
      <c r="V14" s="2">
        <v>1</v>
      </c>
      <c r="W14" s="2">
        <v>20.149999999999999</v>
      </c>
      <c r="X14" s="2">
        <v>0</v>
      </c>
      <c r="Y14" s="2">
        <v>20.149999999999999</v>
      </c>
      <c r="Z14" s="2">
        <v>0</v>
      </c>
      <c r="AA14" s="2">
        <v>1</v>
      </c>
      <c r="AB14" s="2" t="s">
        <v>315</v>
      </c>
      <c r="AC14" s="2">
        <v>10.63</v>
      </c>
      <c r="AD14" s="2">
        <v>0</v>
      </c>
      <c r="AE14" s="2">
        <v>10.19</v>
      </c>
      <c r="AF14" s="2">
        <v>0</v>
      </c>
      <c r="AG14" s="2">
        <v>1</v>
      </c>
      <c r="AH14" s="2" t="s">
        <v>315</v>
      </c>
      <c r="AI14" s="2">
        <v>10.93</v>
      </c>
      <c r="AJ14" s="2">
        <v>0</v>
      </c>
      <c r="AK14" s="2">
        <v>10.49</v>
      </c>
      <c r="AL14" s="2">
        <v>0</v>
      </c>
      <c r="AM14" s="2">
        <v>1</v>
      </c>
      <c r="AN14" s="2" t="s">
        <v>315</v>
      </c>
      <c r="AO14" s="2">
        <v>11.23</v>
      </c>
      <c r="AP14" s="2">
        <v>0</v>
      </c>
      <c r="AQ14" s="2">
        <v>10.79</v>
      </c>
      <c r="AR14" s="2">
        <v>0</v>
      </c>
      <c r="AS14" s="2">
        <v>0</v>
      </c>
      <c r="AT14" s="2" t="s">
        <v>316</v>
      </c>
      <c r="AU14" s="2">
        <v>9.16</v>
      </c>
      <c r="AV14" s="2">
        <v>0</v>
      </c>
      <c r="AW14" s="2">
        <v>8.7200000000000006</v>
      </c>
      <c r="AX14" s="2">
        <v>0</v>
      </c>
      <c r="AY14" s="2">
        <v>9</v>
      </c>
      <c r="AZ14" s="2" t="s">
        <v>316</v>
      </c>
      <c r="BA14" s="2">
        <v>9.31</v>
      </c>
      <c r="BB14" s="2">
        <v>0</v>
      </c>
      <c r="BC14" s="2">
        <v>8.8699999999999992</v>
      </c>
      <c r="BD14" s="2">
        <v>0</v>
      </c>
      <c r="BE14" s="2">
        <v>4</v>
      </c>
      <c r="BF14" s="2" t="s">
        <v>316</v>
      </c>
      <c r="BG14" s="2">
        <v>9.73</v>
      </c>
      <c r="BH14" s="2">
        <v>0</v>
      </c>
      <c r="BI14" s="2">
        <v>9.2899999999999991</v>
      </c>
      <c r="BJ14" s="2">
        <v>0</v>
      </c>
      <c r="BK14" s="2">
        <v>13</v>
      </c>
      <c r="BL14" s="2" t="s">
        <v>316</v>
      </c>
      <c r="BM14" s="2">
        <v>0</v>
      </c>
      <c r="BN14" s="2">
        <v>0</v>
      </c>
      <c r="BO14" s="2">
        <v>0</v>
      </c>
      <c r="BP14" s="2">
        <v>0</v>
      </c>
      <c r="BQ14" s="2">
        <v>0</v>
      </c>
      <c r="BR14" s="2" t="s">
        <v>317</v>
      </c>
      <c r="BS14" s="2">
        <v>0</v>
      </c>
      <c r="BT14" s="2">
        <v>0</v>
      </c>
      <c r="BU14" s="2">
        <v>0</v>
      </c>
      <c r="BV14" s="2">
        <v>0</v>
      </c>
      <c r="BW14" s="2">
        <v>0</v>
      </c>
      <c r="BX14" s="2" t="s">
        <v>317</v>
      </c>
      <c r="BY14" s="2">
        <v>0</v>
      </c>
      <c r="BZ14" s="2">
        <v>0</v>
      </c>
      <c r="CA14" s="2">
        <v>0</v>
      </c>
      <c r="CB14" s="2">
        <v>0</v>
      </c>
      <c r="CC14" s="2">
        <v>0</v>
      </c>
      <c r="CD14" s="2" t="s">
        <v>317</v>
      </c>
      <c r="CE14" s="2">
        <v>0</v>
      </c>
      <c r="CF14" s="2">
        <v>0</v>
      </c>
      <c r="CG14" s="2">
        <v>0</v>
      </c>
      <c r="CH14" s="2">
        <v>0</v>
      </c>
      <c r="CI14" s="2">
        <v>0</v>
      </c>
      <c r="CJ14" s="2" t="s">
        <v>318</v>
      </c>
      <c r="CK14" s="2">
        <v>0</v>
      </c>
      <c r="CL14" s="2">
        <v>0</v>
      </c>
      <c r="CM14" s="2">
        <v>0</v>
      </c>
      <c r="CN14" s="2">
        <v>0</v>
      </c>
      <c r="CO14" s="2">
        <v>0</v>
      </c>
      <c r="CP14" s="2" t="s">
        <v>318</v>
      </c>
      <c r="CQ14" s="2">
        <v>0</v>
      </c>
      <c r="CR14" s="2">
        <v>0</v>
      </c>
      <c r="CS14" s="2">
        <v>0</v>
      </c>
      <c r="CT14" s="2">
        <v>0</v>
      </c>
      <c r="CU14" s="2">
        <v>0</v>
      </c>
      <c r="CV14" s="2" t="s">
        <v>318</v>
      </c>
      <c r="CW14" s="2">
        <v>0</v>
      </c>
      <c r="CX14" s="2">
        <v>0</v>
      </c>
      <c r="CY14" s="2">
        <v>0</v>
      </c>
      <c r="CZ14" s="2">
        <v>0</v>
      </c>
      <c r="DA14" s="2">
        <v>0</v>
      </c>
      <c r="DB14" s="2">
        <v>0.03</v>
      </c>
      <c r="DC14" s="2">
        <v>0</v>
      </c>
      <c r="DD14" s="2">
        <v>173.5</v>
      </c>
      <c r="DE14" s="2">
        <v>0</v>
      </c>
      <c r="DF14" s="2">
        <v>0</v>
      </c>
      <c r="DG14" s="2">
        <v>0</v>
      </c>
      <c r="DH14" s="2">
        <v>0</v>
      </c>
      <c r="DI14" s="2">
        <v>206.5</v>
      </c>
      <c r="DJ14" s="2">
        <v>404</v>
      </c>
      <c r="DK14" s="2">
        <v>0</v>
      </c>
      <c r="DL14" s="2">
        <v>0</v>
      </c>
      <c r="DM14" s="2">
        <v>0</v>
      </c>
      <c r="DN14" s="2">
        <v>0</v>
      </c>
      <c r="DO14" s="2">
        <v>16</v>
      </c>
      <c r="DP14" s="2">
        <v>0</v>
      </c>
      <c r="DQ14" s="2">
        <v>16</v>
      </c>
      <c r="DR14" s="18">
        <v>43922</v>
      </c>
      <c r="DS14" s="18">
        <v>44286</v>
      </c>
      <c r="DT14" s="2">
        <v>40768</v>
      </c>
      <c r="DU14" s="2">
        <v>0</v>
      </c>
      <c r="DV14" s="2">
        <v>484568</v>
      </c>
      <c r="DW14" s="2">
        <v>0</v>
      </c>
      <c r="DX14" s="2">
        <v>0</v>
      </c>
      <c r="DY14" s="2">
        <v>0</v>
      </c>
      <c r="DZ14" s="2">
        <v>6419</v>
      </c>
      <c r="EA14" s="2">
        <v>0</v>
      </c>
      <c r="EB14" s="2">
        <v>0</v>
      </c>
      <c r="EC14" s="2">
        <v>460</v>
      </c>
      <c r="ED14" s="2">
        <v>1519</v>
      </c>
      <c r="EE14" s="2">
        <v>4629</v>
      </c>
      <c r="EF14" s="2">
        <v>0</v>
      </c>
      <c r="EG14" s="2">
        <v>3815</v>
      </c>
      <c r="EH14" s="2" t="s">
        <v>324</v>
      </c>
      <c r="EI14" s="2">
        <v>0</v>
      </c>
      <c r="EJ14" s="2" t="s">
        <v>324</v>
      </c>
      <c r="EK14" s="2">
        <v>0</v>
      </c>
      <c r="EL14" s="2">
        <v>5913</v>
      </c>
      <c r="EM14" s="2">
        <v>3842</v>
      </c>
      <c r="EN14" s="2">
        <v>8308</v>
      </c>
      <c r="EO14" s="2">
        <v>34488</v>
      </c>
      <c r="EP14" s="2">
        <v>0</v>
      </c>
      <c r="EQ14" s="2">
        <v>0</v>
      </c>
      <c r="ER14" s="2">
        <v>0</v>
      </c>
      <c r="ES14" s="2">
        <v>0</v>
      </c>
      <c r="ET14" s="2" t="s">
        <v>329</v>
      </c>
      <c r="EU14" s="2">
        <v>9158</v>
      </c>
      <c r="EV14" s="2" t="s">
        <v>330</v>
      </c>
      <c r="EW14" s="2">
        <v>4379</v>
      </c>
      <c r="EX14" s="2">
        <v>46450</v>
      </c>
      <c r="EY14" s="2">
        <v>0</v>
      </c>
      <c r="EZ14" s="2" t="s">
        <v>326</v>
      </c>
      <c r="FA14" s="2">
        <v>0</v>
      </c>
      <c r="FB14" s="2" t="s">
        <v>326</v>
      </c>
      <c r="FC14" s="2">
        <v>0</v>
      </c>
      <c r="FD14" s="2">
        <v>61395</v>
      </c>
      <c r="FE14" s="2">
        <v>0</v>
      </c>
      <c r="FF14" s="2">
        <v>0</v>
      </c>
      <c r="FG14" s="2"/>
      <c r="FH14" s="19">
        <v>44480.623449074075</v>
      </c>
      <c r="FI14" s="2" t="s">
        <v>647</v>
      </c>
      <c r="FJ14" s="2">
        <f>SUM(DATA[[#This Row],[Number of Home support clients:]],DATA[[#This Row],[Number of supported living clients:]])</f>
        <v>22</v>
      </c>
      <c r="FK14"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14"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25.64</v>
      </c>
      <c r="FM14"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25.64</v>
      </c>
      <c r="FN14"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25.64</v>
      </c>
      <c r="FO14"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25.64</v>
      </c>
      <c r="FP14"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20.149999999999999</v>
      </c>
      <c r="FQ14"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14"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20.149999999999999</v>
      </c>
      <c r="FS14"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20.149999999999999</v>
      </c>
      <c r="FT14"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10.63</v>
      </c>
      <c r="FU14"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10.63</v>
      </c>
      <c r="FV14"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10.19</v>
      </c>
      <c r="FW14"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10.19</v>
      </c>
      <c r="FX14"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10.93</v>
      </c>
      <c r="FY14"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10.93</v>
      </c>
      <c r="FZ14"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10.49</v>
      </c>
      <c r="GA14"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10.49</v>
      </c>
      <c r="GB14"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11.23</v>
      </c>
      <c r="GC14"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11.23</v>
      </c>
      <c r="GD14"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10.79</v>
      </c>
      <c r="GE14"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10.79</v>
      </c>
      <c r="GF14"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9.16</v>
      </c>
      <c r="GG14"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9.16</v>
      </c>
      <c r="GH14"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14"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8.7200000000000006</v>
      </c>
      <c r="GJ14"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9.31</v>
      </c>
      <c r="GK14"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9.31</v>
      </c>
      <c r="GL14"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8.8699999999999992</v>
      </c>
      <c r="GM14"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8.8699999999999992</v>
      </c>
      <c r="GN14"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9.73</v>
      </c>
      <c r="GO14"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9.73</v>
      </c>
      <c r="GP14"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9.2899999999999991</v>
      </c>
      <c r="GQ14"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9.2899999999999991</v>
      </c>
      <c r="GR14"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14"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14"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14"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14"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14"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14"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14"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14"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14"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14"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14"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14"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14"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14"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4"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4"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14"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14"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14"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14"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14"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14"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14"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14"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14"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14"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14"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14"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25.64</v>
      </c>
      <c r="HU14"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25.64</v>
      </c>
      <c r="HV14"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25.64</v>
      </c>
      <c r="HW14"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25.64</v>
      </c>
      <c r="HX14"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20.149999999999999</v>
      </c>
      <c r="HY14"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20.149999999999999</v>
      </c>
      <c r="HZ14"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20.149999999999999</v>
      </c>
      <c r="IA14"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20.149999999999999</v>
      </c>
      <c r="IB14"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10.63</v>
      </c>
      <c r="IC14"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10.63</v>
      </c>
      <c r="ID14"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10.19</v>
      </c>
      <c r="IE14"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10.19</v>
      </c>
      <c r="IF14"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10.93</v>
      </c>
      <c r="IG14"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10.93</v>
      </c>
      <c r="IH14"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10.49</v>
      </c>
      <c r="II14"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10.49</v>
      </c>
      <c r="IJ14"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11.23</v>
      </c>
      <c r="IK14"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11.23</v>
      </c>
      <c r="IL14"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10.79</v>
      </c>
      <c r="IM14"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10.79</v>
      </c>
      <c r="IN14"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9.16</v>
      </c>
      <c r="IO14"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9.16</v>
      </c>
      <c r="IP14"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14"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8.7200000000000006</v>
      </c>
      <c r="IR14"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9.31</v>
      </c>
      <c r="IS14"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9.31</v>
      </c>
      <c r="IT14"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8.8699999999999992</v>
      </c>
      <c r="IU14"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8.8699999999999992</v>
      </c>
      <c r="IV14"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9.73</v>
      </c>
      <c r="IW14"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9.73</v>
      </c>
      <c r="IX14"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9.2899999999999991</v>
      </c>
      <c r="IY14"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9.2899999999999991</v>
      </c>
      <c r="IZ14"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14"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14"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14"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14"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14"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14"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14"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14"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14"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14"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14"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14"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14"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14"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14"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14"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14"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14"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14"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14"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14"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14"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14"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14"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14"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14"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14"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14"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v>
      </c>
      <c r="KC14" s="21">
        <f>SUM(DATA[[#This Row],[Care Assistant 1: Numbers employed (Full Time Equivalent)]],DATA[[#This Row],[Care Assistant 2: Numbers employed (Full Time Equivalent)]],DATA[[#This Row],[Care Assistant 3: Numbers employed (Full Time Equivalent)]],DATA[[#This Row],[Care Assistant 4: Numbers employed (Full Time Equivalent)]])</f>
        <v>26</v>
      </c>
      <c r="KD14" s="21">
        <f>SUM(DATA[[#This Row],[Administrative Officer 1: Numbers employed (Full Time Equivalent)]],DATA[[#This Row],[Administrative Officer 2: Numbers employed (Full Time Equivalent)]])</f>
        <v>0</v>
      </c>
      <c r="KE14" s="21">
        <f>SUM(DATA[[#This Row],[Other staff 1: Numbers employed (Full Time Equivalent)]],DATA[[#This Row],[Other staff 2: Numbers employed (Full Time Equivalent)]],DATA[[#This Row],[Other staff 3: Numbers employed (Full Time Equivalent)]])</f>
        <v>0</v>
      </c>
      <c r="KF14" s="21">
        <f>SUM(DATA[[#This Row],[Total FTE Management Employees]:[Total FTE Other Employees]])</f>
        <v>30</v>
      </c>
      <c r="KG14" s="21" t="str">
        <f>IF(SUM(DATA[[#This Row],[Home Support service split percentage (Expenditure):]],DATA[[#This Row],[Supported Living service split percentage (Expenditure):]])&gt;0, IF(DATA[[#This Row],[Home Support service split percentage (Expenditure):]]&gt;0.5,"Home Support","Supported Living"), "Unknown")</f>
        <v>Supported Living</v>
      </c>
      <c r="KH14" s="21">
        <f>SUM(DATA[[#This Row],[Home Support: Birmingham City Council]:[Home Support: Self-funded]])</f>
        <v>173.5</v>
      </c>
      <c r="KI14" s="21">
        <f>SUM(DATA[[#This Row],[Supported Living: Birmingham City Council]:[Supported Living: Self-funded]])</f>
        <v>610.5</v>
      </c>
      <c r="KJ14"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66.47</v>
      </c>
      <c r="KK14"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66.47</v>
      </c>
      <c r="KL14"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67.349999999999994</v>
      </c>
      <c r="KM14"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14" s="21" t="b">
        <f>SUM(DATA[[#This Row],[Number of hours of care charged for in last full accounting year]:[Corporate Overheads: Other  - please specify (category) 1]])&gt;0</f>
        <v>1</v>
      </c>
      <c r="KO14" s="21">
        <f>SUM(DATA[[#This Row],[Total annual expenditure: Management staff]:[Total annual expenditure: Training and development]])</f>
        <v>490987</v>
      </c>
      <c r="KP14" s="21">
        <f>SUM(DATA[[#This Row],[Recruitment &amp; advertising (including DBS checks)]:[Non-Staffing Direct Cost: Other  - please specify (amount) 2]])</f>
        <v>10423</v>
      </c>
      <c r="KQ14" s="21">
        <f>SUM(DATA[[#This Row],[Insurance ]:[Indirect costs: Other 2 - please specify (amount)]])</f>
        <v>66088</v>
      </c>
      <c r="KR14" s="21">
        <f>SUM(DATA[[#This Row],[Central / Regional Management]],DATA[[#This Row],[Support Services (finance / HR / Payroll / legal etc.)]],DATA[[#This Row],[Corporate Overheads: Other  - please specify (amount) 1]],DATA[[#This Row],[Corporate Overheads: Other  - please specify (amount) 2]])</f>
        <v>46450</v>
      </c>
      <c r="KS14"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14"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11.885989010989011</v>
      </c>
      <c r="KU14"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14"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4"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14" s="30">
        <f>IF(OR(NOT(DATA[[#This Row],[Total annual expenditure: Travel Cost]]&gt;0),NOT(DATA[[#This Row],[Number of hours of care charged for in last full accounting year]]&gt;0)),0,DATA[[#This Row],[Total annual expenditure: Travel Cost]]/DATA[[#This Row],[Number of hours of care charged for in last full accounting year]])</f>
        <v>0.15745192307692307</v>
      </c>
      <c r="KY14"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14"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14"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1.1283359497645211E-2</v>
      </c>
      <c r="LB14"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3.7259615384615384E-2</v>
      </c>
      <c r="LC14" s="30">
        <f>IF(OR(NOT(DATA[[#This Row],[Care consumables &amp; uniforms]]&gt;0),NOT(DATA[[#This Row],[Number of hours of care charged for in last full accounting year]]&gt;0)),0,DATA[[#This Row],[Care consumables &amp; uniforms]]/DATA[[#This Row],[Number of hours of care charged for in last full accounting year]])</f>
        <v>0.11354493720565149</v>
      </c>
      <c r="LD14" s="30">
        <f>IF(OR(NOT(DATA[[#This Row],[Electronic call monitoring]]&gt;0),NOT(DATA[[#This Row],[Number of hours of care charged for in last full accounting year]]&gt;0)),0,DATA[[#This Row],[Electronic call monitoring]]/DATA[[#This Row],[Number of hours of care charged for in last full accounting year]])</f>
        <v>0</v>
      </c>
      <c r="LE14" s="30">
        <f>IF(OR(NOT(DATA[[#This Row],[IT Equipment &amp; Telephoney]]&gt;0),NOT(DATA[[#This Row],[Number of hours of care charged for in last full accounting year]]&gt;0)),0,DATA[[#This Row],[IT Equipment &amp; Telephoney]]/DATA[[#This Row],[Number of hours of care charged for in last full accounting year]])</f>
        <v>9.3578296703296704E-2</v>
      </c>
      <c r="LF14"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14"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14" s="30">
        <f>IF(OR(NOT(DATA[[#This Row],[Insurance ]]&gt;0),NOT(DATA[[#This Row],[Number of hours of care charged for in last full accounting year]]&gt;0)),0,DATA[[#This Row],[Insurance ]]/DATA[[#This Row],[Number of hours of care charged for in last full accounting year]])</f>
        <v>0.14504022762951335</v>
      </c>
      <c r="LI14"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9.4240580847723701E-2</v>
      </c>
      <c r="LJ14" s="30">
        <f>IF(OR(NOT(DATA[[#This Row],[Repairs and maintenance]]&gt;0),NOT(DATA[[#This Row],[Number of hours of care charged for in last full accounting year]]&gt;0)),0,DATA[[#This Row],[Repairs and maintenance]]/DATA[[#This Row],[Number of hours of care charged for in last full accounting year]])</f>
        <v>0.20378728414442701</v>
      </c>
      <c r="LK14"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0.84595761381475665</v>
      </c>
      <c r="LL14" s="30">
        <f>IF(OR(NOT(DATA[[#This Row],[Registration &amp; Inspection fees ]]&gt;0),NOT(DATA[[#This Row],[Number of hours of care charged for in last full accounting year]]&gt;0)),0,DATA[[#This Row],[Registration &amp; Inspection fees ]]/DATA[[#This Row],[Number of hours of care charged for in last full accounting year]])</f>
        <v>0</v>
      </c>
      <c r="LM14" s="30">
        <f>IF(OR(NOT(DATA[[#This Row],[Subscriptions]]&gt;0),NOT(DATA[[#This Row],[Number of hours of care charged for in last full accounting year]]&gt;0)),0,DATA[[#This Row],[Subscriptions]]/DATA[[#This Row],[Number of hours of care charged for in last full accounting year]])</f>
        <v>0</v>
      </c>
      <c r="LN14" s="30">
        <f>IF(OR(NOT(DATA[[#This Row],[Cost of finance]]&gt;0),NOT(DATA[[#This Row],[Number of hours of care charged for in last full accounting year]]&gt;0)),0,DATA[[#This Row],[Cost of finance]]/DATA[[#This Row],[Number of hours of care charged for in last full accounting year]])</f>
        <v>0</v>
      </c>
      <c r="LO14" s="30">
        <f>IF(OR(NOT(DATA[[#This Row],[Other non-staff current expenses]]&gt;0),NOT(DATA[[#This Row],[Number of hours of care charged for in last full accounting year]]&gt;0)),0,DATA[[#This Row],[Other non-staff current expenses]]/DATA[[#This Row],[Number of hours of care charged for in last full accounting year]])</f>
        <v>0</v>
      </c>
      <c r="LP14"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0.22463697017268447</v>
      </c>
      <c r="LQ14"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0.10741267660910518</v>
      </c>
      <c r="LR14" s="30">
        <f>IF(OR(NOT(DATA[[#This Row],[Central / Regional Management]]&gt;0),NOT(DATA[[#This Row],[Number of hours of care charged for in last full accounting year]]&gt;0)),0,DATA[[#This Row],[Central / Regional Management]]/DATA[[#This Row],[Number of hours of care charged for in last full accounting year]])</f>
        <v>1.1393740188383046</v>
      </c>
      <c r="LS14"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14"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14"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14" s="30">
        <f>SUM(DATA[[#This Row],[Management staff HOURLY RATE]:[Corporate Overheads: Other  - please specify (amount) 2 HOURLY RATE]])</f>
        <v>15.059556514913655</v>
      </c>
      <c r="LW14" s="30">
        <f>IF(OR(NOT(DATA[[#This Row],[Net Operating Profit]]&gt;0),NOT(DATA[[#This Row],[Number of hours of care charged for in last full accounting year]]&gt;0)),"",DATA[[#This Row],[Net Operating Profit]]/DATA[[#This Row],[Number of hours of care charged for in last full accounting year]])</f>
        <v>1.5059605572998429</v>
      </c>
      <c r="LX14" s="30">
        <f>IF(OR(NOT(DATA[[#This Row],[Return on Capital employed]]&gt;0),NOT(DATA[[#This Row],[Number of hours of care charged for in last full accounting year]]&gt;0)),0,DATA[[#This Row],[Return on Capital employed]]/DATA[[#This Row],[Number of hours of care charged for in last full accounting year]])</f>
        <v>0</v>
      </c>
      <c r="LY14" s="31">
        <v>8</v>
      </c>
      <c r="LZ14" s="30" t="s">
        <v>358</v>
      </c>
      <c r="MA14" s="30" t="b">
        <f>DATA[[#This Row],[Number of Home support clients:]]&gt;0</f>
        <v>1</v>
      </c>
      <c r="MB14" s="30" t="b">
        <f>DATA[[#This Row],[Number of supported living clients:]]&gt;0</f>
        <v>1</v>
      </c>
      <c r="MC14" s="30" t="b">
        <f>DATA[[#This Row],[Total Home Support Hours]]&gt;0</f>
        <v>1</v>
      </c>
      <c r="MD14" s="30" t="b">
        <f>DATA[[#This Row],[Total Supported Living Hours]]&gt;0</f>
        <v>1</v>
      </c>
      <c r="ME14" s="30" t="b">
        <f>DATA[[#This Row],[Home Support service split percentage (Expenditure):]]&gt;0.5</f>
        <v>0</v>
      </c>
      <c r="MF14" s="30" t="b">
        <f>DATA[[#This Row],[Agency staff HOURLY RATE]]=0</f>
        <v>1</v>
      </c>
      <c r="MG14" s="30">
        <f>IFERROR(IF(AVERAGE(DATA[[#This Row],[Registered manager: Current 2021/22 Minimum hourly pay rate ADJUSTED]],DATA[[#This Row],[Registered manager: Current 2021/22 Maximum hourly pay rate ADJUSTED]])&lt;LIVING_WAGE_22_23,DATA[[#This Row],[Registered manager: Numbers employed (Full Time Equivalent)]],0),"")</f>
        <v>0</v>
      </c>
      <c r="MH14" s="30">
        <f>IFERROR(IF(AVERAGE(DATA[[#This Row],[Deputy manager: Current 2021/22 Minimum hourly pay rate ADJUSTED]],DATA[[#This Row],[Deputy manager: Current 2021/22 Maximum hourly pay rate ADJUSTED]])&lt;LIVING_WAGE_22_23,DATA[[#This Row],[Deputy manager: Numbers employed (Full Time Equivalent)]],0),"")</f>
        <v>0</v>
      </c>
      <c r="MI14" s="30">
        <f>IFERROR(IF(AVERAGE(DATA[[#This Row],[Other manager 1: Current 2021/22 Minimum hourly pay rate ADJUSTED]],DATA[[#This Row],[Other manager 1: Current 2021/22 Maximum hourly pay rate ADJUSTED]])&lt;LIVING_WAGE_22_23,DATA[[#This Row],[Other manager 1: Numbers employed (Full Time Equivalent)]],0),"")</f>
        <v>0</v>
      </c>
      <c r="MJ14" s="30">
        <f>IFERROR(IF(AVERAGE(DATA[[#This Row],[Other manager 2: Current 2021/22 Minimum hourly pay rate ADJUSTED]],DATA[[#This Row],[Other manager 2: Current 2021/22 Maximum hourly pay rate ADJUSTED]])&lt;LIVING_WAGE_22_23,DATA[[#This Row],[Other manager 2: Numbers employed (Full Time Equivalent)]],0),"")</f>
        <v>0</v>
      </c>
      <c r="MK14" s="30">
        <f>IFERROR(IF(AVERAGE(DATA[[#This Row],[Other manager 3: Current 2021/22 Minimum hourly pay rate ADJUSTED]],DATA[[#This Row],[Other manager 3: Current 2021/22 Maximum hourly pay rate ADJUSTED]])&lt;LIVING_WAGE_22_23,DATA[[#This Row],[Other manager 3: Numbers employed (Full Time Equivalent)]],0),"")</f>
        <v>0</v>
      </c>
      <c r="ML14" s="30">
        <f>IFERROR(IF(AVERAGE(DATA[[#This Row],[Care Assistant 1: Current 2021/22 Minimum hourly pay rate ADJUSTED]],DATA[[#This Row],[Care Assistant 1: Current 2021/22 Maximum hourly pay rate ADJUSTED]])&lt;LIVING_WAGE_22_23,DATA[[#This Row],[Care Assistant 1: Numbers employed (Full Time Equivalent)]],0),"")</f>
        <v>9</v>
      </c>
      <c r="MM14" s="30">
        <f>IFERROR(IF(AVERAGE(DATA[[#This Row],[Care Assistant 2: Current 2021/22 Minimum hourly pay rate ADJUSTED]],DATA[[#This Row],[Care Assistant 2: Current 2021/22 Maximum hourly pay rate ADJUSTED]])&lt;LIVING_WAGE_22_23,DATA[[#This Row],[Care Assistant 2: Numbers employed (Full Time Equivalent)]],0),"")</f>
        <v>4</v>
      </c>
      <c r="MN14" s="30">
        <f>IFERROR(IF(AVERAGE(DATA[[#This Row],[Care Assistant 3: Current 2021/22 Minimum hourly pay rate ADJUSTED]],DATA[[#This Row],[Care Assistant 3: Current 2021/22 Maximum hourly pay rate ADJUSTED]])&lt;LIVING_WAGE_22_23,DATA[[#This Row],[Care Assistant 3: Numbers employed (Full Time Equivalent)]],0),"")</f>
        <v>0</v>
      </c>
      <c r="MO14" s="30" t="str">
        <f>IFERROR(IF(AVERAGE(DATA[[#This Row],[Care Assistant 4: Current 2021/22 Minimum hourly pay rate ADJUSTED]],DATA[[#This Row],[Care Assistant 4: Current 2021/22 Maximum hourly pay rate ADJUSTED]])&lt;LIVING_WAGE_22_23,DATA[[#This Row],[Care Assistant 4: Numbers employed (Full Time Equivalent)]],0),"")</f>
        <v/>
      </c>
      <c r="MP14"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14"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14" s="30" t="str">
        <f>IFERROR(IF(AVERAGE(DATA[[#This Row],[Other staff 1: Current 2021/22 Minimum hourly pay rate ADJUSTED]],DATA[[#This Row],[Other staff 1: Current 2021/22 Maximum hourly pay rate ADJUSTED]])&lt;LIVING_WAGE_22_23,DATA[[#This Row],[Other staff 1: Numbers employed (Full Time Equivalent)]],0),"")</f>
        <v/>
      </c>
      <c r="MS14" s="30" t="str">
        <f>IFERROR(IF(AVERAGE(DATA[[#This Row],[Other staff 2: Current 2021/22 Minimum hourly pay rate ADJUSTED]],DATA[[#This Row],[Other staff 2: Current 2021/22 Maximum hourly pay rate ADJUSTED]])&lt;LIVING_WAGE_22_23,DATA[[#This Row],[Other staff 2: Numbers employed (Full Time Equivalent)]],0),"")</f>
        <v/>
      </c>
      <c r="MT14" s="30" t="str">
        <f>IFERROR(IF(AVERAGE(DATA[[#This Row],[Other staff 3: Current 2021/22 Minimum hourly pay rate ADJUSTED]],DATA[[#This Row],[Other staff 3: Current 2021/22 Maximum hourly pay rate ADJUSTED]])&lt;LIVING_WAGE_22_23,DATA[[#This Row],[Other staff 3: Numbers employed (Full Time Equivalent)]],0),"")</f>
        <v/>
      </c>
      <c r="MU14" s="30">
        <f>SUM(DATA[[#This Row],[Registered Manager FTE earning less than NLW 23yrs 2022/23]:[Other staff 3 FTE earning less than NLW 23yrs 2022/23]])</f>
        <v>13</v>
      </c>
      <c r="MV14"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14"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14"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14"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14"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14"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3.0599999999999987</v>
      </c>
      <c r="NB14"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0.75999999999999801</v>
      </c>
      <c r="NC14"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14"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14"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14"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14"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14"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14"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14" s="30" t="b">
        <v>0</v>
      </c>
      <c r="NK14" s="30" t="b">
        <v>1</v>
      </c>
      <c r="NL14" s="30" t="s">
        <v>972</v>
      </c>
      <c r="NM14" s="30">
        <f>SUM(DATA[[#This Row],[Management staff HOURLY RATE]:[Training and development HOURLY RATE]])</f>
        <v>12.043440934065934</v>
      </c>
      <c r="NN14" s="30">
        <f>SUM(DATA[[#This Row],[Recruitment &amp; advertising (including DBS checks) HOURLY RATE]:[Non-Staffing Direct Cost: Other  - please specify (amount) 2 HOURLY RATE]])</f>
        <v>0.25566620879120883</v>
      </c>
      <c r="NO14" s="30">
        <f>SUM(DATA[[#This Row],[Insurance  HOURLY RATE]:[Indirect costs: Other  - please specify (amount) 2 HOURLY RATE]])</f>
        <v>1.6210753532182103</v>
      </c>
      <c r="NP14" s="30">
        <f>SUM(DATA[[#This Row],[Central / Regional Management HOURLY RATE]:[Corporate Overheads: Other  - please specify (amount) 2 HOURLY RATE]])</f>
        <v>1.1393740188383046</v>
      </c>
      <c r="NQ14"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14" s="30">
        <f>IFERROR(IF(AVERAGE(DATA[[#This Row],[Deputy manager: Current 2021/22 Minimum hourly pay rate ADJUSTED]],DATA[[#This Row],[Deputy manager: Current 2021/22 Maximum hourly pay rate ADJUSTED]])&lt;REAL_LIVING_WAGE_22_23,DATA[[#This Row],[Deputy manager: Numbers employed (Full Time Equivalent)]],0),"")</f>
        <v>0</v>
      </c>
      <c r="NS14" s="30">
        <f>IFERROR(IF(AVERAGE(DATA[[#This Row],[Other manager 1: Current 2021/22 Minimum hourly pay rate ADJUSTED]],DATA[[#This Row],[Other manager 1: Current 2021/22 Maximum hourly pay rate ADJUSTED]])&lt;REAL_LIVING_WAGE_22_23,DATA[[#This Row],[Other manager 1: Numbers employed (Full Time Equivalent)]],0),"")</f>
        <v>0</v>
      </c>
      <c r="NT14" s="30">
        <f>IFERROR(IF(AVERAGE(DATA[[#This Row],[Other manager 2: Current 2021/22 Minimum hourly pay rate ADJUSTED]],DATA[[#This Row],[Other manager 2: Current 2021/22 Maximum hourly pay rate ADJUSTED]])&lt;REAL_LIVING_WAGE_22_23,DATA[[#This Row],[Other manager 2: Numbers employed (Full Time Equivalent)]],0),"")</f>
        <v>0</v>
      </c>
      <c r="NU14" s="30">
        <f>IFERROR(IF(AVERAGE(DATA[[#This Row],[Other manager 3: Current 2021/22 Minimum hourly pay rate ADJUSTED]],DATA[[#This Row],[Other manager 3: Current 2021/22 Maximum hourly pay rate ADJUSTED]])&lt;REAL_LIVING_WAGE_22_23,DATA[[#This Row],[Other manager 3: Numbers employed (Full Time Equivalent)]],0),"")</f>
        <v>0</v>
      </c>
      <c r="NV14" s="30">
        <f>IFERROR(IF(AVERAGE(DATA[[#This Row],[Care Assistant 1: Current 2021/22 Minimum hourly pay rate ADJUSTED]],DATA[[#This Row],[Care Assistant 1: Current 2021/22 Maximum hourly pay rate ADJUSTED]])&lt;REAL_LIVING_WAGE_22_23,DATA[[#This Row],[Care Assistant 1: Numbers employed (Full Time Equivalent)]],0),"")</f>
        <v>9</v>
      </c>
      <c r="NW14" s="30">
        <f>IFERROR(IF(AVERAGE(DATA[[#This Row],[Care Assistant 2: Current 2021/22 Minimum hourly pay rate ADJUSTED]],DATA[[#This Row],[Care Assistant 2: Current 2021/22 Maximum hourly pay rate ADJUSTED]])&lt;REAL_LIVING_WAGE_22_23,DATA[[#This Row],[Care Assistant 2: Numbers employed (Full Time Equivalent)]],0),"")</f>
        <v>4</v>
      </c>
      <c r="NX14" s="30">
        <f>IFERROR(IF(AVERAGE(DATA[[#This Row],[Care Assistant 3: Current 2021/22 Minimum hourly pay rate ADJUSTED]],DATA[[#This Row],[Care Assistant 3: Current 2021/22 Maximum hourly pay rate ADJUSTED]])&lt;REAL_LIVING_WAGE_22_23,DATA[[#This Row],[Care Assistant 3: Numbers employed (Full Time Equivalent)]],0),"")</f>
        <v>13</v>
      </c>
      <c r="NY14"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14"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14"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14" s="30" t="str">
        <f>IFERROR(IF(AVERAGE(DATA[[#This Row],[Other staff 1: Current 2021/22 Minimum hourly pay rate ADJUSTED]],DATA[[#This Row],[Other staff 1: Current 2021/22 Maximum hourly pay rate ADJUSTED]])&lt;REAL_LIVING_WAGE_22_23,DATA[[#This Row],[Other staff 1: Numbers employed (Full Time Equivalent)]],0),"")</f>
        <v/>
      </c>
      <c r="OC14" s="30" t="str">
        <f>IFERROR(IF(AVERAGE(DATA[[#This Row],[Other staff 2: Current 2021/22 Minimum hourly pay rate ADJUSTED]],DATA[[#This Row],[Other staff 2: Current 2021/22 Maximum hourly pay rate ADJUSTED]])&lt;REAL_LIVING_WAGE_22_23,DATA[[#This Row],[Other staff 2: Numbers employed (Full Time Equivalent)]],0),"")</f>
        <v/>
      </c>
      <c r="OD14" s="30" t="str">
        <f>IFERROR(IF(AVERAGE(DATA[[#This Row],[Other staff 3: Current 2021/22 Minimum hourly pay rate ADJUSTED]],DATA[[#This Row],[Other staff 3: Current 2021/22 Maximum hourly pay rate ADJUSTED]])&lt;REAL_LIVING_WAGE_22_23,DATA[[#This Row],[Other staff 3: Numbers employed (Full Time Equivalent)]],0),"")</f>
        <v/>
      </c>
      <c r="OE14" s="30">
        <f>SUM(DATA[[#This Row],[Registered Manager FTE earning less than RLW 23yrs 2022/23]:[Other staff 3 FTE earning less than RLW 23yrs 2022/23]])</f>
        <v>26</v>
      </c>
      <c r="OF14"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14"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14"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14"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14"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14"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6.6600000000000019</v>
      </c>
      <c r="OL14"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2.3599999999999994</v>
      </c>
      <c r="OM14"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2.2099999999999991</v>
      </c>
      <c r="ON14"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14"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14"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14"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14"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14"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14" s="30">
        <f>IFERROR(IF(DATA[[#This Row],[Registered manager: Numbers employed (Full Time Equivalent)]]=0,"",DATA[[#This Row],[Registered manager: Current 2021/22 Minimum hourly pay rate ADJUSTED 2]]*DATA[[#This Row],[Registered manager: Numbers employed (Full Time Equivalent)]]),"")</f>
        <v>25.64</v>
      </c>
      <c r="OU14" s="30">
        <f>IFERROR(IF(DATA[[#This Row],[Registered manager: Numbers employed (Full Time Equivalent)]]=0,"",DATA[[#This Row],[Registered manager: Current 2021/22 Maximum hourly pay rate ADJUSTED 2]]*DATA[[#This Row],[Registered manager: Numbers employed (Full Time Equivalent)]]),"")</f>
        <v>25.64</v>
      </c>
      <c r="OV14" s="30">
        <f>IFERROR(IF(DATA[[#This Row],[Registered manager: Numbers employed (Full Time Equivalent)]]=0,"",DATA[[#This Row],[Registered manager: Previous 2020/21 Minimum hourly pay rate ADJUSTED 2]]*DATA[[#This Row],[Registered manager: Numbers employed (Full Time Equivalent)]]),"")</f>
        <v>25.64</v>
      </c>
      <c r="OW14" s="30">
        <f>IFERROR(IF(DATA[[#This Row],[Registered manager: Numbers employed (Full Time Equivalent)]]=0,"",DATA[[#This Row],[Registered manager: Previous 2020/21 Maximum hourly pay rate ADJUSTED 2]]*DATA[[#This Row],[Registered manager: Numbers employed (Full Time Equivalent)]]),"")</f>
        <v>25.64</v>
      </c>
      <c r="OX14" s="30">
        <f>IFERROR(IF(DATA[[#This Row],[Deputy manager: Numbers employed (Full Time Equivalent)]]=0,"",DATA[[#This Row],[Deputy manager: Current 2021/22 Minimum hourly pay rate ADJUSTED 2]]*DATA[[#This Row],[Deputy manager: Numbers employed (Full Time Equivalent)]]),"")</f>
        <v>20.149999999999999</v>
      </c>
      <c r="OY14" s="30">
        <f>IFERROR(IF(DATA[[#This Row],[Deputy manager: Numbers employed (Full Time Equivalent)]]=0,"",DATA[[#This Row],[Deputy manager: Current 2021/22 Maximum hourly pay rate ADJUSTED 2]]*DATA[[#This Row],[Deputy manager: Numbers employed (Full Time Equivalent)]]),"")</f>
        <v>20.149999999999999</v>
      </c>
      <c r="OZ14" s="30">
        <f>IFERROR(IF(DATA[[#This Row],[Deputy manager: Numbers employed (Full Time Equivalent)]]=0,"",DATA[[#This Row],[Deputy manager: Previous 2020/21 Minimum hourly pay rate ADJUSTED 2]]*DATA[[#This Row],[Deputy manager: Numbers employed (Full Time Equivalent)]]),"")</f>
        <v>20.149999999999999</v>
      </c>
      <c r="PA14" s="30">
        <f>IFERROR(IF(DATA[[#This Row],[Deputy manager: Numbers employed (Full Time Equivalent)]]=0,"",DATA[[#This Row],[Deputy manager: Previous 2020/21 Maximum hourly pay rate ADJUSTED 2]]*DATA[[#This Row],[Deputy manager: Numbers employed (Full Time Equivalent)]]),"")</f>
        <v>20.149999999999999</v>
      </c>
      <c r="PB14" s="30">
        <f>IFERROR(IF(DATA[[#This Row],[Other manager 1: Numbers employed (Full Time Equivalent)]]=0,"",DATA[[#This Row],[Other manager 1: Current 2021/22 Minimum hourly pay rate ADJUSTED 2]]*DATA[[#This Row],[Other manager 1: Numbers employed (Full Time Equivalent)]]),"")</f>
        <v>10.63</v>
      </c>
      <c r="PC14" s="30">
        <f>IFERROR(IF(DATA[[#This Row],[Other manager 1: Numbers employed (Full Time Equivalent)]]=0,"",DATA[[#This Row],[Other manager 1: Current 2021/22 Maximum hourly pay rate ADJUSTED 2]]*DATA[[#This Row],[Other manager 1: Numbers employed (Full Time Equivalent)]]),"")</f>
        <v>10.63</v>
      </c>
      <c r="PD14" s="30">
        <f>IFERROR(IF(DATA[[#This Row],[Other manager 1: Numbers employed (Full Time Equivalent)]]=0,"",DATA[[#This Row],[Other manager 1: Previous 2020/21 Minimum hourly pay rate ADJUSTED 2]]*DATA[[#This Row],[Other manager 1: Numbers employed (Full Time Equivalent)]]),"")</f>
        <v>10.19</v>
      </c>
      <c r="PE14" s="30">
        <f>IFERROR(IF(DATA[[#This Row],[Other manager 1: Numbers employed (Full Time Equivalent)]]=0,"",DATA[[#This Row],[Other manager 1: Previous 2020/21 Maximum hourly pay rate ADJUSTED 2]]*DATA[[#This Row],[Other manager 1: Numbers employed (Full Time Equivalent)]]),"")</f>
        <v>10.19</v>
      </c>
      <c r="PF14" s="30">
        <f>IFERROR(IF(DATA[[#This Row],[Other manager 2: Numbers employed (Full Time Equivalent)]]=0,"",DATA[[#This Row],[Other manager 2: Current 2021/22 Minimum hourly pay rate ADJUSTED 2]]*DATA[[#This Row],[Other manager 2: Numbers employed (Full Time Equivalent)]]),"")</f>
        <v>10.93</v>
      </c>
      <c r="PG14" s="30">
        <f>IFERROR(IF(DATA[[#This Row],[Other manager 2: Numbers employed (Full Time Equivalent)]]=0,"",DATA[[#This Row],[Other manager 2: Current 2021/22 Maximum hourly pay rate ADJUSTED 2]]*DATA[[#This Row],[Other manager 2: Numbers employed (Full Time Equivalent)]]),"")</f>
        <v>10.93</v>
      </c>
      <c r="PH14" s="30">
        <f>IFERROR(IF(DATA[[#This Row],[Other manager 2: Numbers employed (Full Time Equivalent)]]=0,"",DATA[[#This Row],[Other manager 2: Previous 2020/21 Minimum hourly pay rate ADJUSTED 2]]*DATA[[#This Row],[Other manager 2: Numbers employed (Full Time Equivalent)]]),"")</f>
        <v>10.49</v>
      </c>
      <c r="PI14" s="30">
        <f>IFERROR(IF(DATA[[#This Row],[Other manager 2: Numbers employed (Full Time Equivalent)]]=0,"",DATA[[#This Row],[Other manager 2: Previous 2020/21 Maximum hourly pay rate ADJUSTED 2]]*DATA[[#This Row],[Other manager 2: Numbers employed (Full Time Equivalent)]]),"")</f>
        <v>10.49</v>
      </c>
      <c r="PJ14" s="30" t="str">
        <f>IFERROR(IF(DATA[[#This Row],[Other manager 3: Numbers employed (Full Time Equivalent)]]=0,"",DATA[[#This Row],[Other manager 3: Current 2021/22 Minimum hourly pay rate ADJUSTED 2]]*DATA[[#This Row],[Other manager 3: Numbers employed (Full Time Equivalent)]]),"")</f>
        <v/>
      </c>
      <c r="PK14" s="30" t="str">
        <f>IFERROR(IF(DATA[[#This Row],[Other manager 3: Numbers employed (Full Time Equivalent)]]=0,"",DATA[[#This Row],[Other manager 3: Current 2021/22 Maximum hourly pay rate ADJUSTED 2]]*DATA[[#This Row],[Other manager 3: Numbers employed (Full Time Equivalent)]]),"")</f>
        <v/>
      </c>
      <c r="PL14" s="30" t="str">
        <f>IFERROR(IF(DATA[[#This Row],[Other manager 3: Numbers employed (Full Time Equivalent)]]=0,"",DATA[[#This Row],[Other manager 3: Previous 2020/21 Minimum hourly pay rate ADJUSTED 2]]*DATA[[#This Row],[Other manager 3: Numbers employed (Full Time Equivalent)]]),"")</f>
        <v/>
      </c>
      <c r="PM14" s="30" t="str">
        <f>IFERROR(IF(DATA[[#This Row],[Other manager 3: Numbers employed (Full Time Equivalent)]]=0,"",DATA[[#This Row],[Other manager 3: Previous 2020/21 Maximum hourly pay rate ADJUSTED 2]]*DATA[[#This Row],[Other manager 3: Numbers employed (Full Time Equivalent)]]),"")</f>
        <v/>
      </c>
      <c r="PN14" s="30">
        <f>IFERROR(IF(DATA[[#This Row],[Care Assistant 1: Numbers employed (Full Time Equivalent)]]=0,"",DATA[[#This Row],[Care Assistant 1: Current 2021/22 Minimum hourly pay rate ADJUSTED 2]]*DATA[[#This Row],[Care Assistant 1: Numbers employed (Full Time Equivalent)]]),"")</f>
        <v>82.44</v>
      </c>
      <c r="PO14" s="30">
        <f>IFERROR(IF(DATA[[#This Row],[Care Assistant 1: Numbers employed (Full Time Equivalent)]]=0,"",DATA[[#This Row],[Care Assistant 1: Current 2021/22 Maximum hourly pay rate ADJUSTED 2]]*DATA[[#This Row],[Care Assistant 1: Numbers employed (Full Time Equivalent)]]),"")</f>
        <v>82.44</v>
      </c>
      <c r="PP14" s="30">
        <f>IFERROR(IF(DATA[[#This Row],[Care Assistant 1: Numbers employed (Full Time Equivalent)]]=0,"",DATA[[#This Row],[Care Assistant 1: Previous 2020/21 Minimum hourly pay rate ADJUSTED 2]]*DATA[[#This Row],[Care Assistant 1: Numbers employed (Full Time Equivalent)]]),"")</f>
        <v>78.48</v>
      </c>
      <c r="PQ14" s="30">
        <f>IFERROR(IF(DATA[[#This Row],[Care Assistant 1: Numbers employed (Full Time Equivalent)]]=0,"",DATA[[#This Row],[Care Assistant 1: Previous 2020/21 Maximum hourly pay rate ADJUSTED 2]]*DATA[[#This Row],[Care Assistant 1: Numbers employed (Full Time Equivalent)]]),"")</f>
        <v>78.48</v>
      </c>
      <c r="PR14" s="30">
        <f>IFERROR(IF(DATA[[#This Row],[Care Assistant 2: Numbers employed (Full Time Equivalent)]]=0,"",DATA[[#This Row],[Care Assistant 2: Current 2021/22 Minimum hourly pay rate ADJUSTED 2]]*DATA[[#This Row],[Care Assistant 2: Numbers employed (Full Time Equivalent)]]),"")</f>
        <v>37.24</v>
      </c>
      <c r="PS14" s="30">
        <f>IFERROR(IF(DATA[[#This Row],[Care Assistant 2: Numbers employed (Full Time Equivalent)]]=0,"",DATA[[#This Row],[Care Assistant 2: Current 2021/22 Maximum hourly pay rate ADJUSTED 2]]*DATA[[#This Row],[Care Assistant 2: Numbers employed (Full Time Equivalent)]]),"")</f>
        <v>37.24</v>
      </c>
      <c r="PT14" s="30">
        <f>IFERROR(IF(DATA[[#This Row],[Care Assistant 2: Numbers employed (Full Time Equivalent)]]=0,"",DATA[[#This Row],[Care Assistant 2: Previous 2020/21 Minimum hourly pay rate ADJUSTED 2]]*DATA[[#This Row],[Care Assistant 2: Numbers employed (Full Time Equivalent)]]),"")</f>
        <v>35.479999999999997</v>
      </c>
      <c r="PU14" s="30">
        <f>IFERROR(IF(DATA[[#This Row],[Care Assistant 2: Numbers employed (Full Time Equivalent)]]=0,"",DATA[[#This Row],[Care Assistant 2: Previous 2020/21 Maximum hourly pay rate ADJUSTED 2]]*DATA[[#This Row],[Care Assistant 2: Numbers employed (Full Time Equivalent)]]),"")</f>
        <v>35.479999999999997</v>
      </c>
      <c r="PV14" s="30">
        <f>IFERROR(IF(DATA[[#This Row],[Care Assistant 3: Numbers employed (Full Time Equivalent)]]=0,"",DATA[[#This Row],[Care Assistant 3: Current 2021/22 Minimum hourly pay rate ADJUSTED 2]]*DATA[[#This Row],[Care Assistant 3: Numbers employed (Full Time Equivalent)]]),"")</f>
        <v>126.49000000000001</v>
      </c>
      <c r="PW14" s="30">
        <f>IFERROR(IF(DATA[[#This Row],[Care Assistant 3: Numbers employed (Full Time Equivalent)]]=0,"",DATA[[#This Row],[Care Assistant 3: Current 2021/22 Maximum hourly pay rate ADJUSTED 2]]*DATA[[#This Row],[Care Assistant 3: Numbers employed (Full Time Equivalent)]]),"")</f>
        <v>126.49000000000001</v>
      </c>
      <c r="PX14" s="30">
        <f>IFERROR(IF(DATA[[#This Row],[Care Assistant 3: Numbers employed (Full Time Equivalent)]]=0,"",DATA[[#This Row],[Care Assistant 3: Previous 2020/21 Minimum hourly pay rate ADJUSTED 2]]*DATA[[#This Row],[Care Assistant 3: Numbers employed (Full Time Equivalent)]]),"")</f>
        <v>120.76999999999998</v>
      </c>
      <c r="PY14" s="30">
        <f>IFERROR(IF(DATA[[#This Row],[Care Assistant 3: Numbers employed (Full Time Equivalent)]]=0,"",DATA[[#This Row],[Care Assistant 3: Previous 2020/21 Maximum hourly pay rate ADJUSTED 2]]*DATA[[#This Row],[Care Assistant 3: Numbers employed (Full Time Equivalent)]]),"")</f>
        <v>120.76999999999998</v>
      </c>
      <c r="PZ14" s="30" t="str">
        <f>IFERROR(IF(DATA[[#This Row],[Care Assistant 4: Numbers employed (Full Time Equivalent)]]=0,"",DATA[[#This Row],[Care Assistant 4: Current 2021/22 Minimum hourly pay rate ADJUSTED 2]]*DATA[[#This Row],[Care Assistant 4: Numbers employed (Full Time Equivalent)]]),"")</f>
        <v/>
      </c>
      <c r="QA14" s="30" t="str">
        <f>IFERROR(IF(DATA[[#This Row],[Care Assistant 4: Numbers employed (Full Time Equivalent)]]=0,"",DATA[[#This Row],[Care Assistant 4: Current 2021/22 Maximum hourly pay rate ADJUSTED 2]]*DATA[[#This Row],[Care Assistant 4: Numbers employed (Full Time Equivalent)]]),"")</f>
        <v/>
      </c>
      <c r="QB14" s="30" t="str">
        <f>IFERROR(IF(DATA[[#This Row],[Care Assistant 4: Numbers employed (Full Time Equivalent)]]=0,"",DATA[[#This Row],[Care Assistant 4: Previous 2020/21 Minimum hourly pay rate ADJUSTED 2]]*DATA[[#This Row],[Care Assistant 4: Numbers employed (Full Time Equivalent)]]),"")</f>
        <v/>
      </c>
      <c r="QC14" s="30" t="str">
        <f>IFERROR(IF(DATA[[#This Row],[Care Assistant 4: Numbers employed (Full Time Equivalent)]]=0,"",DATA[[#This Row],[Care Assistant 4: Previous 2020/21 Maximum hourly pay rate ADJUSTED 2]]*DATA[[#This Row],[Care Assistant 4: Numbers employed (Full Time Equivalent)]]),"")</f>
        <v/>
      </c>
      <c r="QD14" s="30" t="str">
        <f>IFERROR(IF(DATA[[#This Row],[Administrative Officer 1: Numbers employed (Full Time Equivalent)]]=0,"",DATA[[#This Row],[Administrative Officer 1: Current 2021/22 Minimum hourly pay rate ADJUSTED 2]]*DATA[[#This Row],[Administrative Officer 1: Numbers employed (Full Time Equivalent)]]),"")</f>
        <v/>
      </c>
      <c r="QE14" s="30" t="str">
        <f>IFERROR(IF(DATA[[#This Row],[Administrative Officer 1: Numbers employed (Full Time Equivalent)]]=0,"",DATA[[#This Row],[Administrative Officer 1: Current 2021/22 Maximum hourly pay rate ADJUSTED 2]]*DATA[[#This Row],[Administrative Officer 1: Numbers employed (Full Time Equivalent)]]),"")</f>
        <v/>
      </c>
      <c r="QF14" s="30" t="str">
        <f>IFERROR(IF(DATA[[#This Row],[Administrative Officer 1: Numbers employed (Full Time Equivalent)]]=0,"",DATA[[#This Row],[Administrative Officer 1: Previous 2020/21 Minimum hourly pay rate ADJUSTED 2]]*DATA[[#This Row],[Administrative Officer 1: Numbers employed (Full Time Equivalent)]]),"")</f>
        <v/>
      </c>
      <c r="QG14" s="30" t="str">
        <f>IFERROR(IF(DATA[[#This Row],[Administrative Officer 1: Numbers employed (Full Time Equivalent)]]=0,"",DATA[[#This Row],[Administrative Officer 1: Previous 2020/21 Maximum hourly pay rate ADJUSTED 2]]*DATA[[#This Row],[Administrative Officer 1: Numbers employed (Full Time Equivalent)]]),"")</f>
        <v/>
      </c>
      <c r="QH14" s="30" t="str">
        <f>IFERROR(IF(DATA[[#This Row],[Administrative Officer 2: Numbers employed (Full Time Equivalent)]]=0,"",DATA[[#This Row],[Administrative Officer 2: Current 2021/22 Minimum hourly pay rate ADJUSTED 2]]*DATA[[#This Row],[Administrative Officer 2: Numbers employed (Full Time Equivalent)]]),"")</f>
        <v/>
      </c>
      <c r="QI14" s="30" t="str">
        <f>IFERROR(IF(DATA[[#This Row],[Administrative Officer 2: Numbers employed (Full Time Equivalent)]]=0,"",DATA[[#This Row],[Administrative Officer 2: Current 2021/22 Maximum hourly pay rate ADJUSTED 2]]*DATA[[#This Row],[Administrative Officer 2: Numbers employed (Full Time Equivalent)]]),"")</f>
        <v/>
      </c>
      <c r="QJ14" s="30" t="str">
        <f>IFERROR(IF(DATA[[#This Row],[Administrative Officer 2: Numbers employed (Full Time Equivalent)]]=0,"",DATA[[#This Row],[Administrative Officer 2: Previous 2020/21 Minimum hourly pay rate ADJUSTED 2]]*DATA[[#This Row],[Administrative Officer 2: Numbers employed (Full Time Equivalent)]]),"")</f>
        <v/>
      </c>
      <c r="QK14" s="30" t="str">
        <f>IFERROR(IF(DATA[[#This Row],[Administrative Officer 2: Numbers employed (Full Time Equivalent)]]=0,"",DATA[[#This Row],[Administrative Officer 2: Previous 2020/21 Maximum hourly pay rate ADJUSTED 2]]*DATA[[#This Row],[Administrative Officer 2: Numbers employed (Full Time Equivalent)]]),"")</f>
        <v/>
      </c>
      <c r="QL14" s="30" t="str">
        <f>IFERROR(IF(DATA[[#This Row],[Administrative Officer 3: Numbers employed (Full Time Equivalent)]]=0,"",DATA[[#This Row],[Administrative Officer 3: Current 2021/22 Minimum hourly pay rate ADJUSTED 2]]*DATA[[#This Row],[Administrative Officer 3: Numbers employed (Full Time Equivalent)]]),"")</f>
        <v/>
      </c>
      <c r="QM14" s="30" t="str">
        <f>IFERROR(IF(DATA[[#This Row],[Administrative Officer 3: Numbers employed (Full Time Equivalent)]]=0,"",DATA[[#This Row],[Administrative Officer 3: Current 2021/22 Maximum hourly pay rate ADJUSTED 2]]*DATA[[#This Row],[Administrative Officer 3: Numbers employed (Full Time Equivalent)]]),"")</f>
        <v/>
      </c>
      <c r="QN14" s="30" t="str">
        <f>IFERROR(IF(DATA[[#This Row],[Administrative Officer 3: Numbers employed (Full Time Equivalent)]]=0,"",DATA[[#This Row],[Administrative Officer 3: Previous 2020/21 Minimum hourly pay rate ADJUSTED 2]]*DATA[[#This Row],[Administrative Officer 3: Numbers employed (Full Time Equivalent)]]),"")</f>
        <v/>
      </c>
      <c r="QO14" s="30" t="str">
        <f>IFERROR(IF(DATA[[#This Row],[Administrative Officer 3: Numbers employed (Full Time Equivalent)]]=0,"",DATA[[#This Row],[Administrative Officer 3: Previous 2020/21 Maximum hourly pay rate ADJUSTED 2]]*DATA[[#This Row],[Administrative Officer 3: Numbers employed (Full Time Equivalent)]]),"")</f>
        <v/>
      </c>
      <c r="QP14" s="28" t="str">
        <f>IFERROR(IF(DATA[[#This Row],[Other staff 1: Numbers employed (Full Time Equivalent)]]=0,"",DATA[[#This Row],[Other staff 1: Current 2021/22 Minimum hourly pay rate ADJUSTED 2]]*DATA[[#This Row],[Other staff 1: Numbers employed (Full Time Equivalent)]]),"")</f>
        <v/>
      </c>
      <c r="QQ14" s="28" t="str">
        <f>IFERROR(IF(DATA[[#This Row],[Other staff 1: Numbers employed (Full Time Equivalent)]]=0,"",DATA[[#This Row],[Other staff 1: Current 2021/22 Maximum hourly pay rate ADJUSTED 2]]*DATA[[#This Row],[Other staff 1: Numbers employed (Full Time Equivalent)]]),"")</f>
        <v/>
      </c>
      <c r="QR14" s="28" t="str">
        <f>IFERROR(IF(DATA[[#This Row],[Other staff 1: Numbers employed (Full Time Equivalent)]]=0,"",DATA[[#This Row],[Other staff 1: Previous 2020/21 Minimum hourly pay rate ADJUSTED 2]]*DATA[[#This Row],[Other staff 1: Numbers employed (Full Time Equivalent)]]),"")</f>
        <v/>
      </c>
      <c r="QS14" s="28" t="str">
        <f>IFERROR(IF(DATA[[#This Row],[Other staff 1: Numbers employed (Full Time Equivalent)]]=0,"",DATA[[#This Row],[Other staff 1: Previous 2020/21 Maximum hourly pay rate ADJUSTED 2]]*DATA[[#This Row],[Other staff 1: Numbers employed (Full Time Equivalent)]]),"")</f>
        <v/>
      </c>
      <c r="QT14" s="28" t="str">
        <f>IFERROR(IF(DATA[[#This Row],[Other staff 2: Numbers employed (Full Time Equivalent)]]=0,"",DATA[[#This Row],[Other staff 2: Current 2021/22 Minimum hourly pay rate ADJUSTED 2]]*DATA[[#This Row],[Other staff 2: Numbers employed (Full Time Equivalent)]]),"")</f>
        <v/>
      </c>
      <c r="QU14" s="28" t="str">
        <f>IFERROR(IF(DATA[[#This Row],[Other staff 2: Numbers employed (Full Time Equivalent)]]=0,"",DATA[[#This Row],[Other staff 2: Current 2021/22 Maximum hourly pay rate ADJUSTED 2]]*DATA[[#This Row],[Other staff 2: Numbers employed (Full Time Equivalent)]]),"")</f>
        <v/>
      </c>
      <c r="QV14" s="28" t="str">
        <f>IFERROR(IF(DATA[[#This Row],[Other staff 2: Numbers employed (Full Time Equivalent)]]=0,"",DATA[[#This Row],[Other staff 2: Previous 2020/21 Minimum hourly pay rate ADJUSTED 2]]*DATA[[#This Row],[Other staff 2: Numbers employed (Full Time Equivalent)]]),"")</f>
        <v/>
      </c>
      <c r="QW14" s="28" t="str">
        <f>IFERROR(IF(DATA[[#This Row],[Other staff 2: Numbers employed (Full Time Equivalent)]]=0,"",DATA[[#This Row],[Other staff 2: Previous 2020/21 Maximum hourly pay rate ADJUSTED 2]]*DATA[[#This Row],[Other staff 2: Numbers employed (Full Time Equivalent)]]),"")</f>
        <v/>
      </c>
      <c r="QX14" s="28" t="str">
        <f>IFERROR(IF(DATA[[#This Row],[Other staff 3: Numbers employed (Full Time Equivalent)]]=0,"",DATA[[#This Row],[Other staff 3: Current 2021/22 Minimum hourly pay rate ADJUSTED 2]]*DATA[[#This Row],[Other staff 3: Numbers employed (Full Time Equivalent)]]),"")</f>
        <v/>
      </c>
      <c r="QY14" s="28" t="str">
        <f>IFERROR(IF(DATA[[#This Row],[Other staff 3: Numbers employed (Full Time Equivalent)]]=0,"",DATA[[#This Row],[Other staff 3: Current 2021/22 Maximum hourly pay rate ADJUSTED 2]]*DATA[[#This Row],[Other staff 3: Numbers employed (Full Time Equivalent)]]),"")</f>
        <v/>
      </c>
      <c r="QZ14" s="28" t="str">
        <f>IFERROR(IF(DATA[[#This Row],[Other staff 3: Numbers employed (Full Time Equivalent)]]=0,"",DATA[[#This Row],[Other staff 3: Previous 2020/21 Minimum hourly pay rate ADJUSTED 2]]*DATA[[#This Row],[Other staff 3: Numbers employed (Full Time Equivalent)]]),"")</f>
        <v/>
      </c>
      <c r="RA14" s="28" t="str">
        <f>IFERROR(IF(DATA[[#This Row],[Other staff 3: Numbers employed (Full Time Equivalent)]]=0,"",DATA[[#This Row],[Other staff 3: Previous 2020/21 Maximum hourly pay rate ADJUSTED 2]]*DATA[[#This Row],[Other staff 3: Numbers employed (Full Time Equivalent)]]),"")</f>
        <v/>
      </c>
      <c r="RB14"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14"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14"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14"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14"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14"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9</v>
      </c>
      <c r="RH14"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4</v>
      </c>
      <c r="RI14"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13</v>
      </c>
      <c r="RJ14"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14"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14"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14"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14"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14"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14"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15" spans="1:484" x14ac:dyDescent="0.25">
      <c r="G15" s="2">
        <v>9</v>
      </c>
      <c r="H15" s="2">
        <v>20</v>
      </c>
      <c r="I15" s="2">
        <v>1</v>
      </c>
      <c r="J15" s="2">
        <v>0.95</v>
      </c>
      <c r="K15" s="2">
        <v>0.05</v>
      </c>
      <c r="L15" s="2" t="s">
        <v>328</v>
      </c>
      <c r="M15" s="2" t="s">
        <v>328</v>
      </c>
      <c r="R15" s="2">
        <v>29.67</v>
      </c>
      <c r="S15" s="2">
        <v>29.67</v>
      </c>
      <c r="T15" s="2">
        <v>29.08</v>
      </c>
      <c r="U15" s="2">
        <v>29.08</v>
      </c>
      <c r="V15" s="2">
        <v>0.5</v>
      </c>
      <c r="W15" s="2">
        <v>0</v>
      </c>
      <c r="X15" s="2">
        <v>0</v>
      </c>
      <c r="Y15" s="2">
        <v>0</v>
      </c>
      <c r="Z15" s="2">
        <v>0</v>
      </c>
      <c r="AA15" s="2">
        <v>0</v>
      </c>
      <c r="AB15" s="2" t="s">
        <v>359</v>
      </c>
      <c r="AC15" s="2">
        <v>13.55</v>
      </c>
      <c r="AD15" s="2">
        <v>13.55</v>
      </c>
      <c r="AE15" s="2">
        <v>13.29</v>
      </c>
      <c r="AF15" s="2">
        <v>13.29</v>
      </c>
      <c r="AG15" s="2">
        <v>1</v>
      </c>
      <c r="AH15" s="2" t="s">
        <v>360</v>
      </c>
      <c r="AI15" s="2">
        <v>15.52</v>
      </c>
      <c r="AJ15" s="2">
        <v>15.52</v>
      </c>
      <c r="AK15" s="2">
        <v>15.21</v>
      </c>
      <c r="AL15" s="2">
        <v>15.21</v>
      </c>
      <c r="AM15" s="2">
        <v>0.1</v>
      </c>
      <c r="AN15" s="2" t="s">
        <v>315</v>
      </c>
      <c r="AO15" s="2">
        <v>0</v>
      </c>
      <c r="AP15" s="2">
        <v>0</v>
      </c>
      <c r="AQ15" s="2">
        <v>0</v>
      </c>
      <c r="AR15" s="2">
        <v>0</v>
      </c>
      <c r="AS15" s="2">
        <v>0</v>
      </c>
      <c r="AT15" s="2" t="s">
        <v>361</v>
      </c>
      <c r="AU15" s="2">
        <v>11.29</v>
      </c>
      <c r="AV15" s="2">
        <v>11.29</v>
      </c>
      <c r="AW15" s="2">
        <v>11.07</v>
      </c>
      <c r="AX15" s="2">
        <v>11.07</v>
      </c>
      <c r="AY15" s="2">
        <v>2</v>
      </c>
      <c r="AZ15" s="2" t="s">
        <v>361</v>
      </c>
      <c r="BA15" s="2">
        <v>10.51</v>
      </c>
      <c r="BB15" s="2">
        <v>10.51</v>
      </c>
      <c r="BC15" s="2">
        <v>10.31</v>
      </c>
      <c r="BD15" s="2">
        <v>10.31</v>
      </c>
      <c r="BE15" s="2">
        <v>1.5</v>
      </c>
      <c r="BF15" s="2" t="s">
        <v>361</v>
      </c>
      <c r="BG15" s="2">
        <v>10.130000000000001</v>
      </c>
      <c r="BH15" s="2">
        <v>10.130000000000001</v>
      </c>
      <c r="BI15" s="2">
        <v>9.93</v>
      </c>
      <c r="BJ15" s="2">
        <v>9.93</v>
      </c>
      <c r="BK15" s="2">
        <v>5.35</v>
      </c>
      <c r="BL15" s="2" t="s">
        <v>361</v>
      </c>
      <c r="BM15" s="2">
        <v>9.94</v>
      </c>
      <c r="BN15" s="2">
        <v>9.94</v>
      </c>
      <c r="BO15" s="2">
        <v>9.52</v>
      </c>
      <c r="BP15" s="2">
        <v>9.52</v>
      </c>
      <c r="BQ15" s="2">
        <v>5.75</v>
      </c>
      <c r="BR15" s="2" t="s">
        <v>317</v>
      </c>
      <c r="BS15" s="2">
        <v>0</v>
      </c>
      <c r="BT15" s="2">
        <v>0</v>
      </c>
      <c r="BU15" s="2">
        <v>0</v>
      </c>
      <c r="BV15" s="2">
        <v>0</v>
      </c>
      <c r="BW15" s="2">
        <v>0</v>
      </c>
      <c r="BX15" s="2" t="s">
        <v>317</v>
      </c>
      <c r="BY15" s="2">
        <v>0</v>
      </c>
      <c r="BZ15" s="2">
        <v>0</v>
      </c>
      <c r="CA15" s="2">
        <v>0</v>
      </c>
      <c r="CB15" s="2">
        <v>0</v>
      </c>
      <c r="CC15" s="2">
        <v>0</v>
      </c>
      <c r="CD15" s="2" t="s">
        <v>317</v>
      </c>
      <c r="CE15" s="2">
        <v>0</v>
      </c>
      <c r="CF15" s="2">
        <v>0</v>
      </c>
      <c r="CG15" s="2">
        <v>0</v>
      </c>
      <c r="CH15" s="2">
        <v>0</v>
      </c>
      <c r="CI15" s="2">
        <v>0</v>
      </c>
      <c r="CJ15" s="2" t="s">
        <v>318</v>
      </c>
      <c r="CK15" s="2">
        <v>0</v>
      </c>
      <c r="CL15" s="2">
        <v>0</v>
      </c>
      <c r="CM15" s="2">
        <v>0</v>
      </c>
      <c r="CN15" s="2">
        <v>0</v>
      </c>
      <c r="CO15" s="2">
        <v>0</v>
      </c>
      <c r="CP15" s="2" t="s">
        <v>318</v>
      </c>
      <c r="CQ15" s="2">
        <v>0</v>
      </c>
      <c r="CR15" s="2">
        <v>0</v>
      </c>
      <c r="CS15" s="2">
        <v>0</v>
      </c>
      <c r="CT15" s="2">
        <v>0</v>
      </c>
      <c r="CU15" s="2">
        <v>0</v>
      </c>
      <c r="CV15" s="2" t="s">
        <v>318</v>
      </c>
      <c r="CW15" s="2">
        <v>0</v>
      </c>
      <c r="CX15" s="2">
        <v>0</v>
      </c>
      <c r="CY15" s="2">
        <v>0</v>
      </c>
      <c r="CZ15" s="2">
        <v>0</v>
      </c>
      <c r="DA15" s="2">
        <v>0</v>
      </c>
      <c r="DB15" s="2">
        <v>6.4000000000000001E-2</v>
      </c>
      <c r="DC15" s="2">
        <v>584.29999999999995</v>
      </c>
      <c r="DD15" s="2">
        <v>46</v>
      </c>
      <c r="DE15" s="2">
        <v>0</v>
      </c>
      <c r="DF15" s="2">
        <v>0</v>
      </c>
      <c r="DG15" s="2">
        <v>0</v>
      </c>
      <c r="DH15" s="2">
        <v>0</v>
      </c>
      <c r="DI15" s="2">
        <v>17</v>
      </c>
      <c r="DJ15" s="2">
        <v>0</v>
      </c>
      <c r="DK15" s="2">
        <v>0</v>
      </c>
      <c r="DL15" s="2">
        <v>0</v>
      </c>
      <c r="DM15" s="2">
        <v>0</v>
      </c>
      <c r="DN15" s="2">
        <v>0</v>
      </c>
      <c r="DO15" s="2">
        <v>15.53</v>
      </c>
      <c r="DP15" s="2">
        <v>0</v>
      </c>
      <c r="DQ15" s="2">
        <v>0</v>
      </c>
      <c r="DR15" s="18">
        <v>43922</v>
      </c>
      <c r="DS15" s="18">
        <v>44286</v>
      </c>
      <c r="DT15" s="2">
        <v>31839</v>
      </c>
      <c r="DU15" s="2">
        <v>33175.56</v>
      </c>
      <c r="DV15" s="2">
        <v>358389.11</v>
      </c>
      <c r="DW15" s="2">
        <v>0</v>
      </c>
      <c r="DX15" s="2">
        <v>0</v>
      </c>
      <c r="DY15" s="2">
        <v>8817.94</v>
      </c>
      <c r="DZ15" s="2">
        <v>1355.72</v>
      </c>
      <c r="EA15" s="2">
        <v>8840</v>
      </c>
      <c r="EB15" s="2">
        <v>2989</v>
      </c>
      <c r="EC15" s="2">
        <v>117</v>
      </c>
      <c r="ED15" s="2">
        <v>715.71</v>
      </c>
      <c r="EE15" s="2">
        <v>1865.94</v>
      </c>
      <c r="EF15" s="2">
        <v>0</v>
      </c>
      <c r="EG15" s="2">
        <v>5127.26</v>
      </c>
      <c r="EH15" s="2" t="s">
        <v>362</v>
      </c>
      <c r="EI15" s="2">
        <v>678.91</v>
      </c>
      <c r="EJ15" s="2" t="s">
        <v>324</v>
      </c>
      <c r="EK15" s="2">
        <v>0</v>
      </c>
      <c r="EL15" s="2">
        <v>3192.02</v>
      </c>
      <c r="EM15" s="2">
        <v>353.85</v>
      </c>
      <c r="EN15" s="2">
        <v>15.12</v>
      </c>
      <c r="EO15" s="2">
        <v>1144.77</v>
      </c>
      <c r="EP15" s="2">
        <v>0</v>
      </c>
      <c r="EQ15" s="2">
        <v>1481.06</v>
      </c>
      <c r="ER15" s="2">
        <v>0</v>
      </c>
      <c r="ES15" s="2">
        <v>0</v>
      </c>
      <c r="ET15" s="2" t="s">
        <v>324</v>
      </c>
      <c r="EU15" s="2">
        <v>0</v>
      </c>
      <c r="EV15" s="2" t="s">
        <v>324</v>
      </c>
      <c r="EW15" s="2">
        <v>0</v>
      </c>
      <c r="EX15" s="2">
        <v>0</v>
      </c>
      <c r="EY15" s="2">
        <v>46878.27</v>
      </c>
      <c r="EZ15" s="2" t="s">
        <v>363</v>
      </c>
      <c r="FA15" s="2">
        <v>8728.25</v>
      </c>
      <c r="FB15" s="2" t="s">
        <v>326</v>
      </c>
      <c r="FC15" s="2">
        <v>0</v>
      </c>
      <c r="FD15" s="2">
        <v>2314.1</v>
      </c>
      <c r="FE15" s="2">
        <v>0</v>
      </c>
      <c r="FF15" s="2">
        <v>0</v>
      </c>
      <c r="FG15" s="2"/>
      <c r="FH15" s="19">
        <v>44480.623483796298</v>
      </c>
      <c r="FI15" s="2" t="s">
        <v>345</v>
      </c>
      <c r="FJ15" s="2">
        <f>SUM(DATA[[#This Row],[Number of Home support clients:]],DATA[[#This Row],[Number of supported living clients:]])</f>
        <v>21</v>
      </c>
      <c r="FK15"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15"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29.67</v>
      </c>
      <c r="FM15"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29.67</v>
      </c>
      <c r="FN15"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29.08</v>
      </c>
      <c r="FO15"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29.08</v>
      </c>
      <c r="FP15"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15"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15"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15"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15"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13.55</v>
      </c>
      <c r="FU15"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13.55</v>
      </c>
      <c r="FV15"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13.29</v>
      </c>
      <c r="FW15"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13.29</v>
      </c>
      <c r="FX15"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15.52</v>
      </c>
      <c r="FY15"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15.52</v>
      </c>
      <c r="FZ15"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15.21</v>
      </c>
      <c r="GA15"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15.21</v>
      </c>
      <c r="GB15"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15"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15"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15"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15"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11.29</v>
      </c>
      <c r="GG15"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11.29</v>
      </c>
      <c r="GH15"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11.07</v>
      </c>
      <c r="GI15"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11.07</v>
      </c>
      <c r="GJ15"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10.51</v>
      </c>
      <c r="GK15"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10.51</v>
      </c>
      <c r="GL15"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10.31</v>
      </c>
      <c r="GM15"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10.31</v>
      </c>
      <c r="GN15"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10.130000000000001</v>
      </c>
      <c r="GO15"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10.130000000000001</v>
      </c>
      <c r="GP15"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9.93</v>
      </c>
      <c r="GQ15"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9.93</v>
      </c>
      <c r="GR15"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9.94</v>
      </c>
      <c r="GS15"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9.94</v>
      </c>
      <c r="GT15"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9.52</v>
      </c>
      <c r="GU15"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9.52</v>
      </c>
      <c r="GV15"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15"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15"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15"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15"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15"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15"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15"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15"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15"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15"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5"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5"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15"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15"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15"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15"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15"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15"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15"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15"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15"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15"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15"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15"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29.67</v>
      </c>
      <c r="HU15"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29.67</v>
      </c>
      <c r="HV15"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29.08</v>
      </c>
      <c r="HW15"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29.08</v>
      </c>
      <c r="HX15"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15"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15"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15"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15"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13.55</v>
      </c>
      <c r="IC15"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13.55</v>
      </c>
      <c r="ID15"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13.29</v>
      </c>
      <c r="IE15"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13.29</v>
      </c>
      <c r="IF15"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15.52</v>
      </c>
      <c r="IG15"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15.52</v>
      </c>
      <c r="IH15"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15.21</v>
      </c>
      <c r="II15"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15.21</v>
      </c>
      <c r="IJ15"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15"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15"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15"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15"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11.29</v>
      </c>
      <c r="IO15"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11.29</v>
      </c>
      <c r="IP15"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11.07</v>
      </c>
      <c r="IQ15"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11.07</v>
      </c>
      <c r="IR15"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10.51</v>
      </c>
      <c r="IS15"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10.51</v>
      </c>
      <c r="IT15"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10.31</v>
      </c>
      <c r="IU15"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10.31</v>
      </c>
      <c r="IV15"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10.130000000000001</v>
      </c>
      <c r="IW15"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10.130000000000001</v>
      </c>
      <c r="IX15"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9.93</v>
      </c>
      <c r="IY15"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9.93</v>
      </c>
      <c r="IZ15"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9.94</v>
      </c>
      <c r="JA15"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9.94</v>
      </c>
      <c r="JB15"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9.52</v>
      </c>
      <c r="JC15"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9.52</v>
      </c>
      <c r="JD15"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15"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15"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15"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15"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15"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15"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15"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15"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15"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15"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15"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15"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15"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15"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15"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15"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15"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15"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15"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15"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15"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15"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15"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15"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1.6</v>
      </c>
      <c r="KC15" s="21">
        <f>SUM(DATA[[#This Row],[Care Assistant 1: Numbers employed (Full Time Equivalent)]],DATA[[#This Row],[Care Assistant 2: Numbers employed (Full Time Equivalent)]],DATA[[#This Row],[Care Assistant 3: Numbers employed (Full Time Equivalent)]],DATA[[#This Row],[Care Assistant 4: Numbers employed (Full Time Equivalent)]])</f>
        <v>14.6</v>
      </c>
      <c r="KD15" s="21">
        <f>SUM(DATA[[#This Row],[Administrative Officer 1: Numbers employed (Full Time Equivalent)]],DATA[[#This Row],[Administrative Officer 2: Numbers employed (Full Time Equivalent)]])</f>
        <v>0</v>
      </c>
      <c r="KE15" s="21">
        <f>SUM(DATA[[#This Row],[Other staff 1: Numbers employed (Full Time Equivalent)]],DATA[[#This Row],[Other staff 2: Numbers employed (Full Time Equivalent)]],DATA[[#This Row],[Other staff 3: Numbers employed (Full Time Equivalent)]])</f>
        <v>0</v>
      </c>
      <c r="KF15" s="21">
        <f>SUM(DATA[[#This Row],[Total FTE Management Employees]:[Total FTE Other Employees]])</f>
        <v>16.2</v>
      </c>
      <c r="KG15" s="21" t="str">
        <f>IF(SUM(DATA[[#This Row],[Home Support service split percentage (Expenditure):]],DATA[[#This Row],[Supported Living service split percentage (Expenditure):]])&gt;0, IF(DATA[[#This Row],[Home Support service split percentage (Expenditure):]]&gt;0.5,"Home Support","Supported Living"), "Unknown")</f>
        <v>Home Support</v>
      </c>
      <c r="KH15" s="21">
        <f>SUM(DATA[[#This Row],[Home Support: Birmingham City Council]:[Home Support: Self-funded]])</f>
        <v>630.29999999999995</v>
      </c>
      <c r="KI15" s="21">
        <f>SUM(DATA[[#This Row],[Supported Living: Birmingham City Council]:[Supported Living: Self-funded]])</f>
        <v>17</v>
      </c>
      <c r="KJ15"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15"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15"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15"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15" s="21" t="b">
        <f>SUM(DATA[[#This Row],[Number of hours of care charged for in last full accounting year]:[Corporate Overheads: Other  - please specify (category) 1]])&gt;0</f>
        <v>1</v>
      </c>
      <c r="KO15" s="21">
        <f>SUM(DATA[[#This Row],[Total annual expenditure: Management staff]:[Total annual expenditure: Training and development]])</f>
        <v>413567.32999999996</v>
      </c>
      <c r="KP15" s="21">
        <f>SUM(DATA[[#This Row],[Recruitment &amp; advertising (including DBS checks)]:[Non-Staffing Direct Cost: Other  - please specify (amount) 2]])</f>
        <v>8504.82</v>
      </c>
      <c r="KQ15" s="21">
        <f>SUM(DATA[[#This Row],[Insurance ]:[Indirect costs: Other 2 - please specify (amount)]])</f>
        <v>6186.82</v>
      </c>
      <c r="KR15" s="21">
        <f>SUM(DATA[[#This Row],[Central / Regional Management]],DATA[[#This Row],[Support Services (finance / HR / Payroll / legal etc.)]],DATA[[#This Row],[Corporate Overheads: Other  - please specify (amount) 1]],DATA[[#This Row],[Corporate Overheads: Other  - please specify (amount) 2]])</f>
        <v>55606.52</v>
      </c>
      <c r="KS15"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1.0419787053613492</v>
      </c>
      <c r="KT15"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11.256292911209522</v>
      </c>
      <c r="KU15"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15"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5" s="30">
        <f>IF(OR(NOT(DATA[[#This Row],[Total annual expenditure: Agency staff]]&gt;0),NOT(DATA[[#This Row],[Number of hours of care charged for in last full accounting year]]&gt;0)),0,DATA[[#This Row],[Total annual expenditure: Agency staff]]/DATA[[#This Row],[Number of hours of care charged for in last full accounting year]])</f>
        <v>0.27695405006438645</v>
      </c>
      <c r="KX15" s="30">
        <f>IF(OR(NOT(DATA[[#This Row],[Total annual expenditure: Travel Cost]]&gt;0),NOT(DATA[[#This Row],[Number of hours of care charged for in last full accounting year]]&gt;0)),0,DATA[[#This Row],[Total annual expenditure: Travel Cost]]/DATA[[#This Row],[Number of hours of care charged for in last full accounting year]])</f>
        <v>4.2580483055372341E-2</v>
      </c>
      <c r="KY15" s="30">
        <f>IF(OR(NOT(DATA[[#This Row],[Total annual expenditure: Travel Time]]&gt;0),NOT(DATA[[#This Row],[Number of hours of care charged for in last full accounting year]]&gt;0)),0,DATA[[#This Row],[Total annual expenditure: Travel Time]]/DATA[[#This Row],[Number of hours of care charged for in last full accounting year]])</f>
        <v>0.2776469110210748</v>
      </c>
      <c r="KZ15"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9.3878576588460688E-2</v>
      </c>
      <c r="LA15"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3.6747385282201073E-3</v>
      </c>
      <c r="LB15"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2.2479035145576181E-2</v>
      </c>
      <c r="LC15" s="30">
        <f>IF(OR(NOT(DATA[[#This Row],[Care consumables &amp; uniforms]]&gt;0),NOT(DATA[[#This Row],[Number of hours of care charged for in last full accounting year]]&gt;0)),0,DATA[[#This Row],[Care consumables &amp; uniforms]]/DATA[[#This Row],[Number of hours of care charged for in last full accounting year]])</f>
        <v>5.8605483840572882E-2</v>
      </c>
      <c r="LD15" s="30">
        <f>IF(OR(NOT(DATA[[#This Row],[Electronic call monitoring]]&gt;0),NOT(DATA[[#This Row],[Number of hours of care charged for in last full accounting year]]&gt;0)),0,DATA[[#This Row],[Electronic call monitoring]]/DATA[[#This Row],[Number of hours of care charged for in last full accounting year]])</f>
        <v>0</v>
      </c>
      <c r="LE15" s="30">
        <f>IF(OR(NOT(DATA[[#This Row],[IT Equipment &amp; Telephoney]]&gt;0),NOT(DATA[[#This Row],[Number of hours of care charged for in last full accounting year]]&gt;0)),0,DATA[[#This Row],[IT Equipment &amp; Telephoney]]/DATA[[#This Row],[Number of hours of care charged for in last full accounting year]])</f>
        <v>0.16103709287351992</v>
      </c>
      <c r="LF15"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2.1323219950375324E-2</v>
      </c>
      <c r="LG15"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15" s="30">
        <f>IF(OR(NOT(DATA[[#This Row],[Insurance ]]&gt;0),NOT(DATA[[#This Row],[Number of hours of care charged for in last full accounting year]]&gt;0)),0,DATA[[#This Row],[Insurance ]]/DATA[[#This Row],[Number of hours of care charged for in last full accounting year]])</f>
        <v>0.1002550331354628</v>
      </c>
      <c r="LI15"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1.1113728446245173E-2</v>
      </c>
      <c r="LJ15" s="30">
        <f>IF(OR(NOT(DATA[[#This Row],[Repairs and maintenance]]&gt;0),NOT(DATA[[#This Row],[Number of hours of care charged for in last full accounting year]]&gt;0)),0,DATA[[#This Row],[Repairs and maintenance]]/DATA[[#This Row],[Number of hours of care charged for in last full accounting year]])</f>
        <v>4.7488928672382924E-4</v>
      </c>
      <c r="LK15"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3.5954960897013097E-2</v>
      </c>
      <c r="LL15" s="30">
        <f>IF(OR(NOT(DATA[[#This Row],[Registration &amp; Inspection fees ]]&gt;0),NOT(DATA[[#This Row],[Number of hours of care charged for in last full accounting year]]&gt;0)),0,DATA[[#This Row],[Registration &amp; Inspection fees ]]/DATA[[#This Row],[Number of hours of care charged for in last full accounting year]])</f>
        <v>0</v>
      </c>
      <c r="LM15" s="30">
        <f>IF(OR(NOT(DATA[[#This Row],[Subscriptions]]&gt;0),NOT(DATA[[#This Row],[Number of hours of care charged for in last full accounting year]]&gt;0)),0,DATA[[#This Row],[Subscriptions]]/DATA[[#This Row],[Number of hours of care charged for in last full accounting year]])</f>
        <v>4.6517164483809166E-2</v>
      </c>
      <c r="LN15" s="30">
        <f>IF(OR(NOT(DATA[[#This Row],[Cost of finance]]&gt;0),NOT(DATA[[#This Row],[Number of hours of care charged for in last full accounting year]]&gt;0)),0,DATA[[#This Row],[Cost of finance]]/DATA[[#This Row],[Number of hours of care charged for in last full accounting year]])</f>
        <v>0</v>
      </c>
      <c r="LO15" s="30">
        <f>IF(OR(NOT(DATA[[#This Row],[Other non-staff current expenses]]&gt;0),NOT(DATA[[#This Row],[Number of hours of care charged for in last full accounting year]]&gt;0)),0,DATA[[#This Row],[Other non-staff current expenses]]/DATA[[#This Row],[Number of hours of care charged for in last full accounting year]])</f>
        <v>0</v>
      </c>
      <c r="LP15"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15"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15" s="30">
        <f>IF(OR(NOT(DATA[[#This Row],[Central / Regional Management]]&gt;0),NOT(DATA[[#This Row],[Number of hours of care charged for in last full accounting year]]&gt;0)),0,DATA[[#This Row],[Central / Regional Management]]/DATA[[#This Row],[Number of hours of care charged for in last full accounting year]])</f>
        <v>0</v>
      </c>
      <c r="LS15"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1.4723537171393573</v>
      </c>
      <c r="LT15"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0.27413706460630044</v>
      </c>
      <c r="LU15"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15" s="30">
        <f>SUM(DATA[[#This Row],[Management staff HOURLY RATE]:[Corporate Overheads: Other  - please specify (amount) 2 HOURLY RATE]])</f>
        <v>15.197257765633344</v>
      </c>
      <c r="LW15" s="30">
        <f>IF(OR(NOT(DATA[[#This Row],[Net Operating Profit]]&gt;0),NOT(DATA[[#This Row],[Number of hours of care charged for in last full accounting year]]&gt;0)),"",DATA[[#This Row],[Net Operating Profit]]/DATA[[#This Row],[Number of hours of care charged for in last full accounting year]])</f>
        <v>7.2681302804736322E-2</v>
      </c>
      <c r="LX15" s="30">
        <f>IF(OR(NOT(DATA[[#This Row],[Return on Capital employed]]&gt;0),NOT(DATA[[#This Row],[Number of hours of care charged for in last full accounting year]]&gt;0)),0,DATA[[#This Row],[Return on Capital employed]]/DATA[[#This Row],[Number of hours of care charged for in last full accounting year]])</f>
        <v>0</v>
      </c>
      <c r="LY15" s="31">
        <v>9</v>
      </c>
      <c r="LZ15" s="30" t="s">
        <v>345</v>
      </c>
      <c r="MA15" s="30" t="b">
        <f>DATA[[#This Row],[Number of Home support clients:]]&gt;0</f>
        <v>1</v>
      </c>
      <c r="MB15" s="30" t="b">
        <f>DATA[[#This Row],[Number of supported living clients:]]&gt;0</f>
        <v>1</v>
      </c>
      <c r="MC15" s="30" t="b">
        <f>DATA[[#This Row],[Total Home Support Hours]]&gt;0</f>
        <v>1</v>
      </c>
      <c r="MD15" s="30" t="b">
        <f>DATA[[#This Row],[Total Supported Living Hours]]&gt;0</f>
        <v>1</v>
      </c>
      <c r="ME15" s="30" t="b">
        <f>DATA[[#This Row],[Home Support service split percentage (Expenditure):]]&gt;0.5</f>
        <v>1</v>
      </c>
      <c r="MF15" s="30" t="b">
        <f>DATA[[#This Row],[Agency staff HOURLY RATE]]=0</f>
        <v>0</v>
      </c>
      <c r="MG15" s="30">
        <f>IFERROR(IF(AVERAGE(DATA[[#This Row],[Registered manager: Current 2021/22 Minimum hourly pay rate ADJUSTED]],DATA[[#This Row],[Registered manager: Current 2021/22 Maximum hourly pay rate ADJUSTED]])&lt;LIVING_WAGE_22_23,DATA[[#This Row],[Registered manager: Numbers employed (Full Time Equivalent)]],0),"")</f>
        <v>0</v>
      </c>
      <c r="MH15" s="30" t="str">
        <f>IFERROR(IF(AVERAGE(DATA[[#This Row],[Deputy manager: Current 2021/22 Minimum hourly pay rate ADJUSTED]],DATA[[#This Row],[Deputy manager: Current 2021/22 Maximum hourly pay rate ADJUSTED]])&lt;LIVING_WAGE_22_23,DATA[[#This Row],[Deputy manager: Numbers employed (Full Time Equivalent)]],0),"")</f>
        <v/>
      </c>
      <c r="MI15" s="30">
        <f>IFERROR(IF(AVERAGE(DATA[[#This Row],[Other manager 1: Current 2021/22 Minimum hourly pay rate ADJUSTED]],DATA[[#This Row],[Other manager 1: Current 2021/22 Maximum hourly pay rate ADJUSTED]])&lt;LIVING_WAGE_22_23,DATA[[#This Row],[Other manager 1: Numbers employed (Full Time Equivalent)]],0),"")</f>
        <v>0</v>
      </c>
      <c r="MJ15" s="30">
        <f>IFERROR(IF(AVERAGE(DATA[[#This Row],[Other manager 2: Current 2021/22 Minimum hourly pay rate ADJUSTED]],DATA[[#This Row],[Other manager 2: Current 2021/22 Maximum hourly pay rate ADJUSTED]])&lt;LIVING_WAGE_22_23,DATA[[#This Row],[Other manager 2: Numbers employed (Full Time Equivalent)]],0),"")</f>
        <v>0</v>
      </c>
      <c r="MK15" s="30" t="str">
        <f>IFERROR(IF(AVERAGE(DATA[[#This Row],[Other manager 3: Current 2021/22 Minimum hourly pay rate ADJUSTED]],DATA[[#This Row],[Other manager 3: Current 2021/22 Maximum hourly pay rate ADJUSTED]])&lt;LIVING_WAGE_22_23,DATA[[#This Row],[Other manager 3: Numbers employed (Full Time Equivalent)]],0),"")</f>
        <v/>
      </c>
      <c r="ML15" s="30">
        <f>IFERROR(IF(AVERAGE(DATA[[#This Row],[Care Assistant 1: Current 2021/22 Minimum hourly pay rate ADJUSTED]],DATA[[#This Row],[Care Assistant 1: Current 2021/22 Maximum hourly pay rate ADJUSTED]])&lt;LIVING_WAGE_22_23,DATA[[#This Row],[Care Assistant 1: Numbers employed (Full Time Equivalent)]],0),"")</f>
        <v>0</v>
      </c>
      <c r="MM15" s="30">
        <f>IFERROR(IF(AVERAGE(DATA[[#This Row],[Care Assistant 2: Current 2021/22 Minimum hourly pay rate ADJUSTED]],DATA[[#This Row],[Care Assistant 2: Current 2021/22 Maximum hourly pay rate ADJUSTED]])&lt;LIVING_WAGE_22_23,DATA[[#This Row],[Care Assistant 2: Numbers employed (Full Time Equivalent)]],0),"")</f>
        <v>0</v>
      </c>
      <c r="MN15" s="30">
        <f>IFERROR(IF(AVERAGE(DATA[[#This Row],[Care Assistant 3: Current 2021/22 Minimum hourly pay rate ADJUSTED]],DATA[[#This Row],[Care Assistant 3: Current 2021/22 Maximum hourly pay rate ADJUSTED]])&lt;LIVING_WAGE_22_23,DATA[[#This Row],[Care Assistant 3: Numbers employed (Full Time Equivalent)]],0),"")</f>
        <v>0</v>
      </c>
      <c r="MO15" s="30">
        <f>IFERROR(IF(AVERAGE(DATA[[#This Row],[Care Assistant 4: Current 2021/22 Minimum hourly pay rate ADJUSTED]],DATA[[#This Row],[Care Assistant 4: Current 2021/22 Maximum hourly pay rate ADJUSTED]])&lt;LIVING_WAGE_22_23,DATA[[#This Row],[Care Assistant 4: Numbers employed (Full Time Equivalent)]],0),"")</f>
        <v>0</v>
      </c>
      <c r="MP15"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15"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15" s="30" t="str">
        <f>IFERROR(IF(AVERAGE(DATA[[#This Row],[Other staff 1: Current 2021/22 Minimum hourly pay rate ADJUSTED]],DATA[[#This Row],[Other staff 1: Current 2021/22 Maximum hourly pay rate ADJUSTED]])&lt;LIVING_WAGE_22_23,DATA[[#This Row],[Other staff 1: Numbers employed (Full Time Equivalent)]],0),"")</f>
        <v/>
      </c>
      <c r="MS15" s="30" t="str">
        <f>IFERROR(IF(AVERAGE(DATA[[#This Row],[Other staff 2: Current 2021/22 Minimum hourly pay rate ADJUSTED]],DATA[[#This Row],[Other staff 2: Current 2021/22 Maximum hourly pay rate ADJUSTED]])&lt;LIVING_WAGE_22_23,DATA[[#This Row],[Other staff 2: Numbers employed (Full Time Equivalent)]],0),"")</f>
        <v/>
      </c>
      <c r="MT15" s="30" t="str">
        <f>IFERROR(IF(AVERAGE(DATA[[#This Row],[Other staff 3: Current 2021/22 Minimum hourly pay rate ADJUSTED]],DATA[[#This Row],[Other staff 3: Current 2021/22 Maximum hourly pay rate ADJUSTED]])&lt;LIVING_WAGE_22_23,DATA[[#This Row],[Other staff 3: Numbers employed (Full Time Equivalent)]],0),"")</f>
        <v/>
      </c>
      <c r="MU15" s="30">
        <f>SUM(DATA[[#This Row],[Registered Manager FTE earning less than NLW 23yrs 2022/23]:[Other staff 3 FTE earning less than NLW 23yrs 2022/23]])</f>
        <v>0</v>
      </c>
      <c r="MV15"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15"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15"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15"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15"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15"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15"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15"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15"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0</v>
      </c>
      <c r="NE15"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15"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15"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15"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15"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15" s="30" t="b">
        <v>0</v>
      </c>
      <c r="NK15" s="30" t="b">
        <v>1</v>
      </c>
      <c r="NL15" s="30" t="s">
        <v>972</v>
      </c>
      <c r="NM15" s="30">
        <f>SUM(DATA[[#This Row],[Management staff HOURLY RATE]:[Training and development HOURLY RATE]])</f>
        <v>12.989331637300166</v>
      </c>
      <c r="NN15" s="30">
        <f>SUM(DATA[[#This Row],[Recruitment &amp; advertising (including DBS checks) HOURLY RATE]:[Non-Staffing Direct Cost: Other  - please specify (amount) 2 HOURLY RATE]])</f>
        <v>0.26711957033826439</v>
      </c>
      <c r="NO15" s="30">
        <f>SUM(DATA[[#This Row],[Insurance  HOURLY RATE]:[Indirect costs: Other  - please specify (amount) 2 HOURLY RATE]])</f>
        <v>0.19431577624925406</v>
      </c>
      <c r="NP15" s="30">
        <f>SUM(DATA[[#This Row],[Central / Regional Management HOURLY RATE]:[Corporate Overheads: Other  - please specify (amount) 2 HOURLY RATE]])</f>
        <v>1.7464907817456576</v>
      </c>
      <c r="NQ15"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15" s="30" t="str">
        <f>IFERROR(IF(AVERAGE(DATA[[#This Row],[Deputy manager: Current 2021/22 Minimum hourly pay rate ADJUSTED]],DATA[[#This Row],[Deputy manager: Current 2021/22 Maximum hourly pay rate ADJUSTED]])&lt;REAL_LIVING_WAGE_22_23,DATA[[#This Row],[Deputy manager: Numbers employed (Full Time Equivalent)]],0),"")</f>
        <v/>
      </c>
      <c r="NS15" s="30">
        <f>IFERROR(IF(AVERAGE(DATA[[#This Row],[Other manager 1: Current 2021/22 Minimum hourly pay rate ADJUSTED]],DATA[[#This Row],[Other manager 1: Current 2021/22 Maximum hourly pay rate ADJUSTED]])&lt;REAL_LIVING_WAGE_22_23,DATA[[#This Row],[Other manager 1: Numbers employed (Full Time Equivalent)]],0),"")</f>
        <v>0</v>
      </c>
      <c r="NT15" s="30">
        <f>IFERROR(IF(AVERAGE(DATA[[#This Row],[Other manager 2: Current 2021/22 Minimum hourly pay rate ADJUSTED]],DATA[[#This Row],[Other manager 2: Current 2021/22 Maximum hourly pay rate ADJUSTED]])&lt;REAL_LIVING_WAGE_22_23,DATA[[#This Row],[Other manager 2: Numbers employed (Full Time Equivalent)]],0),"")</f>
        <v>0</v>
      </c>
      <c r="NU15" s="30" t="str">
        <f>IFERROR(IF(AVERAGE(DATA[[#This Row],[Other manager 3: Current 2021/22 Minimum hourly pay rate ADJUSTED]],DATA[[#This Row],[Other manager 3: Current 2021/22 Maximum hourly pay rate ADJUSTED]])&lt;REAL_LIVING_WAGE_22_23,DATA[[#This Row],[Other manager 3: Numbers employed (Full Time Equivalent)]],0),"")</f>
        <v/>
      </c>
      <c r="NV15" s="30">
        <f>IFERROR(IF(AVERAGE(DATA[[#This Row],[Care Assistant 1: Current 2021/22 Minimum hourly pay rate ADJUSTED]],DATA[[#This Row],[Care Assistant 1: Current 2021/22 Maximum hourly pay rate ADJUSTED]])&lt;REAL_LIVING_WAGE_22_23,DATA[[#This Row],[Care Assistant 1: Numbers employed (Full Time Equivalent)]],0),"")</f>
        <v>0</v>
      </c>
      <c r="NW15" s="30">
        <f>IFERROR(IF(AVERAGE(DATA[[#This Row],[Care Assistant 2: Current 2021/22 Minimum hourly pay rate ADJUSTED]],DATA[[#This Row],[Care Assistant 2: Current 2021/22 Maximum hourly pay rate ADJUSTED]])&lt;REAL_LIVING_WAGE_22_23,DATA[[#This Row],[Care Assistant 2: Numbers employed (Full Time Equivalent)]],0),"")</f>
        <v>0</v>
      </c>
      <c r="NX15" s="30">
        <f>IFERROR(IF(AVERAGE(DATA[[#This Row],[Care Assistant 3: Current 2021/22 Minimum hourly pay rate ADJUSTED]],DATA[[#This Row],[Care Assistant 3: Current 2021/22 Maximum hourly pay rate ADJUSTED]])&lt;REAL_LIVING_WAGE_22_23,DATA[[#This Row],[Care Assistant 3: Numbers employed (Full Time Equivalent)]],0),"")</f>
        <v>0</v>
      </c>
      <c r="NY15" s="30">
        <f>IFERROR(IF(AVERAGE(DATA[[#This Row],[Care Assistant 4: Current 2021/22 Minimum hourly pay rate ADJUSTED]],DATA[[#This Row],[Care Assistant 4: Current 2021/22 Maximum hourly pay rate ADJUSTED]])&lt;REAL_LIVING_WAGE_22_23,DATA[[#This Row],[Care Assistant 4: Numbers employed (Full Time Equivalent)]],0),"")</f>
        <v>0</v>
      </c>
      <c r="NZ15"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15"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15" s="30" t="str">
        <f>IFERROR(IF(AVERAGE(DATA[[#This Row],[Other staff 1: Current 2021/22 Minimum hourly pay rate ADJUSTED]],DATA[[#This Row],[Other staff 1: Current 2021/22 Maximum hourly pay rate ADJUSTED]])&lt;REAL_LIVING_WAGE_22_23,DATA[[#This Row],[Other staff 1: Numbers employed (Full Time Equivalent)]],0),"")</f>
        <v/>
      </c>
      <c r="OC15" s="30" t="str">
        <f>IFERROR(IF(AVERAGE(DATA[[#This Row],[Other staff 2: Current 2021/22 Minimum hourly pay rate ADJUSTED]],DATA[[#This Row],[Other staff 2: Current 2021/22 Maximum hourly pay rate ADJUSTED]])&lt;REAL_LIVING_WAGE_22_23,DATA[[#This Row],[Other staff 2: Numbers employed (Full Time Equivalent)]],0),"")</f>
        <v/>
      </c>
      <c r="OD15" s="30" t="str">
        <f>IFERROR(IF(AVERAGE(DATA[[#This Row],[Other staff 3: Current 2021/22 Minimum hourly pay rate ADJUSTED]],DATA[[#This Row],[Other staff 3: Current 2021/22 Maximum hourly pay rate ADJUSTED]])&lt;REAL_LIVING_WAGE_22_23,DATA[[#This Row],[Other staff 3: Numbers employed (Full Time Equivalent)]],0),"")</f>
        <v/>
      </c>
      <c r="OE15" s="30">
        <f>SUM(DATA[[#This Row],[Registered Manager FTE earning less than RLW 23yrs 2022/23]:[Other staff 3 FTE earning less than RLW 23yrs 2022/23]])</f>
        <v>0</v>
      </c>
      <c r="OF15"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15"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15"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15"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15"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15"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15"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15"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v>
      </c>
      <c r="ON15"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0</v>
      </c>
      <c r="OO15"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15"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15"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15"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15"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15" s="30">
        <f>IFERROR(IF(DATA[[#This Row],[Registered manager: Numbers employed (Full Time Equivalent)]]=0,"",DATA[[#This Row],[Registered manager: Current 2021/22 Minimum hourly pay rate ADJUSTED 2]]*DATA[[#This Row],[Registered manager: Numbers employed (Full Time Equivalent)]]),"")</f>
        <v>14.835000000000001</v>
      </c>
      <c r="OU15" s="30">
        <f>IFERROR(IF(DATA[[#This Row],[Registered manager: Numbers employed (Full Time Equivalent)]]=0,"",DATA[[#This Row],[Registered manager: Current 2021/22 Maximum hourly pay rate ADJUSTED 2]]*DATA[[#This Row],[Registered manager: Numbers employed (Full Time Equivalent)]]),"")</f>
        <v>14.835000000000001</v>
      </c>
      <c r="OV15" s="30">
        <f>IFERROR(IF(DATA[[#This Row],[Registered manager: Numbers employed (Full Time Equivalent)]]=0,"",DATA[[#This Row],[Registered manager: Previous 2020/21 Minimum hourly pay rate ADJUSTED 2]]*DATA[[#This Row],[Registered manager: Numbers employed (Full Time Equivalent)]]),"")</f>
        <v>14.54</v>
      </c>
      <c r="OW15" s="30">
        <f>IFERROR(IF(DATA[[#This Row],[Registered manager: Numbers employed (Full Time Equivalent)]]=0,"",DATA[[#This Row],[Registered manager: Previous 2020/21 Maximum hourly pay rate ADJUSTED 2]]*DATA[[#This Row],[Registered manager: Numbers employed (Full Time Equivalent)]]),"")</f>
        <v>14.54</v>
      </c>
      <c r="OX15" s="30" t="str">
        <f>IFERROR(IF(DATA[[#This Row],[Deputy manager: Numbers employed (Full Time Equivalent)]]=0,"",DATA[[#This Row],[Deputy manager: Current 2021/22 Minimum hourly pay rate ADJUSTED 2]]*DATA[[#This Row],[Deputy manager: Numbers employed (Full Time Equivalent)]]),"")</f>
        <v/>
      </c>
      <c r="OY15" s="30" t="str">
        <f>IFERROR(IF(DATA[[#This Row],[Deputy manager: Numbers employed (Full Time Equivalent)]]=0,"",DATA[[#This Row],[Deputy manager: Current 2021/22 Maximum hourly pay rate ADJUSTED 2]]*DATA[[#This Row],[Deputy manager: Numbers employed (Full Time Equivalent)]]),"")</f>
        <v/>
      </c>
      <c r="OZ15" s="30" t="str">
        <f>IFERROR(IF(DATA[[#This Row],[Deputy manager: Numbers employed (Full Time Equivalent)]]=0,"",DATA[[#This Row],[Deputy manager: Previous 2020/21 Minimum hourly pay rate ADJUSTED 2]]*DATA[[#This Row],[Deputy manager: Numbers employed (Full Time Equivalent)]]),"")</f>
        <v/>
      </c>
      <c r="PA15" s="30" t="str">
        <f>IFERROR(IF(DATA[[#This Row],[Deputy manager: Numbers employed (Full Time Equivalent)]]=0,"",DATA[[#This Row],[Deputy manager: Previous 2020/21 Maximum hourly pay rate ADJUSTED 2]]*DATA[[#This Row],[Deputy manager: Numbers employed (Full Time Equivalent)]]),"")</f>
        <v/>
      </c>
      <c r="PB15" s="30">
        <f>IFERROR(IF(DATA[[#This Row],[Other manager 1: Numbers employed (Full Time Equivalent)]]=0,"",DATA[[#This Row],[Other manager 1: Current 2021/22 Minimum hourly pay rate ADJUSTED 2]]*DATA[[#This Row],[Other manager 1: Numbers employed (Full Time Equivalent)]]),"")</f>
        <v>13.55</v>
      </c>
      <c r="PC15" s="30">
        <f>IFERROR(IF(DATA[[#This Row],[Other manager 1: Numbers employed (Full Time Equivalent)]]=0,"",DATA[[#This Row],[Other manager 1: Current 2021/22 Maximum hourly pay rate ADJUSTED 2]]*DATA[[#This Row],[Other manager 1: Numbers employed (Full Time Equivalent)]]),"")</f>
        <v>13.55</v>
      </c>
      <c r="PD15" s="30">
        <f>IFERROR(IF(DATA[[#This Row],[Other manager 1: Numbers employed (Full Time Equivalent)]]=0,"",DATA[[#This Row],[Other manager 1: Previous 2020/21 Minimum hourly pay rate ADJUSTED 2]]*DATA[[#This Row],[Other manager 1: Numbers employed (Full Time Equivalent)]]),"")</f>
        <v>13.29</v>
      </c>
      <c r="PE15" s="30">
        <f>IFERROR(IF(DATA[[#This Row],[Other manager 1: Numbers employed (Full Time Equivalent)]]=0,"",DATA[[#This Row],[Other manager 1: Previous 2020/21 Maximum hourly pay rate ADJUSTED 2]]*DATA[[#This Row],[Other manager 1: Numbers employed (Full Time Equivalent)]]),"")</f>
        <v>13.29</v>
      </c>
      <c r="PF15" s="30">
        <f>IFERROR(IF(DATA[[#This Row],[Other manager 2: Numbers employed (Full Time Equivalent)]]=0,"",DATA[[#This Row],[Other manager 2: Current 2021/22 Minimum hourly pay rate ADJUSTED 2]]*DATA[[#This Row],[Other manager 2: Numbers employed (Full Time Equivalent)]]),"")</f>
        <v>1.552</v>
      </c>
      <c r="PG15" s="30">
        <f>IFERROR(IF(DATA[[#This Row],[Other manager 2: Numbers employed (Full Time Equivalent)]]=0,"",DATA[[#This Row],[Other manager 2: Current 2021/22 Maximum hourly pay rate ADJUSTED 2]]*DATA[[#This Row],[Other manager 2: Numbers employed (Full Time Equivalent)]]),"")</f>
        <v>1.552</v>
      </c>
      <c r="PH15" s="30">
        <f>IFERROR(IF(DATA[[#This Row],[Other manager 2: Numbers employed (Full Time Equivalent)]]=0,"",DATA[[#This Row],[Other manager 2: Previous 2020/21 Minimum hourly pay rate ADJUSTED 2]]*DATA[[#This Row],[Other manager 2: Numbers employed (Full Time Equivalent)]]),"")</f>
        <v>1.5210000000000001</v>
      </c>
      <c r="PI15" s="30">
        <f>IFERROR(IF(DATA[[#This Row],[Other manager 2: Numbers employed (Full Time Equivalent)]]=0,"",DATA[[#This Row],[Other manager 2: Previous 2020/21 Maximum hourly pay rate ADJUSTED 2]]*DATA[[#This Row],[Other manager 2: Numbers employed (Full Time Equivalent)]]),"")</f>
        <v>1.5210000000000001</v>
      </c>
      <c r="PJ15" s="30" t="str">
        <f>IFERROR(IF(DATA[[#This Row],[Other manager 3: Numbers employed (Full Time Equivalent)]]=0,"",DATA[[#This Row],[Other manager 3: Current 2021/22 Minimum hourly pay rate ADJUSTED 2]]*DATA[[#This Row],[Other manager 3: Numbers employed (Full Time Equivalent)]]),"")</f>
        <v/>
      </c>
      <c r="PK15" s="30" t="str">
        <f>IFERROR(IF(DATA[[#This Row],[Other manager 3: Numbers employed (Full Time Equivalent)]]=0,"",DATA[[#This Row],[Other manager 3: Current 2021/22 Maximum hourly pay rate ADJUSTED 2]]*DATA[[#This Row],[Other manager 3: Numbers employed (Full Time Equivalent)]]),"")</f>
        <v/>
      </c>
      <c r="PL15" s="30" t="str">
        <f>IFERROR(IF(DATA[[#This Row],[Other manager 3: Numbers employed (Full Time Equivalent)]]=0,"",DATA[[#This Row],[Other manager 3: Previous 2020/21 Minimum hourly pay rate ADJUSTED 2]]*DATA[[#This Row],[Other manager 3: Numbers employed (Full Time Equivalent)]]),"")</f>
        <v/>
      </c>
      <c r="PM15" s="30" t="str">
        <f>IFERROR(IF(DATA[[#This Row],[Other manager 3: Numbers employed (Full Time Equivalent)]]=0,"",DATA[[#This Row],[Other manager 3: Previous 2020/21 Maximum hourly pay rate ADJUSTED 2]]*DATA[[#This Row],[Other manager 3: Numbers employed (Full Time Equivalent)]]),"")</f>
        <v/>
      </c>
      <c r="PN15" s="30">
        <f>IFERROR(IF(DATA[[#This Row],[Care Assistant 1: Numbers employed (Full Time Equivalent)]]=0,"",DATA[[#This Row],[Care Assistant 1: Current 2021/22 Minimum hourly pay rate ADJUSTED 2]]*DATA[[#This Row],[Care Assistant 1: Numbers employed (Full Time Equivalent)]]),"")</f>
        <v>22.58</v>
      </c>
      <c r="PO15" s="30">
        <f>IFERROR(IF(DATA[[#This Row],[Care Assistant 1: Numbers employed (Full Time Equivalent)]]=0,"",DATA[[#This Row],[Care Assistant 1: Current 2021/22 Maximum hourly pay rate ADJUSTED 2]]*DATA[[#This Row],[Care Assistant 1: Numbers employed (Full Time Equivalent)]]),"")</f>
        <v>22.58</v>
      </c>
      <c r="PP15" s="30">
        <f>IFERROR(IF(DATA[[#This Row],[Care Assistant 1: Numbers employed (Full Time Equivalent)]]=0,"",DATA[[#This Row],[Care Assistant 1: Previous 2020/21 Minimum hourly pay rate ADJUSTED 2]]*DATA[[#This Row],[Care Assistant 1: Numbers employed (Full Time Equivalent)]]),"")</f>
        <v>22.14</v>
      </c>
      <c r="PQ15" s="30">
        <f>IFERROR(IF(DATA[[#This Row],[Care Assistant 1: Numbers employed (Full Time Equivalent)]]=0,"",DATA[[#This Row],[Care Assistant 1: Previous 2020/21 Maximum hourly pay rate ADJUSTED 2]]*DATA[[#This Row],[Care Assistant 1: Numbers employed (Full Time Equivalent)]]),"")</f>
        <v>22.14</v>
      </c>
      <c r="PR15" s="30">
        <f>IFERROR(IF(DATA[[#This Row],[Care Assistant 2: Numbers employed (Full Time Equivalent)]]=0,"",DATA[[#This Row],[Care Assistant 2: Current 2021/22 Minimum hourly pay rate ADJUSTED 2]]*DATA[[#This Row],[Care Assistant 2: Numbers employed (Full Time Equivalent)]]),"")</f>
        <v>15.765000000000001</v>
      </c>
      <c r="PS15" s="30">
        <f>IFERROR(IF(DATA[[#This Row],[Care Assistant 2: Numbers employed (Full Time Equivalent)]]=0,"",DATA[[#This Row],[Care Assistant 2: Current 2021/22 Maximum hourly pay rate ADJUSTED 2]]*DATA[[#This Row],[Care Assistant 2: Numbers employed (Full Time Equivalent)]]),"")</f>
        <v>15.765000000000001</v>
      </c>
      <c r="PT15" s="30">
        <f>IFERROR(IF(DATA[[#This Row],[Care Assistant 2: Numbers employed (Full Time Equivalent)]]=0,"",DATA[[#This Row],[Care Assistant 2: Previous 2020/21 Minimum hourly pay rate ADJUSTED 2]]*DATA[[#This Row],[Care Assistant 2: Numbers employed (Full Time Equivalent)]]),"")</f>
        <v>15.465</v>
      </c>
      <c r="PU15" s="30">
        <f>IFERROR(IF(DATA[[#This Row],[Care Assistant 2: Numbers employed (Full Time Equivalent)]]=0,"",DATA[[#This Row],[Care Assistant 2: Previous 2020/21 Maximum hourly pay rate ADJUSTED 2]]*DATA[[#This Row],[Care Assistant 2: Numbers employed (Full Time Equivalent)]]),"")</f>
        <v>15.465</v>
      </c>
      <c r="PV15" s="30">
        <f>IFERROR(IF(DATA[[#This Row],[Care Assistant 3: Numbers employed (Full Time Equivalent)]]=0,"",DATA[[#This Row],[Care Assistant 3: Current 2021/22 Minimum hourly pay rate ADJUSTED 2]]*DATA[[#This Row],[Care Assistant 3: Numbers employed (Full Time Equivalent)]]),"")</f>
        <v>54.195500000000003</v>
      </c>
      <c r="PW15" s="30">
        <f>IFERROR(IF(DATA[[#This Row],[Care Assistant 3: Numbers employed (Full Time Equivalent)]]=0,"",DATA[[#This Row],[Care Assistant 3: Current 2021/22 Maximum hourly pay rate ADJUSTED 2]]*DATA[[#This Row],[Care Assistant 3: Numbers employed (Full Time Equivalent)]]),"")</f>
        <v>54.195500000000003</v>
      </c>
      <c r="PX15" s="30">
        <f>IFERROR(IF(DATA[[#This Row],[Care Assistant 3: Numbers employed (Full Time Equivalent)]]=0,"",DATA[[#This Row],[Care Assistant 3: Previous 2020/21 Minimum hourly pay rate ADJUSTED 2]]*DATA[[#This Row],[Care Assistant 3: Numbers employed (Full Time Equivalent)]]),"")</f>
        <v>53.125499999999995</v>
      </c>
      <c r="PY15" s="30">
        <f>IFERROR(IF(DATA[[#This Row],[Care Assistant 3: Numbers employed (Full Time Equivalent)]]=0,"",DATA[[#This Row],[Care Assistant 3: Previous 2020/21 Maximum hourly pay rate ADJUSTED 2]]*DATA[[#This Row],[Care Assistant 3: Numbers employed (Full Time Equivalent)]]),"")</f>
        <v>53.125499999999995</v>
      </c>
      <c r="PZ15" s="30">
        <f>IFERROR(IF(DATA[[#This Row],[Care Assistant 4: Numbers employed (Full Time Equivalent)]]=0,"",DATA[[#This Row],[Care Assistant 4: Current 2021/22 Minimum hourly pay rate ADJUSTED 2]]*DATA[[#This Row],[Care Assistant 4: Numbers employed (Full Time Equivalent)]]),"")</f>
        <v>57.154999999999994</v>
      </c>
      <c r="QA15" s="30">
        <f>IFERROR(IF(DATA[[#This Row],[Care Assistant 4: Numbers employed (Full Time Equivalent)]]=0,"",DATA[[#This Row],[Care Assistant 4: Current 2021/22 Maximum hourly pay rate ADJUSTED 2]]*DATA[[#This Row],[Care Assistant 4: Numbers employed (Full Time Equivalent)]]),"")</f>
        <v>57.154999999999994</v>
      </c>
      <c r="QB15" s="30">
        <f>IFERROR(IF(DATA[[#This Row],[Care Assistant 4: Numbers employed (Full Time Equivalent)]]=0,"",DATA[[#This Row],[Care Assistant 4: Previous 2020/21 Minimum hourly pay rate ADJUSTED 2]]*DATA[[#This Row],[Care Assistant 4: Numbers employed (Full Time Equivalent)]]),"")</f>
        <v>54.739999999999995</v>
      </c>
      <c r="QC15" s="30">
        <f>IFERROR(IF(DATA[[#This Row],[Care Assistant 4: Numbers employed (Full Time Equivalent)]]=0,"",DATA[[#This Row],[Care Assistant 4: Previous 2020/21 Maximum hourly pay rate ADJUSTED 2]]*DATA[[#This Row],[Care Assistant 4: Numbers employed (Full Time Equivalent)]]),"")</f>
        <v>54.739999999999995</v>
      </c>
      <c r="QD15" s="30" t="str">
        <f>IFERROR(IF(DATA[[#This Row],[Administrative Officer 1: Numbers employed (Full Time Equivalent)]]=0,"",DATA[[#This Row],[Administrative Officer 1: Current 2021/22 Minimum hourly pay rate ADJUSTED 2]]*DATA[[#This Row],[Administrative Officer 1: Numbers employed (Full Time Equivalent)]]),"")</f>
        <v/>
      </c>
      <c r="QE15" s="30" t="str">
        <f>IFERROR(IF(DATA[[#This Row],[Administrative Officer 1: Numbers employed (Full Time Equivalent)]]=0,"",DATA[[#This Row],[Administrative Officer 1: Current 2021/22 Maximum hourly pay rate ADJUSTED 2]]*DATA[[#This Row],[Administrative Officer 1: Numbers employed (Full Time Equivalent)]]),"")</f>
        <v/>
      </c>
      <c r="QF15" s="30" t="str">
        <f>IFERROR(IF(DATA[[#This Row],[Administrative Officer 1: Numbers employed (Full Time Equivalent)]]=0,"",DATA[[#This Row],[Administrative Officer 1: Previous 2020/21 Minimum hourly pay rate ADJUSTED 2]]*DATA[[#This Row],[Administrative Officer 1: Numbers employed (Full Time Equivalent)]]),"")</f>
        <v/>
      </c>
      <c r="QG15" s="30" t="str">
        <f>IFERROR(IF(DATA[[#This Row],[Administrative Officer 1: Numbers employed (Full Time Equivalent)]]=0,"",DATA[[#This Row],[Administrative Officer 1: Previous 2020/21 Maximum hourly pay rate ADJUSTED 2]]*DATA[[#This Row],[Administrative Officer 1: Numbers employed (Full Time Equivalent)]]),"")</f>
        <v/>
      </c>
      <c r="QH15" s="30" t="str">
        <f>IFERROR(IF(DATA[[#This Row],[Administrative Officer 2: Numbers employed (Full Time Equivalent)]]=0,"",DATA[[#This Row],[Administrative Officer 2: Current 2021/22 Minimum hourly pay rate ADJUSTED 2]]*DATA[[#This Row],[Administrative Officer 2: Numbers employed (Full Time Equivalent)]]),"")</f>
        <v/>
      </c>
      <c r="QI15" s="30" t="str">
        <f>IFERROR(IF(DATA[[#This Row],[Administrative Officer 2: Numbers employed (Full Time Equivalent)]]=0,"",DATA[[#This Row],[Administrative Officer 2: Current 2021/22 Maximum hourly pay rate ADJUSTED 2]]*DATA[[#This Row],[Administrative Officer 2: Numbers employed (Full Time Equivalent)]]),"")</f>
        <v/>
      </c>
      <c r="QJ15" s="30" t="str">
        <f>IFERROR(IF(DATA[[#This Row],[Administrative Officer 2: Numbers employed (Full Time Equivalent)]]=0,"",DATA[[#This Row],[Administrative Officer 2: Previous 2020/21 Minimum hourly pay rate ADJUSTED 2]]*DATA[[#This Row],[Administrative Officer 2: Numbers employed (Full Time Equivalent)]]),"")</f>
        <v/>
      </c>
      <c r="QK15" s="30" t="str">
        <f>IFERROR(IF(DATA[[#This Row],[Administrative Officer 2: Numbers employed (Full Time Equivalent)]]=0,"",DATA[[#This Row],[Administrative Officer 2: Previous 2020/21 Maximum hourly pay rate ADJUSTED 2]]*DATA[[#This Row],[Administrative Officer 2: Numbers employed (Full Time Equivalent)]]),"")</f>
        <v/>
      </c>
      <c r="QL15" s="30" t="str">
        <f>IFERROR(IF(DATA[[#This Row],[Administrative Officer 3: Numbers employed (Full Time Equivalent)]]=0,"",DATA[[#This Row],[Administrative Officer 3: Current 2021/22 Minimum hourly pay rate ADJUSTED 2]]*DATA[[#This Row],[Administrative Officer 3: Numbers employed (Full Time Equivalent)]]),"")</f>
        <v/>
      </c>
      <c r="QM15" s="30" t="str">
        <f>IFERROR(IF(DATA[[#This Row],[Administrative Officer 3: Numbers employed (Full Time Equivalent)]]=0,"",DATA[[#This Row],[Administrative Officer 3: Current 2021/22 Maximum hourly pay rate ADJUSTED 2]]*DATA[[#This Row],[Administrative Officer 3: Numbers employed (Full Time Equivalent)]]),"")</f>
        <v/>
      </c>
      <c r="QN15" s="30" t="str">
        <f>IFERROR(IF(DATA[[#This Row],[Administrative Officer 3: Numbers employed (Full Time Equivalent)]]=0,"",DATA[[#This Row],[Administrative Officer 3: Previous 2020/21 Minimum hourly pay rate ADJUSTED 2]]*DATA[[#This Row],[Administrative Officer 3: Numbers employed (Full Time Equivalent)]]),"")</f>
        <v/>
      </c>
      <c r="QO15" s="30" t="str">
        <f>IFERROR(IF(DATA[[#This Row],[Administrative Officer 3: Numbers employed (Full Time Equivalent)]]=0,"",DATA[[#This Row],[Administrative Officer 3: Previous 2020/21 Maximum hourly pay rate ADJUSTED 2]]*DATA[[#This Row],[Administrative Officer 3: Numbers employed (Full Time Equivalent)]]),"")</f>
        <v/>
      </c>
      <c r="QP15" s="28" t="str">
        <f>IFERROR(IF(DATA[[#This Row],[Other staff 1: Numbers employed (Full Time Equivalent)]]=0,"",DATA[[#This Row],[Other staff 1: Current 2021/22 Minimum hourly pay rate ADJUSTED 2]]*DATA[[#This Row],[Other staff 1: Numbers employed (Full Time Equivalent)]]),"")</f>
        <v/>
      </c>
      <c r="QQ15" s="28" t="str">
        <f>IFERROR(IF(DATA[[#This Row],[Other staff 1: Numbers employed (Full Time Equivalent)]]=0,"",DATA[[#This Row],[Other staff 1: Current 2021/22 Maximum hourly pay rate ADJUSTED 2]]*DATA[[#This Row],[Other staff 1: Numbers employed (Full Time Equivalent)]]),"")</f>
        <v/>
      </c>
      <c r="QR15" s="28" t="str">
        <f>IFERROR(IF(DATA[[#This Row],[Other staff 1: Numbers employed (Full Time Equivalent)]]=0,"",DATA[[#This Row],[Other staff 1: Previous 2020/21 Minimum hourly pay rate ADJUSTED 2]]*DATA[[#This Row],[Other staff 1: Numbers employed (Full Time Equivalent)]]),"")</f>
        <v/>
      </c>
      <c r="QS15" s="28" t="str">
        <f>IFERROR(IF(DATA[[#This Row],[Other staff 1: Numbers employed (Full Time Equivalent)]]=0,"",DATA[[#This Row],[Other staff 1: Previous 2020/21 Maximum hourly pay rate ADJUSTED 2]]*DATA[[#This Row],[Other staff 1: Numbers employed (Full Time Equivalent)]]),"")</f>
        <v/>
      </c>
      <c r="QT15" s="28" t="str">
        <f>IFERROR(IF(DATA[[#This Row],[Other staff 2: Numbers employed (Full Time Equivalent)]]=0,"",DATA[[#This Row],[Other staff 2: Current 2021/22 Minimum hourly pay rate ADJUSTED 2]]*DATA[[#This Row],[Other staff 2: Numbers employed (Full Time Equivalent)]]),"")</f>
        <v/>
      </c>
      <c r="QU15" s="28" t="str">
        <f>IFERROR(IF(DATA[[#This Row],[Other staff 2: Numbers employed (Full Time Equivalent)]]=0,"",DATA[[#This Row],[Other staff 2: Current 2021/22 Maximum hourly pay rate ADJUSTED 2]]*DATA[[#This Row],[Other staff 2: Numbers employed (Full Time Equivalent)]]),"")</f>
        <v/>
      </c>
      <c r="QV15" s="28" t="str">
        <f>IFERROR(IF(DATA[[#This Row],[Other staff 2: Numbers employed (Full Time Equivalent)]]=0,"",DATA[[#This Row],[Other staff 2: Previous 2020/21 Minimum hourly pay rate ADJUSTED 2]]*DATA[[#This Row],[Other staff 2: Numbers employed (Full Time Equivalent)]]),"")</f>
        <v/>
      </c>
      <c r="QW15" s="28" t="str">
        <f>IFERROR(IF(DATA[[#This Row],[Other staff 2: Numbers employed (Full Time Equivalent)]]=0,"",DATA[[#This Row],[Other staff 2: Previous 2020/21 Maximum hourly pay rate ADJUSTED 2]]*DATA[[#This Row],[Other staff 2: Numbers employed (Full Time Equivalent)]]),"")</f>
        <v/>
      </c>
      <c r="QX15" s="28" t="str">
        <f>IFERROR(IF(DATA[[#This Row],[Other staff 3: Numbers employed (Full Time Equivalent)]]=0,"",DATA[[#This Row],[Other staff 3: Current 2021/22 Minimum hourly pay rate ADJUSTED 2]]*DATA[[#This Row],[Other staff 3: Numbers employed (Full Time Equivalent)]]),"")</f>
        <v/>
      </c>
      <c r="QY15" s="28" t="str">
        <f>IFERROR(IF(DATA[[#This Row],[Other staff 3: Numbers employed (Full Time Equivalent)]]=0,"",DATA[[#This Row],[Other staff 3: Current 2021/22 Maximum hourly pay rate ADJUSTED 2]]*DATA[[#This Row],[Other staff 3: Numbers employed (Full Time Equivalent)]]),"")</f>
        <v/>
      </c>
      <c r="QZ15" s="28" t="str">
        <f>IFERROR(IF(DATA[[#This Row],[Other staff 3: Numbers employed (Full Time Equivalent)]]=0,"",DATA[[#This Row],[Other staff 3: Previous 2020/21 Minimum hourly pay rate ADJUSTED 2]]*DATA[[#This Row],[Other staff 3: Numbers employed (Full Time Equivalent)]]),"")</f>
        <v/>
      </c>
      <c r="RA15" s="28" t="str">
        <f>IFERROR(IF(DATA[[#This Row],[Other staff 3: Numbers employed (Full Time Equivalent)]]=0,"",DATA[[#This Row],[Other staff 3: Previous 2020/21 Maximum hourly pay rate ADJUSTED 2]]*DATA[[#This Row],[Other staff 3: Numbers employed (Full Time Equivalent)]]),"")</f>
        <v/>
      </c>
      <c r="RB15"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0.5</v>
      </c>
      <c r="RC15"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15"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15"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0.1</v>
      </c>
      <c r="RF15"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15"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v>
      </c>
      <c r="RH15"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1.5</v>
      </c>
      <c r="RI15"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5.35</v>
      </c>
      <c r="RJ15"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5.75</v>
      </c>
      <c r="RK15"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15"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15"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15"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15"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15"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16" spans="1:484" x14ac:dyDescent="0.25">
      <c r="G16" s="2">
        <v>10</v>
      </c>
      <c r="H16" s="2">
        <v>0</v>
      </c>
      <c r="I16" s="2">
        <v>34</v>
      </c>
      <c r="J16" s="2">
        <v>0</v>
      </c>
      <c r="K16" s="2">
        <v>1</v>
      </c>
      <c r="L16" s="2" t="s">
        <v>323</v>
      </c>
      <c r="M16" s="2" t="s">
        <v>365</v>
      </c>
      <c r="R16" s="2">
        <v>22</v>
      </c>
      <c r="S16" s="2">
        <v>22</v>
      </c>
      <c r="T16" s="2">
        <v>21.7</v>
      </c>
      <c r="U16" s="2">
        <v>21.7</v>
      </c>
      <c r="V16" s="2">
        <v>1</v>
      </c>
      <c r="W16" s="2">
        <v>17.68</v>
      </c>
      <c r="X16" s="2">
        <v>17.68</v>
      </c>
      <c r="Y16" s="2">
        <v>17.43</v>
      </c>
      <c r="Z16" s="2">
        <v>17.43</v>
      </c>
      <c r="AA16" s="2">
        <v>2</v>
      </c>
      <c r="AB16" s="2" t="s">
        <v>367</v>
      </c>
      <c r="AC16" s="2">
        <v>15.67</v>
      </c>
      <c r="AD16" s="2">
        <v>15.67</v>
      </c>
      <c r="AE16" s="2">
        <v>15.45</v>
      </c>
      <c r="AF16" s="2">
        <v>15.45</v>
      </c>
      <c r="AG16" s="2">
        <v>4</v>
      </c>
      <c r="AH16" s="2" t="s">
        <v>315</v>
      </c>
      <c r="AI16" s="2">
        <v>0</v>
      </c>
      <c r="AJ16" s="2">
        <v>0</v>
      </c>
      <c r="AK16" s="2">
        <v>0</v>
      </c>
      <c r="AL16" s="2">
        <v>0</v>
      </c>
      <c r="AM16" s="2">
        <v>0</v>
      </c>
      <c r="AN16" s="2" t="s">
        <v>315</v>
      </c>
      <c r="AO16" s="2">
        <v>0</v>
      </c>
      <c r="AP16" s="2">
        <v>0</v>
      </c>
      <c r="AQ16" s="2">
        <v>0</v>
      </c>
      <c r="AR16" s="2">
        <v>0</v>
      </c>
      <c r="AS16" s="2">
        <v>0</v>
      </c>
      <c r="AT16" s="2" t="s">
        <v>368</v>
      </c>
      <c r="AU16" s="2">
        <v>9.68</v>
      </c>
      <c r="AV16" s="2">
        <v>9.68</v>
      </c>
      <c r="AW16" s="2">
        <v>9.5399999999999991</v>
      </c>
      <c r="AX16" s="2">
        <v>9.5399999999999991</v>
      </c>
      <c r="AY16" s="2">
        <v>22</v>
      </c>
      <c r="AZ16" s="2" t="s">
        <v>369</v>
      </c>
      <c r="BA16" s="2">
        <v>9.68</v>
      </c>
      <c r="BB16" s="2">
        <v>9.68</v>
      </c>
      <c r="BC16" s="2">
        <v>9.5399999999999991</v>
      </c>
      <c r="BD16" s="2">
        <v>9.5399999999999991</v>
      </c>
      <c r="BE16" s="2">
        <v>22</v>
      </c>
      <c r="BF16" s="2" t="s">
        <v>370</v>
      </c>
      <c r="BG16" s="2">
        <v>10.199999999999999</v>
      </c>
      <c r="BH16" s="2">
        <v>10.199999999999999</v>
      </c>
      <c r="BI16" s="2">
        <v>10.06</v>
      </c>
      <c r="BJ16" s="2">
        <v>10.06</v>
      </c>
      <c r="BK16" s="2">
        <v>12</v>
      </c>
      <c r="BL16" s="2" t="s">
        <v>371</v>
      </c>
      <c r="BM16" s="2">
        <v>9.68</v>
      </c>
      <c r="BN16" s="2">
        <v>9.68</v>
      </c>
      <c r="BO16" s="2">
        <v>9.5399999999999991</v>
      </c>
      <c r="BP16" s="2">
        <v>9.5399999999999991</v>
      </c>
      <c r="BQ16" s="2">
        <v>22</v>
      </c>
      <c r="BR16" s="2" t="s">
        <v>372</v>
      </c>
      <c r="BS16" s="2">
        <v>12.5</v>
      </c>
      <c r="BT16" s="2">
        <v>12.5</v>
      </c>
      <c r="BU16" s="2">
        <v>12.33</v>
      </c>
      <c r="BV16" s="2">
        <v>12.33</v>
      </c>
      <c r="BW16" s="2">
        <v>0</v>
      </c>
      <c r="BX16" s="2" t="s">
        <v>317</v>
      </c>
      <c r="BY16" s="2">
        <v>0</v>
      </c>
      <c r="BZ16" s="2">
        <v>0</v>
      </c>
      <c r="CA16" s="2">
        <v>0</v>
      </c>
      <c r="CB16" s="2">
        <v>0</v>
      </c>
      <c r="CC16" s="2">
        <v>0</v>
      </c>
      <c r="CD16" s="2" t="s">
        <v>317</v>
      </c>
      <c r="CE16" s="2">
        <v>0</v>
      </c>
      <c r="CF16" s="2">
        <v>0</v>
      </c>
      <c r="CG16" s="2">
        <v>0</v>
      </c>
      <c r="CH16" s="2">
        <v>0</v>
      </c>
      <c r="CI16" s="2">
        <v>0</v>
      </c>
      <c r="CJ16" s="2" t="s">
        <v>373</v>
      </c>
      <c r="CK16" s="2">
        <v>15.67</v>
      </c>
      <c r="CL16" s="2">
        <v>15.67</v>
      </c>
      <c r="CM16" s="2">
        <v>15.45</v>
      </c>
      <c r="CN16" s="2">
        <v>15.45</v>
      </c>
      <c r="CO16" s="2">
        <v>5</v>
      </c>
      <c r="CP16" s="2"/>
      <c r="CQ16" s="2">
        <v>0</v>
      </c>
      <c r="CR16" s="2">
        <v>0</v>
      </c>
      <c r="CS16" s="2">
        <v>0</v>
      </c>
      <c r="CT16" s="2">
        <v>0</v>
      </c>
      <c r="CU16" s="2">
        <v>0</v>
      </c>
      <c r="CV16" s="2"/>
      <c r="CW16" s="2">
        <v>0</v>
      </c>
      <c r="CX16" s="2">
        <v>0</v>
      </c>
      <c r="CY16" s="2">
        <v>0</v>
      </c>
      <c r="CZ16" s="2">
        <v>0</v>
      </c>
      <c r="DA16" s="2">
        <v>0</v>
      </c>
      <c r="DB16" s="2">
        <v>0.03</v>
      </c>
      <c r="DC16" s="2">
        <v>0</v>
      </c>
      <c r="DD16" s="2">
        <v>0</v>
      </c>
      <c r="DE16" s="2">
        <v>0</v>
      </c>
      <c r="DF16" s="2">
        <v>0</v>
      </c>
      <c r="DG16" s="2">
        <v>0</v>
      </c>
      <c r="DH16" s="2">
        <v>0</v>
      </c>
      <c r="DI16" s="2">
        <v>1286</v>
      </c>
      <c r="DJ16" s="2">
        <v>812</v>
      </c>
      <c r="DK16" s="2">
        <v>1036</v>
      </c>
      <c r="DL16" s="2">
        <v>1954</v>
      </c>
      <c r="DM16" s="2">
        <v>0</v>
      </c>
      <c r="DN16" s="2">
        <v>0</v>
      </c>
      <c r="DO16" s="2">
        <v>16.04</v>
      </c>
      <c r="DP16" s="2">
        <v>16.04</v>
      </c>
      <c r="DQ16" s="2">
        <v>14.7</v>
      </c>
      <c r="DR16" s="18">
        <v>43922</v>
      </c>
      <c r="DS16" s="18">
        <v>44286</v>
      </c>
      <c r="DT16" s="2">
        <v>239308</v>
      </c>
      <c r="DU16" s="2">
        <v>162114.53</v>
      </c>
      <c r="DV16" s="2">
        <v>3305741.51</v>
      </c>
      <c r="DW16" s="2">
        <v>31200</v>
      </c>
      <c r="DX16" s="2">
        <v>0</v>
      </c>
      <c r="DY16" s="2">
        <v>0</v>
      </c>
      <c r="DZ16" s="2">
        <v>9620.5300000000007</v>
      </c>
      <c r="EA16" s="2">
        <v>0</v>
      </c>
      <c r="EB16" s="2">
        <v>0</v>
      </c>
      <c r="EC16" s="2">
        <v>2400</v>
      </c>
      <c r="ED16" s="2">
        <v>15044.64</v>
      </c>
      <c r="EE16" s="2">
        <v>14520</v>
      </c>
      <c r="EF16" s="2">
        <v>0</v>
      </c>
      <c r="EG16" s="2">
        <v>9907.0400000000009</v>
      </c>
      <c r="EH16" s="2" t="s">
        <v>374</v>
      </c>
      <c r="EI16" s="2">
        <v>6240</v>
      </c>
      <c r="EJ16" s="2" t="s">
        <v>375</v>
      </c>
      <c r="EK16" s="2">
        <v>2598.34</v>
      </c>
      <c r="EL16" s="2">
        <v>21045.96</v>
      </c>
      <c r="EM16" s="2">
        <v>8739.64</v>
      </c>
      <c r="EN16" s="2">
        <v>7000.24</v>
      </c>
      <c r="EO16" s="2">
        <v>15086.24</v>
      </c>
      <c r="EP16" s="2">
        <v>2218.84</v>
      </c>
      <c r="EQ16" s="2">
        <v>320</v>
      </c>
      <c r="ER16" s="2">
        <v>0</v>
      </c>
      <c r="ES16" s="2">
        <v>0</v>
      </c>
      <c r="ET16" s="2" t="s">
        <v>324</v>
      </c>
      <c r="EU16" s="2">
        <v>0</v>
      </c>
      <c r="EV16" s="2" t="s">
        <v>324</v>
      </c>
      <c r="EW16" s="2">
        <v>0</v>
      </c>
      <c r="EX16" s="2">
        <v>0</v>
      </c>
      <c r="EY16" s="2">
        <v>15756</v>
      </c>
      <c r="EZ16" s="2" t="s">
        <v>326</v>
      </c>
      <c r="FA16" s="2">
        <v>0</v>
      </c>
      <c r="FB16" s="2" t="s">
        <v>326</v>
      </c>
      <c r="FC16" s="2">
        <v>0</v>
      </c>
      <c r="FD16" s="2">
        <v>140400</v>
      </c>
      <c r="FE16" s="2">
        <v>0</v>
      </c>
      <c r="FF16" s="2">
        <v>0</v>
      </c>
      <c r="FG16" s="2"/>
      <c r="FH16" s="19">
        <v>44480.623518518521</v>
      </c>
      <c r="FI16" s="2" t="s">
        <v>364</v>
      </c>
      <c r="FJ16" s="2">
        <f>SUM(DATA[[#This Row],[Number of Home support clients:]],DATA[[#This Row],[Number of supported living clients:]])</f>
        <v>34</v>
      </c>
      <c r="FK16"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31-40</v>
      </c>
      <c r="FL16"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22</v>
      </c>
      <c r="FM16"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22</v>
      </c>
      <c r="FN16"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21.7</v>
      </c>
      <c r="FO16"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21.7</v>
      </c>
      <c r="FP16"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17.68</v>
      </c>
      <c r="FQ16"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17.68</v>
      </c>
      <c r="FR16"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17.43</v>
      </c>
      <c r="FS16"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17.43</v>
      </c>
      <c r="FT16"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15.67</v>
      </c>
      <c r="FU16"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15.67</v>
      </c>
      <c r="FV16"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15.45</v>
      </c>
      <c r="FW16"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15.45</v>
      </c>
      <c r="FX16"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16"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16"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16"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16"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16"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16"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16"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16"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9.68</v>
      </c>
      <c r="GG16"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9.68</v>
      </c>
      <c r="GH16"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9.5399999999999991</v>
      </c>
      <c r="GI16"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9.5399999999999991</v>
      </c>
      <c r="GJ16"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9.68</v>
      </c>
      <c r="GK16"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9.68</v>
      </c>
      <c r="GL16"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9.5399999999999991</v>
      </c>
      <c r="GM16"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9.5399999999999991</v>
      </c>
      <c r="GN16"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10.199999999999999</v>
      </c>
      <c r="GO16"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10.199999999999999</v>
      </c>
      <c r="GP16"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10.06</v>
      </c>
      <c r="GQ16"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10.06</v>
      </c>
      <c r="GR16"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9.68</v>
      </c>
      <c r="GS16"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9.68</v>
      </c>
      <c r="GT16"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9.5399999999999991</v>
      </c>
      <c r="GU16"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9.5399999999999991</v>
      </c>
      <c r="GV16"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12.5</v>
      </c>
      <c r="GW16"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12.5</v>
      </c>
      <c r="GX16"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12.33</v>
      </c>
      <c r="GY16"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12.33</v>
      </c>
      <c r="GZ16"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16"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16"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16"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16"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16"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16"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6"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6"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15.67</v>
      </c>
      <c r="HI16"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15.67</v>
      </c>
      <c r="HJ16"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15.45</v>
      </c>
      <c r="HK16"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15.45</v>
      </c>
      <c r="HL16"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16"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16"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16"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16"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16"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16"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16"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16"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22</v>
      </c>
      <c r="HU16"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22</v>
      </c>
      <c r="HV16"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21.7</v>
      </c>
      <c r="HW16"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21.7</v>
      </c>
      <c r="HX16"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17.68</v>
      </c>
      <c r="HY16"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17.68</v>
      </c>
      <c r="HZ16"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17.43</v>
      </c>
      <c r="IA16"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17.43</v>
      </c>
      <c r="IB16"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15.67</v>
      </c>
      <c r="IC16"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15.67</v>
      </c>
      <c r="ID16"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15.45</v>
      </c>
      <c r="IE16"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15.45</v>
      </c>
      <c r="IF16"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16"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16"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16"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16"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16"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16"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16"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16"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9.68</v>
      </c>
      <c r="IO16"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9.68</v>
      </c>
      <c r="IP16"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9.5399999999999991</v>
      </c>
      <c r="IQ16"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9.5399999999999991</v>
      </c>
      <c r="IR16"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9.68</v>
      </c>
      <c r="IS16"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9.68</v>
      </c>
      <c r="IT16"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9.5399999999999991</v>
      </c>
      <c r="IU16"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9.5399999999999991</v>
      </c>
      <c r="IV16"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10.199999999999999</v>
      </c>
      <c r="IW16"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10.199999999999999</v>
      </c>
      <c r="IX16"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10.06</v>
      </c>
      <c r="IY16"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10.06</v>
      </c>
      <c r="IZ16"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9.68</v>
      </c>
      <c r="JA16"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9.68</v>
      </c>
      <c r="JB16"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9.5399999999999991</v>
      </c>
      <c r="JC16"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9.5399999999999991</v>
      </c>
      <c r="JD16"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12.5</v>
      </c>
      <c r="JE16"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12.5</v>
      </c>
      <c r="JF16"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12.33</v>
      </c>
      <c r="JG16"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12.33</v>
      </c>
      <c r="JH16"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16"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16"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16"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16"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16"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16"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16"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16"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15.67</v>
      </c>
      <c r="JQ16"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15.67</v>
      </c>
      <c r="JR16"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15.45</v>
      </c>
      <c r="JS16"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15.45</v>
      </c>
      <c r="JT16"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16"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16"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16"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16"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16"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16"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16"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16"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7</v>
      </c>
      <c r="KC16" s="21">
        <f>SUM(DATA[[#This Row],[Care Assistant 1: Numbers employed (Full Time Equivalent)]],DATA[[#This Row],[Care Assistant 2: Numbers employed (Full Time Equivalent)]],DATA[[#This Row],[Care Assistant 3: Numbers employed (Full Time Equivalent)]],DATA[[#This Row],[Care Assistant 4: Numbers employed (Full Time Equivalent)]])</f>
        <v>78</v>
      </c>
      <c r="KD16" s="21">
        <f>SUM(DATA[[#This Row],[Administrative Officer 1: Numbers employed (Full Time Equivalent)]],DATA[[#This Row],[Administrative Officer 2: Numbers employed (Full Time Equivalent)]])</f>
        <v>0</v>
      </c>
      <c r="KE16" s="21">
        <f>SUM(DATA[[#This Row],[Other staff 1: Numbers employed (Full Time Equivalent)]],DATA[[#This Row],[Other staff 2: Numbers employed (Full Time Equivalent)]],DATA[[#This Row],[Other staff 3: Numbers employed (Full Time Equivalent)]])</f>
        <v>5</v>
      </c>
      <c r="KF16" s="21">
        <f>SUM(DATA[[#This Row],[Total FTE Management Employees]:[Total FTE Other Employees]])</f>
        <v>90</v>
      </c>
      <c r="KG16" s="21" t="str">
        <f>IF(SUM(DATA[[#This Row],[Home Support service split percentage (Expenditure):]],DATA[[#This Row],[Supported Living service split percentage (Expenditure):]])&gt;0, IF(DATA[[#This Row],[Home Support service split percentage (Expenditure):]]&gt;0.5,"Home Support","Supported Living"), "Unknown")</f>
        <v>Supported Living</v>
      </c>
      <c r="KH16" s="21">
        <f>SUM(DATA[[#This Row],[Home Support: Birmingham City Council]:[Home Support: Self-funded]])</f>
        <v>0</v>
      </c>
      <c r="KI16" s="21">
        <f>SUM(DATA[[#This Row],[Supported Living: Birmingham City Council]:[Supported Living: Self-funded]])</f>
        <v>5088</v>
      </c>
      <c r="KJ16"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16"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16"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16"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16" s="21" t="b">
        <f>SUM(DATA[[#This Row],[Number of hours of care charged for in last full accounting year]:[Corporate Overheads: Other  - please specify (category) 1]])&gt;0</f>
        <v>1</v>
      </c>
      <c r="KO16" s="21">
        <f>SUM(DATA[[#This Row],[Total annual expenditure: Management staff]:[Total annual expenditure: Training and development]])</f>
        <v>3508676.5699999994</v>
      </c>
      <c r="KP16" s="21">
        <f>SUM(DATA[[#This Row],[Recruitment &amp; advertising (including DBS checks)]:[Non-Staffing Direct Cost: Other  - please specify (amount) 2]])</f>
        <v>50710.020000000004</v>
      </c>
      <c r="KQ16" s="21">
        <f>SUM(DATA[[#This Row],[Insurance ]:[Indirect costs: Other 2 - please specify (amount)]])</f>
        <v>54410.92</v>
      </c>
      <c r="KR16" s="21">
        <f>SUM(DATA[[#This Row],[Central / Regional Management]],DATA[[#This Row],[Support Services (finance / HR / Payroll / legal etc.)]],DATA[[#This Row],[Corporate Overheads: Other  - please specify (amount) 1]],DATA[[#This Row],[Corporate Overheads: Other  - please specify (amount) 2]])</f>
        <v>15756</v>
      </c>
      <c r="KS16"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0.67743046617747837</v>
      </c>
      <c r="KT16"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13.813752611697058</v>
      </c>
      <c r="KU16"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0.13037591722800743</v>
      </c>
      <c r="KV16"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6"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16" s="30">
        <f>IF(OR(NOT(DATA[[#This Row],[Total annual expenditure: Travel Cost]]&gt;0),NOT(DATA[[#This Row],[Number of hours of care charged for in last full accounting year]]&gt;0)),0,DATA[[#This Row],[Total annual expenditure: Travel Cost]]/DATA[[#This Row],[Number of hours of care charged for in last full accounting year]])</f>
        <v>4.0201455864409048E-2</v>
      </c>
      <c r="KY16"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16"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16"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1.0028916709846725E-2</v>
      </c>
      <c r="LB16"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6.286726728734518E-2</v>
      </c>
      <c r="LC16" s="30">
        <f>IF(OR(NOT(DATA[[#This Row],[Care consumables &amp; uniforms]]&gt;0),NOT(DATA[[#This Row],[Number of hours of care charged for in last full accounting year]]&gt;0)),0,DATA[[#This Row],[Care consumables &amp; uniforms]]/DATA[[#This Row],[Number of hours of care charged for in last full accounting year]])</f>
        <v>6.0674946094572683E-2</v>
      </c>
      <c r="LD16" s="30">
        <f>IF(OR(NOT(DATA[[#This Row],[Electronic call monitoring]]&gt;0),NOT(DATA[[#This Row],[Number of hours of care charged for in last full accounting year]]&gt;0)),0,DATA[[#This Row],[Electronic call monitoring]]/DATA[[#This Row],[Number of hours of care charged for in last full accounting year]])</f>
        <v>0</v>
      </c>
      <c r="LE16" s="30">
        <f>IF(OR(NOT(DATA[[#This Row],[IT Equipment &amp; Telephoney]]&gt;0),NOT(DATA[[#This Row],[Number of hours of care charged for in last full accounting year]]&gt;0)),0,DATA[[#This Row],[IT Equipment &amp; Telephoney]]/DATA[[#This Row],[Number of hours of care charged for in last full accounting year]])</f>
        <v>4.1398699583799957E-2</v>
      </c>
      <c r="LF16"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2.6075183445601485E-2</v>
      </c>
      <c r="LG16"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1.0857723101609642E-2</v>
      </c>
      <c r="LH16" s="30">
        <f>IF(OR(NOT(DATA[[#This Row],[Insurance ]]&gt;0),NOT(DATA[[#This Row],[Number of hours of care charged for in last full accounting year]]&gt;0)),0,DATA[[#This Row],[Insurance ]]/DATA[[#This Row],[Number of hours of care charged for in last full accounting year]])</f>
        <v>8.7945074966152406E-2</v>
      </c>
      <c r="LI16"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3.6520467347518674E-2</v>
      </c>
      <c r="LJ16" s="30">
        <f>IF(OR(NOT(DATA[[#This Row],[Repairs and maintenance]]&gt;0),NOT(DATA[[#This Row],[Number of hours of care charged for in last full accounting year]]&gt;0)),0,DATA[[#This Row],[Repairs and maintenance]]/DATA[[#This Row],[Number of hours of care charged for in last full accounting year]])</f>
        <v>2.9252009962057263E-2</v>
      </c>
      <c r="LK16"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6.3041101843649194E-2</v>
      </c>
      <c r="LL16" s="30">
        <f>IF(OR(NOT(DATA[[#This Row],[Registration &amp; Inspection fees ]]&gt;0),NOT(DATA[[#This Row],[Number of hours of care charged for in last full accounting year]]&gt;0)),0,DATA[[#This Row],[Registration &amp; Inspection fees ]]/DATA[[#This Row],[Number of hours of care charged for in last full accounting year]])</f>
        <v>9.2719006468651288E-3</v>
      </c>
      <c r="LM16" s="30">
        <f>IF(OR(NOT(DATA[[#This Row],[Subscriptions]]&gt;0),NOT(DATA[[#This Row],[Number of hours of care charged for in last full accounting year]]&gt;0)),0,DATA[[#This Row],[Subscriptions]]/DATA[[#This Row],[Number of hours of care charged for in last full accounting year]])</f>
        <v>1.3371888946462299E-3</v>
      </c>
      <c r="LN16" s="30">
        <f>IF(OR(NOT(DATA[[#This Row],[Cost of finance]]&gt;0),NOT(DATA[[#This Row],[Number of hours of care charged for in last full accounting year]]&gt;0)),0,DATA[[#This Row],[Cost of finance]]/DATA[[#This Row],[Number of hours of care charged for in last full accounting year]])</f>
        <v>0</v>
      </c>
      <c r="LO16" s="30">
        <f>IF(OR(NOT(DATA[[#This Row],[Other non-staff current expenses]]&gt;0),NOT(DATA[[#This Row],[Number of hours of care charged for in last full accounting year]]&gt;0)),0,DATA[[#This Row],[Other non-staff current expenses]]/DATA[[#This Row],[Number of hours of care charged for in last full accounting year]])</f>
        <v>0</v>
      </c>
      <c r="LP16"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16"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16" s="30">
        <f>IF(OR(NOT(DATA[[#This Row],[Central / Regional Management]]&gt;0),NOT(DATA[[#This Row],[Number of hours of care charged for in last full accounting year]]&gt;0)),0,DATA[[#This Row],[Central / Regional Management]]/DATA[[#This Row],[Number of hours of care charged for in last full accounting year]])</f>
        <v>0</v>
      </c>
      <c r="LS16"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6.5839838200143747E-2</v>
      </c>
      <c r="LT16"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16"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16" s="30">
        <f>SUM(DATA[[#This Row],[Management staff HOURLY RATE]:[Corporate Overheads: Other  - please specify (amount) 2 HOURLY RATE]])</f>
        <v>15.166870769050762</v>
      </c>
      <c r="LW16" s="30">
        <f>IF(OR(NOT(DATA[[#This Row],[Net Operating Profit]]&gt;0),NOT(DATA[[#This Row],[Number of hours of care charged for in last full accounting year]]&gt;0)),"",DATA[[#This Row],[Net Operating Profit]]/DATA[[#This Row],[Number of hours of care charged for in last full accounting year]])</f>
        <v>0.58669162752603343</v>
      </c>
      <c r="LX16" s="30">
        <f>IF(OR(NOT(DATA[[#This Row],[Return on Capital employed]]&gt;0),NOT(DATA[[#This Row],[Number of hours of care charged for in last full accounting year]]&gt;0)),0,DATA[[#This Row],[Return on Capital employed]]/DATA[[#This Row],[Number of hours of care charged for in last full accounting year]])</f>
        <v>0</v>
      </c>
      <c r="LY16" s="31">
        <v>10</v>
      </c>
      <c r="LZ16" s="30" t="s">
        <v>358</v>
      </c>
      <c r="MA16" s="30" t="b">
        <f>DATA[[#This Row],[Number of Home support clients:]]&gt;0</f>
        <v>0</v>
      </c>
      <c r="MB16" s="30" t="b">
        <f>DATA[[#This Row],[Number of supported living clients:]]&gt;0</f>
        <v>1</v>
      </c>
      <c r="MC16" s="30" t="b">
        <f>DATA[[#This Row],[Total Home Support Hours]]&gt;0</f>
        <v>0</v>
      </c>
      <c r="MD16" s="30" t="b">
        <f>DATA[[#This Row],[Total Supported Living Hours]]&gt;0</f>
        <v>1</v>
      </c>
      <c r="ME16" s="30" t="b">
        <f>DATA[[#This Row],[Home Support service split percentage (Expenditure):]]&gt;0.5</f>
        <v>0</v>
      </c>
      <c r="MF16" s="30" t="b">
        <f>DATA[[#This Row],[Agency staff HOURLY RATE]]=0</f>
        <v>1</v>
      </c>
      <c r="MG16" s="30">
        <f>IFERROR(IF(AVERAGE(DATA[[#This Row],[Registered manager: Current 2021/22 Minimum hourly pay rate ADJUSTED]],DATA[[#This Row],[Registered manager: Current 2021/22 Maximum hourly pay rate ADJUSTED]])&lt;LIVING_WAGE_22_23,DATA[[#This Row],[Registered manager: Numbers employed (Full Time Equivalent)]],0),"")</f>
        <v>0</v>
      </c>
      <c r="MH16" s="30">
        <f>IFERROR(IF(AVERAGE(DATA[[#This Row],[Deputy manager: Current 2021/22 Minimum hourly pay rate ADJUSTED]],DATA[[#This Row],[Deputy manager: Current 2021/22 Maximum hourly pay rate ADJUSTED]])&lt;LIVING_WAGE_22_23,DATA[[#This Row],[Deputy manager: Numbers employed (Full Time Equivalent)]],0),"")</f>
        <v>0</v>
      </c>
      <c r="MI16" s="30">
        <f>IFERROR(IF(AVERAGE(DATA[[#This Row],[Other manager 1: Current 2021/22 Minimum hourly pay rate ADJUSTED]],DATA[[#This Row],[Other manager 1: Current 2021/22 Maximum hourly pay rate ADJUSTED]])&lt;LIVING_WAGE_22_23,DATA[[#This Row],[Other manager 1: Numbers employed (Full Time Equivalent)]],0),"")</f>
        <v>0</v>
      </c>
      <c r="MJ16" s="30" t="str">
        <f>IFERROR(IF(AVERAGE(DATA[[#This Row],[Other manager 2: Current 2021/22 Minimum hourly pay rate ADJUSTED]],DATA[[#This Row],[Other manager 2: Current 2021/22 Maximum hourly pay rate ADJUSTED]])&lt;LIVING_WAGE_22_23,DATA[[#This Row],[Other manager 2: Numbers employed (Full Time Equivalent)]],0),"")</f>
        <v/>
      </c>
      <c r="MK16" s="30" t="str">
        <f>IFERROR(IF(AVERAGE(DATA[[#This Row],[Other manager 3: Current 2021/22 Minimum hourly pay rate ADJUSTED]],DATA[[#This Row],[Other manager 3: Current 2021/22 Maximum hourly pay rate ADJUSTED]])&lt;LIVING_WAGE_22_23,DATA[[#This Row],[Other manager 3: Numbers employed (Full Time Equivalent)]],0),"")</f>
        <v/>
      </c>
      <c r="ML16" s="30">
        <f>IFERROR(IF(AVERAGE(DATA[[#This Row],[Care Assistant 1: Current 2021/22 Minimum hourly pay rate ADJUSTED]],DATA[[#This Row],[Care Assistant 1: Current 2021/22 Maximum hourly pay rate ADJUSTED]])&lt;LIVING_WAGE_22_23,DATA[[#This Row],[Care Assistant 1: Numbers employed (Full Time Equivalent)]],0),"")</f>
        <v>0</v>
      </c>
      <c r="MM16" s="30">
        <f>IFERROR(IF(AVERAGE(DATA[[#This Row],[Care Assistant 2: Current 2021/22 Minimum hourly pay rate ADJUSTED]],DATA[[#This Row],[Care Assistant 2: Current 2021/22 Maximum hourly pay rate ADJUSTED]])&lt;LIVING_WAGE_22_23,DATA[[#This Row],[Care Assistant 2: Numbers employed (Full Time Equivalent)]],0),"")</f>
        <v>0</v>
      </c>
      <c r="MN16" s="30">
        <f>IFERROR(IF(AVERAGE(DATA[[#This Row],[Care Assistant 3: Current 2021/22 Minimum hourly pay rate ADJUSTED]],DATA[[#This Row],[Care Assistant 3: Current 2021/22 Maximum hourly pay rate ADJUSTED]])&lt;LIVING_WAGE_22_23,DATA[[#This Row],[Care Assistant 3: Numbers employed (Full Time Equivalent)]],0),"")</f>
        <v>0</v>
      </c>
      <c r="MO16" s="30">
        <f>IFERROR(IF(AVERAGE(DATA[[#This Row],[Care Assistant 4: Current 2021/22 Minimum hourly pay rate ADJUSTED]],DATA[[#This Row],[Care Assistant 4: Current 2021/22 Maximum hourly pay rate ADJUSTED]])&lt;LIVING_WAGE_22_23,DATA[[#This Row],[Care Assistant 4: Numbers employed (Full Time Equivalent)]],0),"")</f>
        <v>0</v>
      </c>
      <c r="MP16"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16"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16" s="30">
        <f>IFERROR(IF(AVERAGE(DATA[[#This Row],[Other staff 1: Current 2021/22 Minimum hourly pay rate ADJUSTED]],DATA[[#This Row],[Other staff 1: Current 2021/22 Maximum hourly pay rate ADJUSTED]])&lt;LIVING_WAGE_22_23,DATA[[#This Row],[Other staff 1: Numbers employed (Full Time Equivalent)]],0),"")</f>
        <v>0</v>
      </c>
      <c r="MS16" s="30" t="str">
        <f>IFERROR(IF(AVERAGE(DATA[[#This Row],[Other staff 2: Current 2021/22 Minimum hourly pay rate ADJUSTED]],DATA[[#This Row],[Other staff 2: Current 2021/22 Maximum hourly pay rate ADJUSTED]])&lt;LIVING_WAGE_22_23,DATA[[#This Row],[Other staff 2: Numbers employed (Full Time Equivalent)]],0),"")</f>
        <v/>
      </c>
      <c r="MT16" s="30" t="str">
        <f>IFERROR(IF(AVERAGE(DATA[[#This Row],[Other staff 3: Current 2021/22 Minimum hourly pay rate ADJUSTED]],DATA[[#This Row],[Other staff 3: Current 2021/22 Maximum hourly pay rate ADJUSTED]])&lt;LIVING_WAGE_22_23,DATA[[#This Row],[Other staff 3: Numbers employed (Full Time Equivalent)]],0),"")</f>
        <v/>
      </c>
      <c r="MU16" s="30">
        <f>SUM(DATA[[#This Row],[Registered Manager FTE earning less than NLW 23yrs 2022/23]:[Other staff 3 FTE earning less than NLW 23yrs 2022/23]])</f>
        <v>0</v>
      </c>
      <c r="MV16"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16"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16"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16"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16"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16"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16"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16"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16"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0</v>
      </c>
      <c r="NE16"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16"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16"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16"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16"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16" s="30" t="b">
        <v>1</v>
      </c>
      <c r="NK16" s="30" t="b">
        <v>1</v>
      </c>
      <c r="NL16" s="30" t="s">
        <v>505</v>
      </c>
      <c r="NM16" s="30">
        <f>SUM(DATA[[#This Row],[Management staff HOURLY RATE]:[Training and development HOURLY RATE]])</f>
        <v>14.661760450966954</v>
      </c>
      <c r="NN16" s="30">
        <f>SUM(DATA[[#This Row],[Recruitment &amp; advertising (including DBS checks) HOURLY RATE]:[Non-Staffing Direct Cost: Other  - please specify (amount) 2 HOURLY RATE]])</f>
        <v>0.21190273622277567</v>
      </c>
      <c r="NO16" s="30">
        <f>SUM(DATA[[#This Row],[Insurance  HOURLY RATE]:[Indirect costs: Other  - please specify (amount) 2 HOURLY RATE]])</f>
        <v>0.22736774366088888</v>
      </c>
      <c r="NP16" s="30">
        <f>SUM(DATA[[#This Row],[Central / Regional Management HOURLY RATE]:[Corporate Overheads: Other  - please specify (amount) 2 HOURLY RATE]])</f>
        <v>6.5839838200143747E-2</v>
      </c>
      <c r="NQ16"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16" s="30">
        <f>IFERROR(IF(AVERAGE(DATA[[#This Row],[Deputy manager: Current 2021/22 Minimum hourly pay rate ADJUSTED]],DATA[[#This Row],[Deputy manager: Current 2021/22 Maximum hourly pay rate ADJUSTED]])&lt;REAL_LIVING_WAGE_22_23,DATA[[#This Row],[Deputy manager: Numbers employed (Full Time Equivalent)]],0),"")</f>
        <v>0</v>
      </c>
      <c r="NS16" s="30">
        <f>IFERROR(IF(AVERAGE(DATA[[#This Row],[Other manager 1: Current 2021/22 Minimum hourly pay rate ADJUSTED]],DATA[[#This Row],[Other manager 1: Current 2021/22 Maximum hourly pay rate ADJUSTED]])&lt;REAL_LIVING_WAGE_22_23,DATA[[#This Row],[Other manager 1: Numbers employed (Full Time Equivalent)]],0),"")</f>
        <v>0</v>
      </c>
      <c r="NT16" s="30" t="str">
        <f>IFERROR(IF(AVERAGE(DATA[[#This Row],[Other manager 2: Current 2021/22 Minimum hourly pay rate ADJUSTED]],DATA[[#This Row],[Other manager 2: Current 2021/22 Maximum hourly pay rate ADJUSTED]])&lt;REAL_LIVING_WAGE_22_23,DATA[[#This Row],[Other manager 2: Numbers employed (Full Time Equivalent)]],0),"")</f>
        <v/>
      </c>
      <c r="NU16" s="30" t="str">
        <f>IFERROR(IF(AVERAGE(DATA[[#This Row],[Other manager 3: Current 2021/22 Minimum hourly pay rate ADJUSTED]],DATA[[#This Row],[Other manager 3: Current 2021/22 Maximum hourly pay rate ADJUSTED]])&lt;REAL_LIVING_WAGE_22_23,DATA[[#This Row],[Other manager 3: Numbers employed (Full Time Equivalent)]],0),"")</f>
        <v/>
      </c>
      <c r="NV16" s="30">
        <f>IFERROR(IF(AVERAGE(DATA[[#This Row],[Care Assistant 1: Current 2021/22 Minimum hourly pay rate ADJUSTED]],DATA[[#This Row],[Care Assistant 1: Current 2021/22 Maximum hourly pay rate ADJUSTED]])&lt;REAL_LIVING_WAGE_22_23,DATA[[#This Row],[Care Assistant 1: Numbers employed (Full Time Equivalent)]],0),"")</f>
        <v>22</v>
      </c>
      <c r="NW16" s="30">
        <f>IFERROR(IF(AVERAGE(DATA[[#This Row],[Care Assistant 2: Current 2021/22 Minimum hourly pay rate ADJUSTED]],DATA[[#This Row],[Care Assistant 2: Current 2021/22 Maximum hourly pay rate ADJUSTED]])&lt;REAL_LIVING_WAGE_22_23,DATA[[#This Row],[Care Assistant 2: Numbers employed (Full Time Equivalent)]],0),"")</f>
        <v>22</v>
      </c>
      <c r="NX16" s="30">
        <f>IFERROR(IF(AVERAGE(DATA[[#This Row],[Care Assistant 3: Current 2021/22 Minimum hourly pay rate ADJUSTED]],DATA[[#This Row],[Care Assistant 3: Current 2021/22 Maximum hourly pay rate ADJUSTED]])&lt;REAL_LIVING_WAGE_22_23,DATA[[#This Row],[Care Assistant 3: Numbers employed (Full Time Equivalent)]],0),"")</f>
        <v>0</v>
      </c>
      <c r="NY16" s="30">
        <f>IFERROR(IF(AVERAGE(DATA[[#This Row],[Care Assistant 4: Current 2021/22 Minimum hourly pay rate ADJUSTED]],DATA[[#This Row],[Care Assistant 4: Current 2021/22 Maximum hourly pay rate ADJUSTED]])&lt;REAL_LIVING_WAGE_22_23,DATA[[#This Row],[Care Assistant 4: Numbers employed (Full Time Equivalent)]],0),"")</f>
        <v>22</v>
      </c>
      <c r="NZ16"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16"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16" s="30">
        <f>IFERROR(IF(AVERAGE(DATA[[#This Row],[Other staff 1: Current 2021/22 Minimum hourly pay rate ADJUSTED]],DATA[[#This Row],[Other staff 1: Current 2021/22 Maximum hourly pay rate ADJUSTED]])&lt;REAL_LIVING_WAGE_22_23,DATA[[#This Row],[Other staff 1: Numbers employed (Full Time Equivalent)]],0),"")</f>
        <v>0</v>
      </c>
      <c r="OC16" s="30" t="str">
        <f>IFERROR(IF(AVERAGE(DATA[[#This Row],[Other staff 2: Current 2021/22 Minimum hourly pay rate ADJUSTED]],DATA[[#This Row],[Other staff 2: Current 2021/22 Maximum hourly pay rate ADJUSTED]])&lt;REAL_LIVING_WAGE_22_23,DATA[[#This Row],[Other staff 2: Numbers employed (Full Time Equivalent)]],0),"")</f>
        <v/>
      </c>
      <c r="OD16" s="30" t="str">
        <f>IFERROR(IF(AVERAGE(DATA[[#This Row],[Other staff 3: Current 2021/22 Minimum hourly pay rate ADJUSTED]],DATA[[#This Row],[Other staff 3: Current 2021/22 Maximum hourly pay rate ADJUSTED]])&lt;REAL_LIVING_WAGE_22_23,DATA[[#This Row],[Other staff 3: Numbers employed (Full Time Equivalent)]],0),"")</f>
        <v/>
      </c>
      <c r="OE16" s="30">
        <f>SUM(DATA[[#This Row],[Registered Manager FTE earning less than RLW 23yrs 2022/23]:[Other staff 3 FTE earning less than RLW 23yrs 2022/23]])</f>
        <v>66</v>
      </c>
      <c r="OF16"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16"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16"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16"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16"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16"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4.8400000000000141</v>
      </c>
      <c r="OL16"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4.8400000000000141</v>
      </c>
      <c r="OM16"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v>
      </c>
      <c r="ON16"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4.8400000000000141</v>
      </c>
      <c r="OO16"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16"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16"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16"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16"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16" s="30">
        <f>IFERROR(IF(DATA[[#This Row],[Registered manager: Numbers employed (Full Time Equivalent)]]=0,"",DATA[[#This Row],[Registered manager: Current 2021/22 Minimum hourly pay rate ADJUSTED 2]]*DATA[[#This Row],[Registered manager: Numbers employed (Full Time Equivalent)]]),"")</f>
        <v>22</v>
      </c>
      <c r="OU16" s="30">
        <f>IFERROR(IF(DATA[[#This Row],[Registered manager: Numbers employed (Full Time Equivalent)]]=0,"",DATA[[#This Row],[Registered manager: Current 2021/22 Maximum hourly pay rate ADJUSTED 2]]*DATA[[#This Row],[Registered manager: Numbers employed (Full Time Equivalent)]]),"")</f>
        <v>22</v>
      </c>
      <c r="OV16" s="30">
        <f>IFERROR(IF(DATA[[#This Row],[Registered manager: Numbers employed (Full Time Equivalent)]]=0,"",DATA[[#This Row],[Registered manager: Previous 2020/21 Minimum hourly pay rate ADJUSTED 2]]*DATA[[#This Row],[Registered manager: Numbers employed (Full Time Equivalent)]]),"")</f>
        <v>21.7</v>
      </c>
      <c r="OW16" s="30">
        <f>IFERROR(IF(DATA[[#This Row],[Registered manager: Numbers employed (Full Time Equivalent)]]=0,"",DATA[[#This Row],[Registered manager: Previous 2020/21 Maximum hourly pay rate ADJUSTED 2]]*DATA[[#This Row],[Registered manager: Numbers employed (Full Time Equivalent)]]),"")</f>
        <v>21.7</v>
      </c>
      <c r="OX16" s="30">
        <f>IFERROR(IF(DATA[[#This Row],[Deputy manager: Numbers employed (Full Time Equivalent)]]=0,"",DATA[[#This Row],[Deputy manager: Current 2021/22 Minimum hourly pay rate ADJUSTED 2]]*DATA[[#This Row],[Deputy manager: Numbers employed (Full Time Equivalent)]]),"")</f>
        <v>35.36</v>
      </c>
      <c r="OY16" s="30">
        <f>IFERROR(IF(DATA[[#This Row],[Deputy manager: Numbers employed (Full Time Equivalent)]]=0,"",DATA[[#This Row],[Deputy manager: Current 2021/22 Maximum hourly pay rate ADJUSTED 2]]*DATA[[#This Row],[Deputy manager: Numbers employed (Full Time Equivalent)]]),"")</f>
        <v>35.36</v>
      </c>
      <c r="OZ16" s="30">
        <f>IFERROR(IF(DATA[[#This Row],[Deputy manager: Numbers employed (Full Time Equivalent)]]=0,"",DATA[[#This Row],[Deputy manager: Previous 2020/21 Minimum hourly pay rate ADJUSTED 2]]*DATA[[#This Row],[Deputy manager: Numbers employed (Full Time Equivalent)]]),"")</f>
        <v>34.86</v>
      </c>
      <c r="PA16" s="30">
        <f>IFERROR(IF(DATA[[#This Row],[Deputy manager: Numbers employed (Full Time Equivalent)]]=0,"",DATA[[#This Row],[Deputy manager: Previous 2020/21 Maximum hourly pay rate ADJUSTED 2]]*DATA[[#This Row],[Deputy manager: Numbers employed (Full Time Equivalent)]]),"")</f>
        <v>34.86</v>
      </c>
      <c r="PB16" s="30">
        <f>IFERROR(IF(DATA[[#This Row],[Other manager 1: Numbers employed (Full Time Equivalent)]]=0,"",DATA[[#This Row],[Other manager 1: Current 2021/22 Minimum hourly pay rate ADJUSTED 2]]*DATA[[#This Row],[Other manager 1: Numbers employed (Full Time Equivalent)]]),"")</f>
        <v>62.68</v>
      </c>
      <c r="PC16" s="30">
        <f>IFERROR(IF(DATA[[#This Row],[Other manager 1: Numbers employed (Full Time Equivalent)]]=0,"",DATA[[#This Row],[Other manager 1: Current 2021/22 Maximum hourly pay rate ADJUSTED 2]]*DATA[[#This Row],[Other manager 1: Numbers employed (Full Time Equivalent)]]),"")</f>
        <v>62.68</v>
      </c>
      <c r="PD16" s="30">
        <f>IFERROR(IF(DATA[[#This Row],[Other manager 1: Numbers employed (Full Time Equivalent)]]=0,"",DATA[[#This Row],[Other manager 1: Previous 2020/21 Minimum hourly pay rate ADJUSTED 2]]*DATA[[#This Row],[Other manager 1: Numbers employed (Full Time Equivalent)]]),"")</f>
        <v>61.8</v>
      </c>
      <c r="PE16" s="30">
        <f>IFERROR(IF(DATA[[#This Row],[Other manager 1: Numbers employed (Full Time Equivalent)]]=0,"",DATA[[#This Row],[Other manager 1: Previous 2020/21 Maximum hourly pay rate ADJUSTED 2]]*DATA[[#This Row],[Other manager 1: Numbers employed (Full Time Equivalent)]]),"")</f>
        <v>61.8</v>
      </c>
      <c r="PF16" s="30" t="str">
        <f>IFERROR(IF(DATA[[#This Row],[Other manager 2: Numbers employed (Full Time Equivalent)]]=0,"",DATA[[#This Row],[Other manager 2: Current 2021/22 Minimum hourly pay rate ADJUSTED 2]]*DATA[[#This Row],[Other manager 2: Numbers employed (Full Time Equivalent)]]),"")</f>
        <v/>
      </c>
      <c r="PG16" s="30" t="str">
        <f>IFERROR(IF(DATA[[#This Row],[Other manager 2: Numbers employed (Full Time Equivalent)]]=0,"",DATA[[#This Row],[Other manager 2: Current 2021/22 Maximum hourly pay rate ADJUSTED 2]]*DATA[[#This Row],[Other manager 2: Numbers employed (Full Time Equivalent)]]),"")</f>
        <v/>
      </c>
      <c r="PH16" s="30" t="str">
        <f>IFERROR(IF(DATA[[#This Row],[Other manager 2: Numbers employed (Full Time Equivalent)]]=0,"",DATA[[#This Row],[Other manager 2: Previous 2020/21 Minimum hourly pay rate ADJUSTED 2]]*DATA[[#This Row],[Other manager 2: Numbers employed (Full Time Equivalent)]]),"")</f>
        <v/>
      </c>
      <c r="PI16" s="30" t="str">
        <f>IFERROR(IF(DATA[[#This Row],[Other manager 2: Numbers employed (Full Time Equivalent)]]=0,"",DATA[[#This Row],[Other manager 2: Previous 2020/21 Maximum hourly pay rate ADJUSTED 2]]*DATA[[#This Row],[Other manager 2: Numbers employed (Full Time Equivalent)]]),"")</f>
        <v/>
      </c>
      <c r="PJ16" s="30" t="str">
        <f>IFERROR(IF(DATA[[#This Row],[Other manager 3: Numbers employed (Full Time Equivalent)]]=0,"",DATA[[#This Row],[Other manager 3: Current 2021/22 Minimum hourly pay rate ADJUSTED 2]]*DATA[[#This Row],[Other manager 3: Numbers employed (Full Time Equivalent)]]),"")</f>
        <v/>
      </c>
      <c r="PK16" s="30" t="str">
        <f>IFERROR(IF(DATA[[#This Row],[Other manager 3: Numbers employed (Full Time Equivalent)]]=0,"",DATA[[#This Row],[Other manager 3: Current 2021/22 Maximum hourly pay rate ADJUSTED 2]]*DATA[[#This Row],[Other manager 3: Numbers employed (Full Time Equivalent)]]),"")</f>
        <v/>
      </c>
      <c r="PL16" s="30" t="str">
        <f>IFERROR(IF(DATA[[#This Row],[Other manager 3: Numbers employed (Full Time Equivalent)]]=0,"",DATA[[#This Row],[Other manager 3: Previous 2020/21 Minimum hourly pay rate ADJUSTED 2]]*DATA[[#This Row],[Other manager 3: Numbers employed (Full Time Equivalent)]]),"")</f>
        <v/>
      </c>
      <c r="PM16" s="30" t="str">
        <f>IFERROR(IF(DATA[[#This Row],[Other manager 3: Numbers employed (Full Time Equivalent)]]=0,"",DATA[[#This Row],[Other manager 3: Previous 2020/21 Maximum hourly pay rate ADJUSTED 2]]*DATA[[#This Row],[Other manager 3: Numbers employed (Full Time Equivalent)]]),"")</f>
        <v/>
      </c>
      <c r="PN16" s="30">
        <f>IFERROR(IF(DATA[[#This Row],[Care Assistant 1: Numbers employed (Full Time Equivalent)]]=0,"",DATA[[#This Row],[Care Assistant 1: Current 2021/22 Minimum hourly pay rate ADJUSTED 2]]*DATA[[#This Row],[Care Assistant 1: Numbers employed (Full Time Equivalent)]]),"")</f>
        <v>212.95999999999998</v>
      </c>
      <c r="PO16" s="30">
        <f>IFERROR(IF(DATA[[#This Row],[Care Assistant 1: Numbers employed (Full Time Equivalent)]]=0,"",DATA[[#This Row],[Care Assistant 1: Current 2021/22 Maximum hourly pay rate ADJUSTED 2]]*DATA[[#This Row],[Care Assistant 1: Numbers employed (Full Time Equivalent)]]),"")</f>
        <v>212.95999999999998</v>
      </c>
      <c r="PP16" s="30">
        <f>IFERROR(IF(DATA[[#This Row],[Care Assistant 1: Numbers employed (Full Time Equivalent)]]=0,"",DATA[[#This Row],[Care Assistant 1: Previous 2020/21 Minimum hourly pay rate ADJUSTED 2]]*DATA[[#This Row],[Care Assistant 1: Numbers employed (Full Time Equivalent)]]),"")</f>
        <v>209.88</v>
      </c>
      <c r="PQ16" s="30">
        <f>IFERROR(IF(DATA[[#This Row],[Care Assistant 1: Numbers employed (Full Time Equivalent)]]=0,"",DATA[[#This Row],[Care Assistant 1: Previous 2020/21 Maximum hourly pay rate ADJUSTED 2]]*DATA[[#This Row],[Care Assistant 1: Numbers employed (Full Time Equivalent)]]),"")</f>
        <v>209.88</v>
      </c>
      <c r="PR16" s="30">
        <f>IFERROR(IF(DATA[[#This Row],[Care Assistant 2: Numbers employed (Full Time Equivalent)]]=0,"",DATA[[#This Row],[Care Assistant 2: Current 2021/22 Minimum hourly pay rate ADJUSTED 2]]*DATA[[#This Row],[Care Assistant 2: Numbers employed (Full Time Equivalent)]]),"")</f>
        <v>212.95999999999998</v>
      </c>
      <c r="PS16" s="30">
        <f>IFERROR(IF(DATA[[#This Row],[Care Assistant 2: Numbers employed (Full Time Equivalent)]]=0,"",DATA[[#This Row],[Care Assistant 2: Current 2021/22 Maximum hourly pay rate ADJUSTED 2]]*DATA[[#This Row],[Care Assistant 2: Numbers employed (Full Time Equivalent)]]),"")</f>
        <v>212.95999999999998</v>
      </c>
      <c r="PT16" s="30">
        <f>IFERROR(IF(DATA[[#This Row],[Care Assistant 2: Numbers employed (Full Time Equivalent)]]=0,"",DATA[[#This Row],[Care Assistant 2: Previous 2020/21 Minimum hourly pay rate ADJUSTED 2]]*DATA[[#This Row],[Care Assistant 2: Numbers employed (Full Time Equivalent)]]),"")</f>
        <v>209.88</v>
      </c>
      <c r="PU16" s="30">
        <f>IFERROR(IF(DATA[[#This Row],[Care Assistant 2: Numbers employed (Full Time Equivalent)]]=0,"",DATA[[#This Row],[Care Assistant 2: Previous 2020/21 Maximum hourly pay rate ADJUSTED 2]]*DATA[[#This Row],[Care Assistant 2: Numbers employed (Full Time Equivalent)]]),"")</f>
        <v>209.88</v>
      </c>
      <c r="PV16" s="30">
        <f>IFERROR(IF(DATA[[#This Row],[Care Assistant 3: Numbers employed (Full Time Equivalent)]]=0,"",DATA[[#This Row],[Care Assistant 3: Current 2021/22 Minimum hourly pay rate ADJUSTED 2]]*DATA[[#This Row],[Care Assistant 3: Numbers employed (Full Time Equivalent)]]),"")</f>
        <v>122.39999999999999</v>
      </c>
      <c r="PW16" s="30">
        <f>IFERROR(IF(DATA[[#This Row],[Care Assistant 3: Numbers employed (Full Time Equivalent)]]=0,"",DATA[[#This Row],[Care Assistant 3: Current 2021/22 Maximum hourly pay rate ADJUSTED 2]]*DATA[[#This Row],[Care Assistant 3: Numbers employed (Full Time Equivalent)]]),"")</f>
        <v>122.39999999999999</v>
      </c>
      <c r="PX16" s="30">
        <f>IFERROR(IF(DATA[[#This Row],[Care Assistant 3: Numbers employed (Full Time Equivalent)]]=0,"",DATA[[#This Row],[Care Assistant 3: Previous 2020/21 Minimum hourly pay rate ADJUSTED 2]]*DATA[[#This Row],[Care Assistant 3: Numbers employed (Full Time Equivalent)]]),"")</f>
        <v>120.72</v>
      </c>
      <c r="PY16" s="30">
        <f>IFERROR(IF(DATA[[#This Row],[Care Assistant 3: Numbers employed (Full Time Equivalent)]]=0,"",DATA[[#This Row],[Care Assistant 3: Previous 2020/21 Maximum hourly pay rate ADJUSTED 2]]*DATA[[#This Row],[Care Assistant 3: Numbers employed (Full Time Equivalent)]]),"")</f>
        <v>120.72</v>
      </c>
      <c r="PZ16" s="30">
        <f>IFERROR(IF(DATA[[#This Row],[Care Assistant 4: Numbers employed (Full Time Equivalent)]]=0,"",DATA[[#This Row],[Care Assistant 4: Current 2021/22 Minimum hourly pay rate ADJUSTED 2]]*DATA[[#This Row],[Care Assistant 4: Numbers employed (Full Time Equivalent)]]),"")</f>
        <v>212.95999999999998</v>
      </c>
      <c r="QA16" s="30">
        <f>IFERROR(IF(DATA[[#This Row],[Care Assistant 4: Numbers employed (Full Time Equivalent)]]=0,"",DATA[[#This Row],[Care Assistant 4: Current 2021/22 Maximum hourly pay rate ADJUSTED 2]]*DATA[[#This Row],[Care Assistant 4: Numbers employed (Full Time Equivalent)]]),"")</f>
        <v>212.95999999999998</v>
      </c>
      <c r="QB16" s="30">
        <f>IFERROR(IF(DATA[[#This Row],[Care Assistant 4: Numbers employed (Full Time Equivalent)]]=0,"",DATA[[#This Row],[Care Assistant 4: Previous 2020/21 Minimum hourly pay rate ADJUSTED 2]]*DATA[[#This Row],[Care Assistant 4: Numbers employed (Full Time Equivalent)]]),"")</f>
        <v>209.88</v>
      </c>
      <c r="QC16" s="30">
        <f>IFERROR(IF(DATA[[#This Row],[Care Assistant 4: Numbers employed (Full Time Equivalent)]]=0,"",DATA[[#This Row],[Care Assistant 4: Previous 2020/21 Maximum hourly pay rate ADJUSTED 2]]*DATA[[#This Row],[Care Assistant 4: Numbers employed (Full Time Equivalent)]]),"")</f>
        <v>209.88</v>
      </c>
      <c r="QD16" s="30" t="str">
        <f>IFERROR(IF(DATA[[#This Row],[Administrative Officer 1: Numbers employed (Full Time Equivalent)]]=0,"",DATA[[#This Row],[Administrative Officer 1: Current 2021/22 Minimum hourly pay rate ADJUSTED 2]]*DATA[[#This Row],[Administrative Officer 1: Numbers employed (Full Time Equivalent)]]),"")</f>
        <v/>
      </c>
      <c r="QE16" s="30" t="str">
        <f>IFERROR(IF(DATA[[#This Row],[Administrative Officer 1: Numbers employed (Full Time Equivalent)]]=0,"",DATA[[#This Row],[Administrative Officer 1: Current 2021/22 Maximum hourly pay rate ADJUSTED 2]]*DATA[[#This Row],[Administrative Officer 1: Numbers employed (Full Time Equivalent)]]),"")</f>
        <v/>
      </c>
      <c r="QF16" s="30" t="str">
        <f>IFERROR(IF(DATA[[#This Row],[Administrative Officer 1: Numbers employed (Full Time Equivalent)]]=0,"",DATA[[#This Row],[Administrative Officer 1: Previous 2020/21 Minimum hourly pay rate ADJUSTED 2]]*DATA[[#This Row],[Administrative Officer 1: Numbers employed (Full Time Equivalent)]]),"")</f>
        <v/>
      </c>
      <c r="QG16" s="30" t="str">
        <f>IFERROR(IF(DATA[[#This Row],[Administrative Officer 1: Numbers employed (Full Time Equivalent)]]=0,"",DATA[[#This Row],[Administrative Officer 1: Previous 2020/21 Maximum hourly pay rate ADJUSTED 2]]*DATA[[#This Row],[Administrative Officer 1: Numbers employed (Full Time Equivalent)]]),"")</f>
        <v/>
      </c>
      <c r="QH16" s="30" t="str">
        <f>IFERROR(IF(DATA[[#This Row],[Administrative Officer 2: Numbers employed (Full Time Equivalent)]]=0,"",DATA[[#This Row],[Administrative Officer 2: Current 2021/22 Minimum hourly pay rate ADJUSTED 2]]*DATA[[#This Row],[Administrative Officer 2: Numbers employed (Full Time Equivalent)]]),"")</f>
        <v/>
      </c>
      <c r="QI16" s="30" t="str">
        <f>IFERROR(IF(DATA[[#This Row],[Administrative Officer 2: Numbers employed (Full Time Equivalent)]]=0,"",DATA[[#This Row],[Administrative Officer 2: Current 2021/22 Maximum hourly pay rate ADJUSTED 2]]*DATA[[#This Row],[Administrative Officer 2: Numbers employed (Full Time Equivalent)]]),"")</f>
        <v/>
      </c>
      <c r="QJ16" s="30" t="str">
        <f>IFERROR(IF(DATA[[#This Row],[Administrative Officer 2: Numbers employed (Full Time Equivalent)]]=0,"",DATA[[#This Row],[Administrative Officer 2: Previous 2020/21 Minimum hourly pay rate ADJUSTED 2]]*DATA[[#This Row],[Administrative Officer 2: Numbers employed (Full Time Equivalent)]]),"")</f>
        <v/>
      </c>
      <c r="QK16" s="30" t="str">
        <f>IFERROR(IF(DATA[[#This Row],[Administrative Officer 2: Numbers employed (Full Time Equivalent)]]=0,"",DATA[[#This Row],[Administrative Officer 2: Previous 2020/21 Maximum hourly pay rate ADJUSTED 2]]*DATA[[#This Row],[Administrative Officer 2: Numbers employed (Full Time Equivalent)]]),"")</f>
        <v/>
      </c>
      <c r="QL16" s="30" t="str">
        <f>IFERROR(IF(DATA[[#This Row],[Administrative Officer 3: Numbers employed (Full Time Equivalent)]]=0,"",DATA[[#This Row],[Administrative Officer 3: Current 2021/22 Minimum hourly pay rate ADJUSTED 2]]*DATA[[#This Row],[Administrative Officer 3: Numbers employed (Full Time Equivalent)]]),"")</f>
        <v/>
      </c>
      <c r="QM16" s="30" t="str">
        <f>IFERROR(IF(DATA[[#This Row],[Administrative Officer 3: Numbers employed (Full Time Equivalent)]]=0,"",DATA[[#This Row],[Administrative Officer 3: Current 2021/22 Maximum hourly pay rate ADJUSTED 2]]*DATA[[#This Row],[Administrative Officer 3: Numbers employed (Full Time Equivalent)]]),"")</f>
        <v/>
      </c>
      <c r="QN16" s="30" t="str">
        <f>IFERROR(IF(DATA[[#This Row],[Administrative Officer 3: Numbers employed (Full Time Equivalent)]]=0,"",DATA[[#This Row],[Administrative Officer 3: Previous 2020/21 Minimum hourly pay rate ADJUSTED 2]]*DATA[[#This Row],[Administrative Officer 3: Numbers employed (Full Time Equivalent)]]),"")</f>
        <v/>
      </c>
      <c r="QO16" s="30" t="str">
        <f>IFERROR(IF(DATA[[#This Row],[Administrative Officer 3: Numbers employed (Full Time Equivalent)]]=0,"",DATA[[#This Row],[Administrative Officer 3: Previous 2020/21 Maximum hourly pay rate ADJUSTED 2]]*DATA[[#This Row],[Administrative Officer 3: Numbers employed (Full Time Equivalent)]]),"")</f>
        <v/>
      </c>
      <c r="QP16" s="28">
        <f>IFERROR(IF(DATA[[#This Row],[Other staff 1: Numbers employed (Full Time Equivalent)]]=0,"",DATA[[#This Row],[Other staff 1: Current 2021/22 Minimum hourly pay rate ADJUSTED 2]]*DATA[[#This Row],[Other staff 1: Numbers employed (Full Time Equivalent)]]),"")</f>
        <v>78.349999999999994</v>
      </c>
      <c r="QQ16" s="28">
        <f>IFERROR(IF(DATA[[#This Row],[Other staff 1: Numbers employed (Full Time Equivalent)]]=0,"",DATA[[#This Row],[Other staff 1: Current 2021/22 Maximum hourly pay rate ADJUSTED 2]]*DATA[[#This Row],[Other staff 1: Numbers employed (Full Time Equivalent)]]),"")</f>
        <v>78.349999999999994</v>
      </c>
      <c r="QR16" s="28">
        <f>IFERROR(IF(DATA[[#This Row],[Other staff 1: Numbers employed (Full Time Equivalent)]]=0,"",DATA[[#This Row],[Other staff 1: Previous 2020/21 Minimum hourly pay rate ADJUSTED 2]]*DATA[[#This Row],[Other staff 1: Numbers employed (Full Time Equivalent)]]),"")</f>
        <v>77.25</v>
      </c>
      <c r="QS16" s="28">
        <f>IFERROR(IF(DATA[[#This Row],[Other staff 1: Numbers employed (Full Time Equivalent)]]=0,"",DATA[[#This Row],[Other staff 1: Previous 2020/21 Maximum hourly pay rate ADJUSTED 2]]*DATA[[#This Row],[Other staff 1: Numbers employed (Full Time Equivalent)]]),"")</f>
        <v>77.25</v>
      </c>
      <c r="QT16" s="28" t="str">
        <f>IFERROR(IF(DATA[[#This Row],[Other staff 2: Numbers employed (Full Time Equivalent)]]=0,"",DATA[[#This Row],[Other staff 2: Current 2021/22 Minimum hourly pay rate ADJUSTED 2]]*DATA[[#This Row],[Other staff 2: Numbers employed (Full Time Equivalent)]]),"")</f>
        <v/>
      </c>
      <c r="QU16" s="28" t="str">
        <f>IFERROR(IF(DATA[[#This Row],[Other staff 2: Numbers employed (Full Time Equivalent)]]=0,"",DATA[[#This Row],[Other staff 2: Current 2021/22 Maximum hourly pay rate ADJUSTED 2]]*DATA[[#This Row],[Other staff 2: Numbers employed (Full Time Equivalent)]]),"")</f>
        <v/>
      </c>
      <c r="QV16" s="28" t="str">
        <f>IFERROR(IF(DATA[[#This Row],[Other staff 2: Numbers employed (Full Time Equivalent)]]=0,"",DATA[[#This Row],[Other staff 2: Previous 2020/21 Minimum hourly pay rate ADJUSTED 2]]*DATA[[#This Row],[Other staff 2: Numbers employed (Full Time Equivalent)]]),"")</f>
        <v/>
      </c>
      <c r="QW16" s="28" t="str">
        <f>IFERROR(IF(DATA[[#This Row],[Other staff 2: Numbers employed (Full Time Equivalent)]]=0,"",DATA[[#This Row],[Other staff 2: Previous 2020/21 Maximum hourly pay rate ADJUSTED 2]]*DATA[[#This Row],[Other staff 2: Numbers employed (Full Time Equivalent)]]),"")</f>
        <v/>
      </c>
      <c r="QX16" s="28" t="str">
        <f>IFERROR(IF(DATA[[#This Row],[Other staff 3: Numbers employed (Full Time Equivalent)]]=0,"",DATA[[#This Row],[Other staff 3: Current 2021/22 Minimum hourly pay rate ADJUSTED 2]]*DATA[[#This Row],[Other staff 3: Numbers employed (Full Time Equivalent)]]),"")</f>
        <v/>
      </c>
      <c r="QY16" s="28" t="str">
        <f>IFERROR(IF(DATA[[#This Row],[Other staff 3: Numbers employed (Full Time Equivalent)]]=0,"",DATA[[#This Row],[Other staff 3: Current 2021/22 Maximum hourly pay rate ADJUSTED 2]]*DATA[[#This Row],[Other staff 3: Numbers employed (Full Time Equivalent)]]),"")</f>
        <v/>
      </c>
      <c r="QZ16" s="28" t="str">
        <f>IFERROR(IF(DATA[[#This Row],[Other staff 3: Numbers employed (Full Time Equivalent)]]=0,"",DATA[[#This Row],[Other staff 3: Previous 2020/21 Minimum hourly pay rate ADJUSTED 2]]*DATA[[#This Row],[Other staff 3: Numbers employed (Full Time Equivalent)]]),"")</f>
        <v/>
      </c>
      <c r="RA16" s="28" t="str">
        <f>IFERROR(IF(DATA[[#This Row],[Other staff 3: Numbers employed (Full Time Equivalent)]]=0,"",DATA[[#This Row],[Other staff 3: Previous 2020/21 Maximum hourly pay rate ADJUSTED 2]]*DATA[[#This Row],[Other staff 3: Numbers employed (Full Time Equivalent)]]),"")</f>
        <v/>
      </c>
      <c r="RB16"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16"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2</v>
      </c>
      <c r="RD16"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4</v>
      </c>
      <c r="RE16"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16"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16"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22</v>
      </c>
      <c r="RH16"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22</v>
      </c>
      <c r="RI16"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12</v>
      </c>
      <c r="RJ16"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22</v>
      </c>
      <c r="RK16"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16"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16"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16"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5</v>
      </c>
      <c r="RO16"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16"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17" spans="7:484" x14ac:dyDescent="0.25">
      <c r="G17" s="2">
        <v>11</v>
      </c>
      <c r="H17" s="2">
        <v>0</v>
      </c>
      <c r="I17" s="2">
        <v>3</v>
      </c>
      <c r="K17" s="2">
        <v>1</v>
      </c>
      <c r="L17" s="2" t="s">
        <v>328</v>
      </c>
      <c r="M17" s="2" t="s">
        <v>328</v>
      </c>
      <c r="R17" s="2">
        <v>1</v>
      </c>
      <c r="S17" s="2">
        <v>0</v>
      </c>
      <c r="T17" s="2">
        <v>0</v>
      </c>
      <c r="U17" s="2">
        <v>0</v>
      </c>
      <c r="V17" s="2">
        <v>0</v>
      </c>
      <c r="W17" s="2">
        <v>0</v>
      </c>
      <c r="X17" s="2">
        <v>0</v>
      </c>
      <c r="Y17" s="2">
        <v>0</v>
      </c>
      <c r="Z17" s="2">
        <v>0</v>
      </c>
      <c r="AA17" s="2">
        <v>0</v>
      </c>
      <c r="AB17" s="2" t="s">
        <v>315</v>
      </c>
      <c r="AC17" s="2">
        <v>0</v>
      </c>
      <c r="AD17" s="2">
        <v>0</v>
      </c>
      <c r="AE17" s="2">
        <v>0</v>
      </c>
      <c r="AF17" s="2">
        <v>0</v>
      </c>
      <c r="AG17" s="2">
        <v>0</v>
      </c>
      <c r="AH17" s="2" t="s">
        <v>315</v>
      </c>
      <c r="AI17" s="2">
        <v>0</v>
      </c>
      <c r="AJ17" s="2">
        <v>0</v>
      </c>
      <c r="AK17" s="2">
        <v>0</v>
      </c>
      <c r="AL17" s="2">
        <v>0</v>
      </c>
      <c r="AM17" s="2">
        <v>0</v>
      </c>
      <c r="AN17" s="2" t="s">
        <v>315</v>
      </c>
      <c r="AO17" s="2">
        <v>0</v>
      </c>
      <c r="AP17" s="2">
        <v>0</v>
      </c>
      <c r="AQ17" s="2">
        <v>0</v>
      </c>
      <c r="AR17" s="2">
        <v>0</v>
      </c>
      <c r="AS17" s="2">
        <v>0</v>
      </c>
      <c r="AT17" s="2" t="s">
        <v>376</v>
      </c>
      <c r="AU17" s="2">
        <v>12.69</v>
      </c>
      <c r="AV17" s="2">
        <v>13.79</v>
      </c>
      <c r="AW17" s="2">
        <v>0</v>
      </c>
      <c r="AX17" s="2">
        <v>0</v>
      </c>
      <c r="AY17" s="2">
        <v>0</v>
      </c>
      <c r="AZ17" s="2" t="s">
        <v>316</v>
      </c>
      <c r="BA17" s="2">
        <v>9.19</v>
      </c>
      <c r="BB17" s="2">
        <v>10.44</v>
      </c>
      <c r="BC17" s="2">
        <v>0</v>
      </c>
      <c r="BD17" s="2">
        <v>0</v>
      </c>
      <c r="BE17" s="2">
        <v>0</v>
      </c>
      <c r="BF17" s="2" t="s">
        <v>316</v>
      </c>
      <c r="BG17" s="2">
        <v>0</v>
      </c>
      <c r="BH17" s="2">
        <v>0</v>
      </c>
      <c r="BI17" s="2">
        <v>0</v>
      </c>
      <c r="BJ17" s="2">
        <v>0</v>
      </c>
      <c r="BK17" s="2">
        <v>0</v>
      </c>
      <c r="BL17" s="2" t="s">
        <v>316</v>
      </c>
      <c r="BM17" s="2">
        <v>0</v>
      </c>
      <c r="BN17" s="2">
        <v>0</v>
      </c>
      <c r="BO17" s="2">
        <v>0</v>
      </c>
      <c r="BP17" s="2">
        <v>0</v>
      </c>
      <c r="BQ17" s="2">
        <v>0</v>
      </c>
      <c r="BR17" s="2" t="s">
        <v>317</v>
      </c>
      <c r="BS17" s="2">
        <v>0</v>
      </c>
      <c r="BT17" s="2">
        <v>0</v>
      </c>
      <c r="BU17" s="2">
        <v>0</v>
      </c>
      <c r="BV17" s="2">
        <v>0</v>
      </c>
      <c r="BW17" s="2">
        <v>0</v>
      </c>
      <c r="BX17" s="2" t="s">
        <v>317</v>
      </c>
      <c r="BY17" s="2">
        <v>0</v>
      </c>
      <c r="BZ17" s="2">
        <v>0</v>
      </c>
      <c r="CA17" s="2">
        <v>0</v>
      </c>
      <c r="CB17" s="2">
        <v>0</v>
      </c>
      <c r="CC17" s="2">
        <v>0</v>
      </c>
      <c r="CD17" s="2" t="s">
        <v>317</v>
      </c>
      <c r="CE17" s="2">
        <v>0</v>
      </c>
      <c r="CF17" s="2">
        <v>0</v>
      </c>
      <c r="CG17" s="2">
        <v>0</v>
      </c>
      <c r="CH17" s="2">
        <v>0</v>
      </c>
      <c r="CI17" s="2">
        <v>0</v>
      </c>
      <c r="CJ17" s="2" t="s">
        <v>318</v>
      </c>
      <c r="CK17" s="2">
        <v>0</v>
      </c>
      <c r="CL17" s="2">
        <v>0</v>
      </c>
      <c r="CM17" s="2">
        <v>0</v>
      </c>
      <c r="CN17" s="2">
        <v>0</v>
      </c>
      <c r="CO17" s="2">
        <v>0</v>
      </c>
      <c r="CP17" s="2" t="s">
        <v>318</v>
      </c>
      <c r="CQ17" s="2">
        <v>0</v>
      </c>
      <c r="CR17" s="2">
        <v>0</v>
      </c>
      <c r="CS17" s="2">
        <v>0</v>
      </c>
      <c r="CT17" s="2">
        <v>0</v>
      </c>
      <c r="CU17" s="2">
        <v>0</v>
      </c>
      <c r="CV17" s="2" t="s">
        <v>318</v>
      </c>
      <c r="CW17" s="2">
        <v>0</v>
      </c>
      <c r="CX17" s="2">
        <v>0</v>
      </c>
      <c r="CY17" s="2">
        <v>0</v>
      </c>
      <c r="CZ17" s="2">
        <v>0</v>
      </c>
      <c r="DA17" s="2">
        <v>0</v>
      </c>
      <c r="DB17" s="2">
        <v>0.04</v>
      </c>
      <c r="DC17" s="2">
        <v>0</v>
      </c>
      <c r="DD17" s="2">
        <v>0</v>
      </c>
      <c r="DE17" s="2">
        <v>0</v>
      </c>
      <c r="DF17" s="2">
        <v>0</v>
      </c>
      <c r="DG17" s="2">
        <v>0</v>
      </c>
      <c r="DH17" s="2">
        <v>0</v>
      </c>
      <c r="DI17" s="2">
        <v>287</v>
      </c>
      <c r="DJ17" s="2">
        <v>189</v>
      </c>
      <c r="DK17" s="2"/>
      <c r="DL17" s="2">
        <v>266</v>
      </c>
      <c r="DM17" s="2">
        <v>0</v>
      </c>
      <c r="DN17" s="2">
        <v>0</v>
      </c>
      <c r="DO17" s="2">
        <v>16.350000000000001</v>
      </c>
      <c r="DP17" s="2">
        <v>0</v>
      </c>
      <c r="DQ17" s="2">
        <v>0</v>
      </c>
      <c r="DR17" s="18">
        <v>43922</v>
      </c>
      <c r="DS17" s="18">
        <v>44286</v>
      </c>
      <c r="DT17" s="2">
        <v>37721</v>
      </c>
      <c r="DU17" s="2">
        <v>54088</v>
      </c>
      <c r="DV17" s="2">
        <v>418933</v>
      </c>
      <c r="DW17" s="2">
        <v>0</v>
      </c>
      <c r="DX17" s="2">
        <v>0</v>
      </c>
      <c r="DY17" s="2">
        <v>69187</v>
      </c>
      <c r="DZ17" s="2">
        <v>0</v>
      </c>
      <c r="EA17" s="2">
        <v>0</v>
      </c>
      <c r="EB17" s="2">
        <v>0</v>
      </c>
      <c r="EC17" s="2">
        <v>4878</v>
      </c>
      <c r="ED17" s="2">
        <v>5224</v>
      </c>
      <c r="EE17" s="2">
        <v>0</v>
      </c>
      <c r="EF17" s="2">
        <v>0</v>
      </c>
      <c r="EG17" s="2">
        <v>2642</v>
      </c>
      <c r="EH17" s="2" t="s">
        <v>324</v>
      </c>
      <c r="EI17" s="2">
        <v>0</v>
      </c>
      <c r="EJ17" s="2" t="s">
        <v>324</v>
      </c>
      <c r="EK17" s="2">
        <v>0</v>
      </c>
      <c r="EL17" s="2">
        <v>1811</v>
      </c>
      <c r="EM17" s="2">
        <v>1378</v>
      </c>
      <c r="EN17" s="2">
        <v>897</v>
      </c>
      <c r="EO17" s="2">
        <v>1950</v>
      </c>
      <c r="EP17" s="2">
        <v>0</v>
      </c>
      <c r="EQ17" s="2">
        <v>0</v>
      </c>
      <c r="ER17" s="2">
        <v>0</v>
      </c>
      <c r="ES17" s="2">
        <v>0</v>
      </c>
      <c r="ET17" s="2" t="s">
        <v>324</v>
      </c>
      <c r="EU17" s="2">
        <v>0</v>
      </c>
      <c r="EV17" s="2" t="s">
        <v>324</v>
      </c>
      <c r="EW17" s="2">
        <v>0</v>
      </c>
      <c r="EX17" s="2">
        <v>11668</v>
      </c>
      <c r="EY17" s="2">
        <v>5430</v>
      </c>
      <c r="EZ17" s="2" t="s">
        <v>326</v>
      </c>
      <c r="FA17" s="2">
        <v>0</v>
      </c>
      <c r="FB17" s="2" t="s">
        <v>326</v>
      </c>
      <c r="FC17" s="2">
        <v>0</v>
      </c>
      <c r="FD17" s="2">
        <v>58210</v>
      </c>
      <c r="FE17" s="2">
        <v>0</v>
      </c>
      <c r="FF17" s="2">
        <v>0</v>
      </c>
      <c r="FG17" s="2"/>
      <c r="FH17" s="19">
        <v>44480.623541666668</v>
      </c>
      <c r="FI17" s="2" t="s">
        <v>647</v>
      </c>
      <c r="FJ17" s="2">
        <f>SUM(DATA[[#This Row],[Number of Home support clients:]],DATA[[#This Row],[Number of supported living clients:]])</f>
        <v>3</v>
      </c>
      <c r="FK17"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17" s="2" t="str">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
      </c>
      <c r="FM17" s="2" t="str">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
      </c>
      <c r="FN17"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17"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17"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17"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17"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17"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17"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17"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17"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17"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17"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17"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17"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17"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17"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17"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17"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17"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17"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12.69</v>
      </c>
      <c r="GG17"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13.79</v>
      </c>
      <c r="GH17"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17"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17"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9.19</v>
      </c>
      <c r="GK17"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10.44</v>
      </c>
      <c r="GL17"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17"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17"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17"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17"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17"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17"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17"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17"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17"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17"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17"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17"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17"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17"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17"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17"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17"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17"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17"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17"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7"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7"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17"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17"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17"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17"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17"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17"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17"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17"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17"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17"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17"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17" s="2" t="str">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
      </c>
      <c r="HU17" s="2" t="str">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
      </c>
      <c r="HV17" s="2" t="str">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
      </c>
      <c r="HW17" s="2" t="str">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
      </c>
      <c r="HX17"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17"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17"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17"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17"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17"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17"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17"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17"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17"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17"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17"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17"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17"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17"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17"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17"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12.69</v>
      </c>
      <c r="IO17"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13.79</v>
      </c>
      <c r="IP17"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12.69</v>
      </c>
      <c r="IQ17"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13.79</v>
      </c>
      <c r="IR17"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9.19</v>
      </c>
      <c r="IS17"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10.44</v>
      </c>
      <c r="IT17"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9.19</v>
      </c>
      <c r="IU17"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10.44</v>
      </c>
      <c r="IV17"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17"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17"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17"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17"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17"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17"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17"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17"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17"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17"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17"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17"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17"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17"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17"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17"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17"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17"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17"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17"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17"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17"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17"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17"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17"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17"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17"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17"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17"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17"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17"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17"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v>
      </c>
      <c r="KC17" s="21">
        <f>SUM(DATA[[#This Row],[Care Assistant 1: Numbers employed (Full Time Equivalent)]],DATA[[#This Row],[Care Assistant 2: Numbers employed (Full Time Equivalent)]],DATA[[#This Row],[Care Assistant 3: Numbers employed (Full Time Equivalent)]],DATA[[#This Row],[Care Assistant 4: Numbers employed (Full Time Equivalent)]])</f>
        <v>0</v>
      </c>
      <c r="KD17" s="21">
        <f>SUM(DATA[[#This Row],[Administrative Officer 1: Numbers employed (Full Time Equivalent)]],DATA[[#This Row],[Administrative Officer 2: Numbers employed (Full Time Equivalent)]])</f>
        <v>0</v>
      </c>
      <c r="KE17" s="21">
        <f>SUM(DATA[[#This Row],[Other staff 1: Numbers employed (Full Time Equivalent)]],DATA[[#This Row],[Other staff 2: Numbers employed (Full Time Equivalent)]],DATA[[#This Row],[Other staff 3: Numbers employed (Full Time Equivalent)]])</f>
        <v>0</v>
      </c>
      <c r="KF17" s="21">
        <f>SUM(DATA[[#This Row],[Total FTE Management Employees]:[Total FTE Other Employees]])</f>
        <v>0</v>
      </c>
      <c r="KG17" s="21" t="str">
        <f>IF(SUM(DATA[[#This Row],[Home Support service split percentage (Expenditure):]],DATA[[#This Row],[Supported Living service split percentage (Expenditure):]])&gt;0, IF(DATA[[#This Row],[Home Support service split percentage (Expenditure):]]&gt;0.5,"Home Support","Supported Living"), "Unknown")</f>
        <v>Supported Living</v>
      </c>
      <c r="KH17" s="21">
        <f>SUM(DATA[[#This Row],[Home Support: Birmingham City Council]:[Home Support: Self-funded]])</f>
        <v>0</v>
      </c>
      <c r="KI17" s="21">
        <f>SUM(DATA[[#This Row],[Supported Living: Birmingham City Council]:[Supported Living: Self-funded]])</f>
        <v>742</v>
      </c>
      <c r="KJ17"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17"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17"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17"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17" s="21" t="b">
        <f>SUM(DATA[[#This Row],[Number of hours of care charged for in last full accounting year]:[Corporate Overheads: Other  - please specify (category) 1]])&gt;0</f>
        <v>1</v>
      </c>
      <c r="KO17" s="21">
        <f>SUM(DATA[[#This Row],[Total annual expenditure: Management staff]:[Total annual expenditure: Training and development]])</f>
        <v>542208</v>
      </c>
      <c r="KP17" s="21">
        <f>SUM(DATA[[#This Row],[Recruitment &amp; advertising (including DBS checks)]:[Non-Staffing Direct Cost: Other  - please specify (amount) 2]])</f>
        <v>12744</v>
      </c>
      <c r="KQ17" s="21">
        <f>SUM(DATA[[#This Row],[Insurance ]:[Indirect costs: Other 2 - please specify (amount)]])</f>
        <v>6036</v>
      </c>
      <c r="KR17" s="21">
        <f>SUM(DATA[[#This Row],[Central / Regional Management]],DATA[[#This Row],[Support Services (finance / HR / Payroll / legal etc.)]],DATA[[#This Row],[Corporate Overheads: Other  - please specify (amount) 1]],DATA[[#This Row],[Corporate Overheads: Other  - please specify (amount) 2]])</f>
        <v>17098</v>
      </c>
      <c r="KS17"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1.4338962381697198</v>
      </c>
      <c r="KT17"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11.10609474828345</v>
      </c>
      <c r="KU17"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17"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7" s="30">
        <f>IF(OR(NOT(DATA[[#This Row],[Total annual expenditure: Agency staff]]&gt;0),NOT(DATA[[#This Row],[Number of hours of care charged for in last full accounting year]]&gt;0)),0,DATA[[#This Row],[Total annual expenditure: Agency staff]]/DATA[[#This Row],[Number of hours of care charged for in last full accounting year]])</f>
        <v>1.8341772487473822</v>
      </c>
      <c r="KX17"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17"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17"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17"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0.12931788658837254</v>
      </c>
      <c r="LB17"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0.13849049601018001</v>
      </c>
      <c r="LC17" s="30">
        <f>IF(OR(NOT(DATA[[#This Row],[Care consumables &amp; uniforms]]&gt;0),NOT(DATA[[#This Row],[Number of hours of care charged for in last full accounting year]]&gt;0)),0,DATA[[#This Row],[Care consumables &amp; uniforms]]/DATA[[#This Row],[Number of hours of care charged for in last full accounting year]])</f>
        <v>0</v>
      </c>
      <c r="LD17" s="30">
        <f>IF(OR(NOT(DATA[[#This Row],[Electronic call monitoring]]&gt;0),NOT(DATA[[#This Row],[Number of hours of care charged for in last full accounting year]]&gt;0)),0,DATA[[#This Row],[Electronic call monitoring]]/DATA[[#This Row],[Number of hours of care charged for in last full accounting year]])</f>
        <v>0</v>
      </c>
      <c r="LE17" s="30">
        <f>IF(OR(NOT(DATA[[#This Row],[IT Equipment &amp; Telephoney]]&gt;0),NOT(DATA[[#This Row],[Number of hours of care charged for in last full accounting year]]&gt;0)),0,DATA[[#This Row],[IT Equipment &amp; Telephoney]]/DATA[[#This Row],[Number of hours of care charged for in last full accounting year]])</f>
        <v>7.0040560960738046E-2</v>
      </c>
      <c r="LF17"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17"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17" s="30">
        <f>IF(OR(NOT(DATA[[#This Row],[Insurance ]]&gt;0),NOT(DATA[[#This Row],[Number of hours of care charged for in last full accounting year]]&gt;0)),0,DATA[[#This Row],[Insurance ]]/DATA[[#This Row],[Number of hours of care charged for in last full accounting year]])</f>
        <v>4.8010392089287132E-2</v>
      </c>
      <c r="LI17"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3.6531375096100313E-2</v>
      </c>
      <c r="LJ17" s="30">
        <f>IF(OR(NOT(DATA[[#This Row],[Repairs and maintenance]]&gt;0),NOT(DATA[[#This Row],[Number of hours of care charged for in last full accounting year]]&gt;0)),0,DATA[[#This Row],[Repairs and maintenance]]/DATA[[#This Row],[Number of hours of care charged for in last full accounting year]])</f>
        <v>2.3779857373876622E-2</v>
      </c>
      <c r="LK17"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5.1695342117123087E-2</v>
      </c>
      <c r="LL17" s="30">
        <f>IF(OR(NOT(DATA[[#This Row],[Registration &amp; Inspection fees ]]&gt;0),NOT(DATA[[#This Row],[Number of hours of care charged for in last full accounting year]]&gt;0)),0,DATA[[#This Row],[Registration &amp; Inspection fees ]]/DATA[[#This Row],[Number of hours of care charged for in last full accounting year]])</f>
        <v>0</v>
      </c>
      <c r="LM17" s="30">
        <f>IF(OR(NOT(DATA[[#This Row],[Subscriptions]]&gt;0),NOT(DATA[[#This Row],[Number of hours of care charged for in last full accounting year]]&gt;0)),0,DATA[[#This Row],[Subscriptions]]/DATA[[#This Row],[Number of hours of care charged for in last full accounting year]])</f>
        <v>0</v>
      </c>
      <c r="LN17" s="30">
        <f>IF(OR(NOT(DATA[[#This Row],[Cost of finance]]&gt;0),NOT(DATA[[#This Row],[Number of hours of care charged for in last full accounting year]]&gt;0)),0,DATA[[#This Row],[Cost of finance]]/DATA[[#This Row],[Number of hours of care charged for in last full accounting year]])</f>
        <v>0</v>
      </c>
      <c r="LO17" s="30">
        <f>IF(OR(NOT(DATA[[#This Row],[Other non-staff current expenses]]&gt;0),NOT(DATA[[#This Row],[Number of hours of care charged for in last full accounting year]]&gt;0)),0,DATA[[#This Row],[Other non-staff current expenses]]/DATA[[#This Row],[Number of hours of care charged for in last full accounting year]])</f>
        <v>0</v>
      </c>
      <c r="LP17"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17"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17" s="30">
        <f>IF(OR(NOT(DATA[[#This Row],[Central / Regional Management]]&gt;0),NOT(DATA[[#This Row],[Number of hours of care charged for in last full accounting year]]&gt;0)),0,DATA[[#This Row],[Central / Regional Management]]/DATA[[#This Row],[Number of hours of care charged for in last full accounting year]])</f>
        <v>0.30932371888338062</v>
      </c>
      <c r="LS17"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0.14395164497229659</v>
      </c>
      <c r="LT17"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17"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17" s="30">
        <f>SUM(DATA[[#This Row],[Management staff HOURLY RATE]:[Corporate Overheads: Other  - please specify (amount) 2 HOURLY RATE]])</f>
        <v>15.325309509291905</v>
      </c>
      <c r="LW17" s="30">
        <f>IF(OR(NOT(DATA[[#This Row],[Net Operating Profit]]&gt;0),NOT(DATA[[#This Row],[Number of hours of care charged for in last full accounting year]]&gt;0)),"",DATA[[#This Row],[Net Operating Profit]]/DATA[[#This Row],[Number of hours of care charged for in last full accounting year]])</f>
        <v>1.5431722382757616</v>
      </c>
      <c r="LX17" s="30">
        <f>IF(OR(NOT(DATA[[#This Row],[Return on Capital employed]]&gt;0),NOT(DATA[[#This Row],[Number of hours of care charged for in last full accounting year]]&gt;0)),0,DATA[[#This Row],[Return on Capital employed]]/DATA[[#This Row],[Number of hours of care charged for in last full accounting year]])</f>
        <v>0</v>
      </c>
      <c r="LY17" s="31">
        <v>11</v>
      </c>
      <c r="LZ17" s="30" t="s">
        <v>358</v>
      </c>
      <c r="MA17" s="30" t="b">
        <f>DATA[[#This Row],[Number of Home support clients:]]&gt;0</f>
        <v>0</v>
      </c>
      <c r="MB17" s="30" t="b">
        <f>DATA[[#This Row],[Number of supported living clients:]]&gt;0</f>
        <v>1</v>
      </c>
      <c r="MC17" s="30" t="b">
        <f>DATA[[#This Row],[Total Home Support Hours]]&gt;0</f>
        <v>0</v>
      </c>
      <c r="MD17" s="30" t="b">
        <f>DATA[[#This Row],[Total Supported Living Hours]]&gt;0</f>
        <v>1</v>
      </c>
      <c r="ME17" s="30" t="b">
        <f>DATA[[#This Row],[Home Support service split percentage (Expenditure):]]&gt;0.5</f>
        <v>0</v>
      </c>
      <c r="MF17" s="30" t="b">
        <f>DATA[[#This Row],[Agency staff HOURLY RATE]]=0</f>
        <v>0</v>
      </c>
      <c r="MG17" s="30" t="str">
        <f>IFERROR(IF(AVERAGE(DATA[[#This Row],[Registered manager: Current 2021/22 Minimum hourly pay rate ADJUSTED]],DATA[[#This Row],[Registered manager: Current 2021/22 Maximum hourly pay rate ADJUSTED]])&lt;LIVING_WAGE_22_23,DATA[[#This Row],[Registered manager: Numbers employed (Full Time Equivalent)]],0),"")</f>
        <v/>
      </c>
      <c r="MH17" s="30" t="str">
        <f>IFERROR(IF(AVERAGE(DATA[[#This Row],[Deputy manager: Current 2021/22 Minimum hourly pay rate ADJUSTED]],DATA[[#This Row],[Deputy manager: Current 2021/22 Maximum hourly pay rate ADJUSTED]])&lt;LIVING_WAGE_22_23,DATA[[#This Row],[Deputy manager: Numbers employed (Full Time Equivalent)]],0),"")</f>
        <v/>
      </c>
      <c r="MI17" s="30" t="str">
        <f>IFERROR(IF(AVERAGE(DATA[[#This Row],[Other manager 1: Current 2021/22 Minimum hourly pay rate ADJUSTED]],DATA[[#This Row],[Other manager 1: Current 2021/22 Maximum hourly pay rate ADJUSTED]])&lt;LIVING_WAGE_22_23,DATA[[#This Row],[Other manager 1: Numbers employed (Full Time Equivalent)]],0),"")</f>
        <v/>
      </c>
      <c r="MJ17" s="30" t="str">
        <f>IFERROR(IF(AVERAGE(DATA[[#This Row],[Other manager 2: Current 2021/22 Minimum hourly pay rate ADJUSTED]],DATA[[#This Row],[Other manager 2: Current 2021/22 Maximum hourly pay rate ADJUSTED]])&lt;LIVING_WAGE_22_23,DATA[[#This Row],[Other manager 2: Numbers employed (Full Time Equivalent)]],0),"")</f>
        <v/>
      </c>
      <c r="MK17" s="30" t="str">
        <f>IFERROR(IF(AVERAGE(DATA[[#This Row],[Other manager 3: Current 2021/22 Minimum hourly pay rate ADJUSTED]],DATA[[#This Row],[Other manager 3: Current 2021/22 Maximum hourly pay rate ADJUSTED]])&lt;LIVING_WAGE_22_23,DATA[[#This Row],[Other manager 3: Numbers employed (Full Time Equivalent)]],0),"")</f>
        <v/>
      </c>
      <c r="ML17" s="30">
        <f>IFERROR(IF(AVERAGE(DATA[[#This Row],[Care Assistant 1: Current 2021/22 Minimum hourly pay rate ADJUSTED]],DATA[[#This Row],[Care Assistant 1: Current 2021/22 Maximum hourly pay rate ADJUSTED]])&lt;LIVING_WAGE_22_23,DATA[[#This Row],[Care Assistant 1: Numbers employed (Full Time Equivalent)]],0),"")</f>
        <v>0</v>
      </c>
      <c r="MM17" s="30">
        <f>IFERROR(IF(AVERAGE(DATA[[#This Row],[Care Assistant 2: Current 2021/22 Minimum hourly pay rate ADJUSTED]],DATA[[#This Row],[Care Assistant 2: Current 2021/22 Maximum hourly pay rate ADJUSTED]])&lt;LIVING_WAGE_22_23,DATA[[#This Row],[Care Assistant 2: Numbers employed (Full Time Equivalent)]],0),"")</f>
        <v>0</v>
      </c>
      <c r="MN17" s="30" t="str">
        <f>IFERROR(IF(AVERAGE(DATA[[#This Row],[Care Assistant 3: Current 2021/22 Minimum hourly pay rate ADJUSTED]],DATA[[#This Row],[Care Assistant 3: Current 2021/22 Maximum hourly pay rate ADJUSTED]])&lt;LIVING_WAGE_22_23,DATA[[#This Row],[Care Assistant 3: Numbers employed (Full Time Equivalent)]],0),"")</f>
        <v/>
      </c>
      <c r="MO17" s="30" t="str">
        <f>IFERROR(IF(AVERAGE(DATA[[#This Row],[Care Assistant 4: Current 2021/22 Minimum hourly pay rate ADJUSTED]],DATA[[#This Row],[Care Assistant 4: Current 2021/22 Maximum hourly pay rate ADJUSTED]])&lt;LIVING_WAGE_22_23,DATA[[#This Row],[Care Assistant 4: Numbers employed (Full Time Equivalent)]],0),"")</f>
        <v/>
      </c>
      <c r="MP17"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17"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17" s="30" t="str">
        <f>IFERROR(IF(AVERAGE(DATA[[#This Row],[Other staff 1: Current 2021/22 Minimum hourly pay rate ADJUSTED]],DATA[[#This Row],[Other staff 1: Current 2021/22 Maximum hourly pay rate ADJUSTED]])&lt;LIVING_WAGE_22_23,DATA[[#This Row],[Other staff 1: Numbers employed (Full Time Equivalent)]],0),"")</f>
        <v/>
      </c>
      <c r="MS17" s="30" t="str">
        <f>IFERROR(IF(AVERAGE(DATA[[#This Row],[Other staff 2: Current 2021/22 Minimum hourly pay rate ADJUSTED]],DATA[[#This Row],[Other staff 2: Current 2021/22 Maximum hourly pay rate ADJUSTED]])&lt;LIVING_WAGE_22_23,DATA[[#This Row],[Other staff 2: Numbers employed (Full Time Equivalent)]],0),"")</f>
        <v/>
      </c>
      <c r="MT17" s="30" t="str">
        <f>IFERROR(IF(AVERAGE(DATA[[#This Row],[Other staff 3: Current 2021/22 Minimum hourly pay rate ADJUSTED]],DATA[[#This Row],[Other staff 3: Current 2021/22 Maximum hourly pay rate ADJUSTED]])&lt;LIVING_WAGE_22_23,DATA[[#This Row],[Other staff 3: Numbers employed (Full Time Equivalent)]],0),"")</f>
        <v/>
      </c>
      <c r="MU17" s="30">
        <f>SUM(DATA[[#This Row],[Registered Manager FTE earning less than NLW 23yrs 2022/23]:[Other staff 3 FTE earning less than NLW 23yrs 2022/23]])</f>
        <v>0</v>
      </c>
      <c r="MV17" s="30" t="str">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
      </c>
      <c r="MW17"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17"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17"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17"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17"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17"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17"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17"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17"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17"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17"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17"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17"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17" s="30" t="b">
        <v>0</v>
      </c>
      <c r="NK17" s="30" t="b">
        <v>0</v>
      </c>
      <c r="NL17" s="30" t="s">
        <v>971</v>
      </c>
      <c r="NM17" s="30">
        <f>SUM(DATA[[#This Row],[Management staff HOURLY RATE]:[Training and development HOURLY RATE]])</f>
        <v>14.374168235200552</v>
      </c>
      <c r="NN17" s="30">
        <f>SUM(DATA[[#This Row],[Recruitment &amp; advertising (including DBS checks) HOURLY RATE]:[Non-Staffing Direct Cost: Other  - please specify (amount) 2 HOURLY RATE]])</f>
        <v>0.33784894355929063</v>
      </c>
      <c r="NO17" s="30">
        <f>SUM(DATA[[#This Row],[Insurance  HOURLY RATE]:[Indirect costs: Other  - please specify (amount) 2 HOURLY RATE]])</f>
        <v>0.16001696667638715</v>
      </c>
      <c r="NP17" s="30">
        <f>SUM(DATA[[#This Row],[Central / Regional Management HOURLY RATE]:[Corporate Overheads: Other  - please specify (amount) 2 HOURLY RATE]])</f>
        <v>0.45327536385567724</v>
      </c>
      <c r="NQ17" s="30" t="str">
        <f>IFERROR(IF(AVERAGE(DATA[[#This Row],[Registered manager: Current 2021/22 Minimum hourly pay rate ADJUSTED]],DATA[[#This Row],[Registered manager: Current 2021/22 Maximum hourly pay rate ADJUSTED]])&lt;REAL_LIVING_WAGE_22_23,DATA[[#This Row],[Registered manager: Numbers employed (Full Time Equivalent)]],0),"")</f>
        <v/>
      </c>
      <c r="NR17" s="30" t="str">
        <f>IFERROR(IF(AVERAGE(DATA[[#This Row],[Deputy manager: Current 2021/22 Minimum hourly pay rate ADJUSTED]],DATA[[#This Row],[Deputy manager: Current 2021/22 Maximum hourly pay rate ADJUSTED]])&lt;REAL_LIVING_WAGE_22_23,DATA[[#This Row],[Deputy manager: Numbers employed (Full Time Equivalent)]],0),"")</f>
        <v/>
      </c>
      <c r="NS17" s="30" t="str">
        <f>IFERROR(IF(AVERAGE(DATA[[#This Row],[Other manager 1: Current 2021/22 Minimum hourly pay rate ADJUSTED]],DATA[[#This Row],[Other manager 1: Current 2021/22 Maximum hourly pay rate ADJUSTED]])&lt;REAL_LIVING_WAGE_22_23,DATA[[#This Row],[Other manager 1: Numbers employed (Full Time Equivalent)]],0),"")</f>
        <v/>
      </c>
      <c r="NT17" s="30" t="str">
        <f>IFERROR(IF(AVERAGE(DATA[[#This Row],[Other manager 2: Current 2021/22 Minimum hourly pay rate ADJUSTED]],DATA[[#This Row],[Other manager 2: Current 2021/22 Maximum hourly pay rate ADJUSTED]])&lt;REAL_LIVING_WAGE_22_23,DATA[[#This Row],[Other manager 2: Numbers employed (Full Time Equivalent)]],0),"")</f>
        <v/>
      </c>
      <c r="NU17" s="30" t="str">
        <f>IFERROR(IF(AVERAGE(DATA[[#This Row],[Other manager 3: Current 2021/22 Minimum hourly pay rate ADJUSTED]],DATA[[#This Row],[Other manager 3: Current 2021/22 Maximum hourly pay rate ADJUSTED]])&lt;REAL_LIVING_WAGE_22_23,DATA[[#This Row],[Other manager 3: Numbers employed (Full Time Equivalent)]],0),"")</f>
        <v/>
      </c>
      <c r="NV17" s="30">
        <f>IFERROR(IF(AVERAGE(DATA[[#This Row],[Care Assistant 1: Current 2021/22 Minimum hourly pay rate ADJUSTED]],DATA[[#This Row],[Care Assistant 1: Current 2021/22 Maximum hourly pay rate ADJUSTED]])&lt;REAL_LIVING_WAGE_22_23,DATA[[#This Row],[Care Assistant 1: Numbers employed (Full Time Equivalent)]],0),"")</f>
        <v>0</v>
      </c>
      <c r="NW17" s="30">
        <f>IFERROR(IF(AVERAGE(DATA[[#This Row],[Care Assistant 2: Current 2021/22 Minimum hourly pay rate ADJUSTED]],DATA[[#This Row],[Care Assistant 2: Current 2021/22 Maximum hourly pay rate ADJUSTED]])&lt;REAL_LIVING_WAGE_22_23,DATA[[#This Row],[Care Assistant 2: Numbers employed (Full Time Equivalent)]],0),"")</f>
        <v>0</v>
      </c>
      <c r="NX17"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17"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17"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17"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17" s="30" t="str">
        <f>IFERROR(IF(AVERAGE(DATA[[#This Row],[Other staff 1: Current 2021/22 Minimum hourly pay rate ADJUSTED]],DATA[[#This Row],[Other staff 1: Current 2021/22 Maximum hourly pay rate ADJUSTED]])&lt;REAL_LIVING_WAGE_22_23,DATA[[#This Row],[Other staff 1: Numbers employed (Full Time Equivalent)]],0),"")</f>
        <v/>
      </c>
      <c r="OC17" s="30" t="str">
        <f>IFERROR(IF(AVERAGE(DATA[[#This Row],[Other staff 2: Current 2021/22 Minimum hourly pay rate ADJUSTED]],DATA[[#This Row],[Other staff 2: Current 2021/22 Maximum hourly pay rate ADJUSTED]])&lt;REAL_LIVING_WAGE_22_23,DATA[[#This Row],[Other staff 2: Numbers employed (Full Time Equivalent)]],0),"")</f>
        <v/>
      </c>
      <c r="OD17" s="30" t="str">
        <f>IFERROR(IF(AVERAGE(DATA[[#This Row],[Other staff 3: Current 2021/22 Minimum hourly pay rate ADJUSTED]],DATA[[#This Row],[Other staff 3: Current 2021/22 Maximum hourly pay rate ADJUSTED]])&lt;REAL_LIVING_WAGE_22_23,DATA[[#This Row],[Other staff 3: Numbers employed (Full Time Equivalent)]],0),"")</f>
        <v/>
      </c>
      <c r="OE17" s="30">
        <f>SUM(DATA[[#This Row],[Registered Manager FTE earning less than RLW 23yrs 2022/23]:[Other staff 3 FTE earning less than RLW 23yrs 2022/23]])</f>
        <v>0</v>
      </c>
      <c r="OF17" s="30" t="str">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
      </c>
      <c r="OG17"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17"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17"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17"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17"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17"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17"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17"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17"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17"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17"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17"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17"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17" s="30" t="str">
        <f>IFERROR(IF(DATA[[#This Row],[Registered manager: Numbers employed (Full Time Equivalent)]]=0,"",DATA[[#This Row],[Registered manager: Current 2021/22 Minimum hourly pay rate ADJUSTED 2]]*DATA[[#This Row],[Registered manager: Numbers employed (Full Time Equivalent)]]),"")</f>
        <v/>
      </c>
      <c r="OU17" s="30" t="str">
        <f>IFERROR(IF(DATA[[#This Row],[Registered manager: Numbers employed (Full Time Equivalent)]]=0,"",DATA[[#This Row],[Registered manager: Current 2021/22 Maximum hourly pay rate ADJUSTED 2]]*DATA[[#This Row],[Registered manager: Numbers employed (Full Time Equivalent)]]),"")</f>
        <v/>
      </c>
      <c r="OV17" s="30" t="str">
        <f>IFERROR(IF(DATA[[#This Row],[Registered manager: Numbers employed (Full Time Equivalent)]]=0,"",DATA[[#This Row],[Registered manager: Previous 2020/21 Minimum hourly pay rate ADJUSTED 2]]*DATA[[#This Row],[Registered manager: Numbers employed (Full Time Equivalent)]]),"")</f>
        <v/>
      </c>
      <c r="OW17" s="30" t="str">
        <f>IFERROR(IF(DATA[[#This Row],[Registered manager: Numbers employed (Full Time Equivalent)]]=0,"",DATA[[#This Row],[Registered manager: Previous 2020/21 Maximum hourly pay rate ADJUSTED 2]]*DATA[[#This Row],[Registered manager: Numbers employed (Full Time Equivalent)]]),"")</f>
        <v/>
      </c>
      <c r="OX17" s="30" t="str">
        <f>IFERROR(IF(DATA[[#This Row],[Deputy manager: Numbers employed (Full Time Equivalent)]]=0,"",DATA[[#This Row],[Deputy manager: Current 2021/22 Minimum hourly pay rate ADJUSTED 2]]*DATA[[#This Row],[Deputy manager: Numbers employed (Full Time Equivalent)]]),"")</f>
        <v/>
      </c>
      <c r="OY17" s="30" t="str">
        <f>IFERROR(IF(DATA[[#This Row],[Deputy manager: Numbers employed (Full Time Equivalent)]]=0,"",DATA[[#This Row],[Deputy manager: Current 2021/22 Maximum hourly pay rate ADJUSTED 2]]*DATA[[#This Row],[Deputy manager: Numbers employed (Full Time Equivalent)]]),"")</f>
        <v/>
      </c>
      <c r="OZ17" s="30" t="str">
        <f>IFERROR(IF(DATA[[#This Row],[Deputy manager: Numbers employed (Full Time Equivalent)]]=0,"",DATA[[#This Row],[Deputy manager: Previous 2020/21 Minimum hourly pay rate ADJUSTED 2]]*DATA[[#This Row],[Deputy manager: Numbers employed (Full Time Equivalent)]]),"")</f>
        <v/>
      </c>
      <c r="PA17" s="30" t="str">
        <f>IFERROR(IF(DATA[[#This Row],[Deputy manager: Numbers employed (Full Time Equivalent)]]=0,"",DATA[[#This Row],[Deputy manager: Previous 2020/21 Maximum hourly pay rate ADJUSTED 2]]*DATA[[#This Row],[Deputy manager: Numbers employed (Full Time Equivalent)]]),"")</f>
        <v/>
      </c>
      <c r="PB17" s="30" t="str">
        <f>IFERROR(IF(DATA[[#This Row],[Other manager 1: Numbers employed (Full Time Equivalent)]]=0,"",DATA[[#This Row],[Other manager 1: Current 2021/22 Minimum hourly pay rate ADJUSTED 2]]*DATA[[#This Row],[Other manager 1: Numbers employed (Full Time Equivalent)]]),"")</f>
        <v/>
      </c>
      <c r="PC17" s="30" t="str">
        <f>IFERROR(IF(DATA[[#This Row],[Other manager 1: Numbers employed (Full Time Equivalent)]]=0,"",DATA[[#This Row],[Other manager 1: Current 2021/22 Maximum hourly pay rate ADJUSTED 2]]*DATA[[#This Row],[Other manager 1: Numbers employed (Full Time Equivalent)]]),"")</f>
        <v/>
      </c>
      <c r="PD17" s="30" t="str">
        <f>IFERROR(IF(DATA[[#This Row],[Other manager 1: Numbers employed (Full Time Equivalent)]]=0,"",DATA[[#This Row],[Other manager 1: Previous 2020/21 Minimum hourly pay rate ADJUSTED 2]]*DATA[[#This Row],[Other manager 1: Numbers employed (Full Time Equivalent)]]),"")</f>
        <v/>
      </c>
      <c r="PE17" s="30" t="str">
        <f>IFERROR(IF(DATA[[#This Row],[Other manager 1: Numbers employed (Full Time Equivalent)]]=0,"",DATA[[#This Row],[Other manager 1: Previous 2020/21 Maximum hourly pay rate ADJUSTED 2]]*DATA[[#This Row],[Other manager 1: Numbers employed (Full Time Equivalent)]]),"")</f>
        <v/>
      </c>
      <c r="PF17" s="30" t="str">
        <f>IFERROR(IF(DATA[[#This Row],[Other manager 2: Numbers employed (Full Time Equivalent)]]=0,"",DATA[[#This Row],[Other manager 2: Current 2021/22 Minimum hourly pay rate ADJUSTED 2]]*DATA[[#This Row],[Other manager 2: Numbers employed (Full Time Equivalent)]]),"")</f>
        <v/>
      </c>
      <c r="PG17" s="30" t="str">
        <f>IFERROR(IF(DATA[[#This Row],[Other manager 2: Numbers employed (Full Time Equivalent)]]=0,"",DATA[[#This Row],[Other manager 2: Current 2021/22 Maximum hourly pay rate ADJUSTED 2]]*DATA[[#This Row],[Other manager 2: Numbers employed (Full Time Equivalent)]]),"")</f>
        <v/>
      </c>
      <c r="PH17" s="30" t="str">
        <f>IFERROR(IF(DATA[[#This Row],[Other manager 2: Numbers employed (Full Time Equivalent)]]=0,"",DATA[[#This Row],[Other manager 2: Previous 2020/21 Minimum hourly pay rate ADJUSTED 2]]*DATA[[#This Row],[Other manager 2: Numbers employed (Full Time Equivalent)]]),"")</f>
        <v/>
      </c>
      <c r="PI17" s="30" t="str">
        <f>IFERROR(IF(DATA[[#This Row],[Other manager 2: Numbers employed (Full Time Equivalent)]]=0,"",DATA[[#This Row],[Other manager 2: Previous 2020/21 Maximum hourly pay rate ADJUSTED 2]]*DATA[[#This Row],[Other manager 2: Numbers employed (Full Time Equivalent)]]),"")</f>
        <v/>
      </c>
      <c r="PJ17" s="30" t="str">
        <f>IFERROR(IF(DATA[[#This Row],[Other manager 3: Numbers employed (Full Time Equivalent)]]=0,"",DATA[[#This Row],[Other manager 3: Current 2021/22 Minimum hourly pay rate ADJUSTED 2]]*DATA[[#This Row],[Other manager 3: Numbers employed (Full Time Equivalent)]]),"")</f>
        <v/>
      </c>
      <c r="PK17" s="30" t="str">
        <f>IFERROR(IF(DATA[[#This Row],[Other manager 3: Numbers employed (Full Time Equivalent)]]=0,"",DATA[[#This Row],[Other manager 3: Current 2021/22 Maximum hourly pay rate ADJUSTED 2]]*DATA[[#This Row],[Other manager 3: Numbers employed (Full Time Equivalent)]]),"")</f>
        <v/>
      </c>
      <c r="PL17" s="30" t="str">
        <f>IFERROR(IF(DATA[[#This Row],[Other manager 3: Numbers employed (Full Time Equivalent)]]=0,"",DATA[[#This Row],[Other manager 3: Previous 2020/21 Minimum hourly pay rate ADJUSTED 2]]*DATA[[#This Row],[Other manager 3: Numbers employed (Full Time Equivalent)]]),"")</f>
        <v/>
      </c>
      <c r="PM17" s="30" t="str">
        <f>IFERROR(IF(DATA[[#This Row],[Other manager 3: Numbers employed (Full Time Equivalent)]]=0,"",DATA[[#This Row],[Other manager 3: Previous 2020/21 Maximum hourly pay rate ADJUSTED 2]]*DATA[[#This Row],[Other manager 3: Numbers employed (Full Time Equivalent)]]),"")</f>
        <v/>
      </c>
      <c r="PN17" s="30" t="str">
        <f>IFERROR(IF(DATA[[#This Row],[Care Assistant 1: Numbers employed (Full Time Equivalent)]]=0,"",DATA[[#This Row],[Care Assistant 1: Current 2021/22 Minimum hourly pay rate ADJUSTED 2]]*DATA[[#This Row],[Care Assistant 1: Numbers employed (Full Time Equivalent)]]),"")</f>
        <v/>
      </c>
      <c r="PO17" s="30" t="str">
        <f>IFERROR(IF(DATA[[#This Row],[Care Assistant 1: Numbers employed (Full Time Equivalent)]]=0,"",DATA[[#This Row],[Care Assistant 1: Current 2021/22 Maximum hourly pay rate ADJUSTED 2]]*DATA[[#This Row],[Care Assistant 1: Numbers employed (Full Time Equivalent)]]),"")</f>
        <v/>
      </c>
      <c r="PP17" s="30" t="str">
        <f>IFERROR(IF(DATA[[#This Row],[Care Assistant 1: Numbers employed (Full Time Equivalent)]]=0,"",DATA[[#This Row],[Care Assistant 1: Previous 2020/21 Minimum hourly pay rate ADJUSTED 2]]*DATA[[#This Row],[Care Assistant 1: Numbers employed (Full Time Equivalent)]]),"")</f>
        <v/>
      </c>
      <c r="PQ17" s="30" t="str">
        <f>IFERROR(IF(DATA[[#This Row],[Care Assistant 1: Numbers employed (Full Time Equivalent)]]=0,"",DATA[[#This Row],[Care Assistant 1: Previous 2020/21 Maximum hourly pay rate ADJUSTED 2]]*DATA[[#This Row],[Care Assistant 1: Numbers employed (Full Time Equivalent)]]),"")</f>
        <v/>
      </c>
      <c r="PR17" s="30" t="str">
        <f>IFERROR(IF(DATA[[#This Row],[Care Assistant 2: Numbers employed (Full Time Equivalent)]]=0,"",DATA[[#This Row],[Care Assistant 2: Current 2021/22 Minimum hourly pay rate ADJUSTED 2]]*DATA[[#This Row],[Care Assistant 2: Numbers employed (Full Time Equivalent)]]),"")</f>
        <v/>
      </c>
      <c r="PS17" s="30" t="str">
        <f>IFERROR(IF(DATA[[#This Row],[Care Assistant 2: Numbers employed (Full Time Equivalent)]]=0,"",DATA[[#This Row],[Care Assistant 2: Current 2021/22 Maximum hourly pay rate ADJUSTED 2]]*DATA[[#This Row],[Care Assistant 2: Numbers employed (Full Time Equivalent)]]),"")</f>
        <v/>
      </c>
      <c r="PT17" s="30" t="str">
        <f>IFERROR(IF(DATA[[#This Row],[Care Assistant 2: Numbers employed (Full Time Equivalent)]]=0,"",DATA[[#This Row],[Care Assistant 2: Previous 2020/21 Minimum hourly pay rate ADJUSTED 2]]*DATA[[#This Row],[Care Assistant 2: Numbers employed (Full Time Equivalent)]]),"")</f>
        <v/>
      </c>
      <c r="PU17" s="30" t="str">
        <f>IFERROR(IF(DATA[[#This Row],[Care Assistant 2: Numbers employed (Full Time Equivalent)]]=0,"",DATA[[#This Row],[Care Assistant 2: Previous 2020/21 Maximum hourly pay rate ADJUSTED 2]]*DATA[[#This Row],[Care Assistant 2: Numbers employed (Full Time Equivalent)]]),"")</f>
        <v/>
      </c>
      <c r="PV17" s="30" t="str">
        <f>IFERROR(IF(DATA[[#This Row],[Care Assistant 3: Numbers employed (Full Time Equivalent)]]=0,"",DATA[[#This Row],[Care Assistant 3: Current 2021/22 Minimum hourly pay rate ADJUSTED 2]]*DATA[[#This Row],[Care Assistant 3: Numbers employed (Full Time Equivalent)]]),"")</f>
        <v/>
      </c>
      <c r="PW17" s="30" t="str">
        <f>IFERROR(IF(DATA[[#This Row],[Care Assistant 3: Numbers employed (Full Time Equivalent)]]=0,"",DATA[[#This Row],[Care Assistant 3: Current 2021/22 Maximum hourly pay rate ADJUSTED 2]]*DATA[[#This Row],[Care Assistant 3: Numbers employed (Full Time Equivalent)]]),"")</f>
        <v/>
      </c>
      <c r="PX17" s="30" t="str">
        <f>IFERROR(IF(DATA[[#This Row],[Care Assistant 3: Numbers employed (Full Time Equivalent)]]=0,"",DATA[[#This Row],[Care Assistant 3: Previous 2020/21 Minimum hourly pay rate ADJUSTED 2]]*DATA[[#This Row],[Care Assistant 3: Numbers employed (Full Time Equivalent)]]),"")</f>
        <v/>
      </c>
      <c r="PY17" s="30" t="str">
        <f>IFERROR(IF(DATA[[#This Row],[Care Assistant 3: Numbers employed (Full Time Equivalent)]]=0,"",DATA[[#This Row],[Care Assistant 3: Previous 2020/21 Maximum hourly pay rate ADJUSTED 2]]*DATA[[#This Row],[Care Assistant 3: Numbers employed (Full Time Equivalent)]]),"")</f>
        <v/>
      </c>
      <c r="PZ17" s="30" t="str">
        <f>IFERROR(IF(DATA[[#This Row],[Care Assistant 4: Numbers employed (Full Time Equivalent)]]=0,"",DATA[[#This Row],[Care Assistant 4: Current 2021/22 Minimum hourly pay rate ADJUSTED 2]]*DATA[[#This Row],[Care Assistant 4: Numbers employed (Full Time Equivalent)]]),"")</f>
        <v/>
      </c>
      <c r="QA17" s="30" t="str">
        <f>IFERROR(IF(DATA[[#This Row],[Care Assistant 4: Numbers employed (Full Time Equivalent)]]=0,"",DATA[[#This Row],[Care Assistant 4: Current 2021/22 Maximum hourly pay rate ADJUSTED 2]]*DATA[[#This Row],[Care Assistant 4: Numbers employed (Full Time Equivalent)]]),"")</f>
        <v/>
      </c>
      <c r="QB17" s="30" t="str">
        <f>IFERROR(IF(DATA[[#This Row],[Care Assistant 4: Numbers employed (Full Time Equivalent)]]=0,"",DATA[[#This Row],[Care Assistant 4: Previous 2020/21 Minimum hourly pay rate ADJUSTED 2]]*DATA[[#This Row],[Care Assistant 4: Numbers employed (Full Time Equivalent)]]),"")</f>
        <v/>
      </c>
      <c r="QC17" s="30" t="str">
        <f>IFERROR(IF(DATA[[#This Row],[Care Assistant 4: Numbers employed (Full Time Equivalent)]]=0,"",DATA[[#This Row],[Care Assistant 4: Previous 2020/21 Maximum hourly pay rate ADJUSTED 2]]*DATA[[#This Row],[Care Assistant 4: Numbers employed (Full Time Equivalent)]]),"")</f>
        <v/>
      </c>
      <c r="QD17" s="30" t="str">
        <f>IFERROR(IF(DATA[[#This Row],[Administrative Officer 1: Numbers employed (Full Time Equivalent)]]=0,"",DATA[[#This Row],[Administrative Officer 1: Current 2021/22 Minimum hourly pay rate ADJUSTED 2]]*DATA[[#This Row],[Administrative Officer 1: Numbers employed (Full Time Equivalent)]]),"")</f>
        <v/>
      </c>
      <c r="QE17" s="30" t="str">
        <f>IFERROR(IF(DATA[[#This Row],[Administrative Officer 1: Numbers employed (Full Time Equivalent)]]=0,"",DATA[[#This Row],[Administrative Officer 1: Current 2021/22 Maximum hourly pay rate ADJUSTED 2]]*DATA[[#This Row],[Administrative Officer 1: Numbers employed (Full Time Equivalent)]]),"")</f>
        <v/>
      </c>
      <c r="QF17" s="30" t="str">
        <f>IFERROR(IF(DATA[[#This Row],[Administrative Officer 1: Numbers employed (Full Time Equivalent)]]=0,"",DATA[[#This Row],[Administrative Officer 1: Previous 2020/21 Minimum hourly pay rate ADJUSTED 2]]*DATA[[#This Row],[Administrative Officer 1: Numbers employed (Full Time Equivalent)]]),"")</f>
        <v/>
      </c>
      <c r="QG17" s="30" t="str">
        <f>IFERROR(IF(DATA[[#This Row],[Administrative Officer 1: Numbers employed (Full Time Equivalent)]]=0,"",DATA[[#This Row],[Administrative Officer 1: Previous 2020/21 Maximum hourly pay rate ADJUSTED 2]]*DATA[[#This Row],[Administrative Officer 1: Numbers employed (Full Time Equivalent)]]),"")</f>
        <v/>
      </c>
      <c r="QH17" s="30" t="str">
        <f>IFERROR(IF(DATA[[#This Row],[Administrative Officer 2: Numbers employed (Full Time Equivalent)]]=0,"",DATA[[#This Row],[Administrative Officer 2: Current 2021/22 Minimum hourly pay rate ADJUSTED 2]]*DATA[[#This Row],[Administrative Officer 2: Numbers employed (Full Time Equivalent)]]),"")</f>
        <v/>
      </c>
      <c r="QI17" s="30" t="str">
        <f>IFERROR(IF(DATA[[#This Row],[Administrative Officer 2: Numbers employed (Full Time Equivalent)]]=0,"",DATA[[#This Row],[Administrative Officer 2: Current 2021/22 Maximum hourly pay rate ADJUSTED 2]]*DATA[[#This Row],[Administrative Officer 2: Numbers employed (Full Time Equivalent)]]),"")</f>
        <v/>
      </c>
      <c r="QJ17" s="30" t="str">
        <f>IFERROR(IF(DATA[[#This Row],[Administrative Officer 2: Numbers employed (Full Time Equivalent)]]=0,"",DATA[[#This Row],[Administrative Officer 2: Previous 2020/21 Minimum hourly pay rate ADJUSTED 2]]*DATA[[#This Row],[Administrative Officer 2: Numbers employed (Full Time Equivalent)]]),"")</f>
        <v/>
      </c>
      <c r="QK17" s="30" t="str">
        <f>IFERROR(IF(DATA[[#This Row],[Administrative Officer 2: Numbers employed (Full Time Equivalent)]]=0,"",DATA[[#This Row],[Administrative Officer 2: Previous 2020/21 Maximum hourly pay rate ADJUSTED 2]]*DATA[[#This Row],[Administrative Officer 2: Numbers employed (Full Time Equivalent)]]),"")</f>
        <v/>
      </c>
      <c r="QL17" s="30" t="str">
        <f>IFERROR(IF(DATA[[#This Row],[Administrative Officer 3: Numbers employed (Full Time Equivalent)]]=0,"",DATA[[#This Row],[Administrative Officer 3: Current 2021/22 Minimum hourly pay rate ADJUSTED 2]]*DATA[[#This Row],[Administrative Officer 3: Numbers employed (Full Time Equivalent)]]),"")</f>
        <v/>
      </c>
      <c r="QM17" s="30" t="str">
        <f>IFERROR(IF(DATA[[#This Row],[Administrative Officer 3: Numbers employed (Full Time Equivalent)]]=0,"",DATA[[#This Row],[Administrative Officer 3: Current 2021/22 Maximum hourly pay rate ADJUSTED 2]]*DATA[[#This Row],[Administrative Officer 3: Numbers employed (Full Time Equivalent)]]),"")</f>
        <v/>
      </c>
      <c r="QN17" s="30" t="str">
        <f>IFERROR(IF(DATA[[#This Row],[Administrative Officer 3: Numbers employed (Full Time Equivalent)]]=0,"",DATA[[#This Row],[Administrative Officer 3: Previous 2020/21 Minimum hourly pay rate ADJUSTED 2]]*DATA[[#This Row],[Administrative Officer 3: Numbers employed (Full Time Equivalent)]]),"")</f>
        <v/>
      </c>
      <c r="QO17" s="30" t="str">
        <f>IFERROR(IF(DATA[[#This Row],[Administrative Officer 3: Numbers employed (Full Time Equivalent)]]=0,"",DATA[[#This Row],[Administrative Officer 3: Previous 2020/21 Maximum hourly pay rate ADJUSTED 2]]*DATA[[#This Row],[Administrative Officer 3: Numbers employed (Full Time Equivalent)]]),"")</f>
        <v/>
      </c>
      <c r="QP17" s="28" t="str">
        <f>IFERROR(IF(DATA[[#This Row],[Other staff 1: Numbers employed (Full Time Equivalent)]]=0,"",DATA[[#This Row],[Other staff 1: Current 2021/22 Minimum hourly pay rate ADJUSTED 2]]*DATA[[#This Row],[Other staff 1: Numbers employed (Full Time Equivalent)]]),"")</f>
        <v/>
      </c>
      <c r="QQ17" s="28" t="str">
        <f>IFERROR(IF(DATA[[#This Row],[Other staff 1: Numbers employed (Full Time Equivalent)]]=0,"",DATA[[#This Row],[Other staff 1: Current 2021/22 Maximum hourly pay rate ADJUSTED 2]]*DATA[[#This Row],[Other staff 1: Numbers employed (Full Time Equivalent)]]),"")</f>
        <v/>
      </c>
      <c r="QR17" s="28" t="str">
        <f>IFERROR(IF(DATA[[#This Row],[Other staff 1: Numbers employed (Full Time Equivalent)]]=0,"",DATA[[#This Row],[Other staff 1: Previous 2020/21 Minimum hourly pay rate ADJUSTED 2]]*DATA[[#This Row],[Other staff 1: Numbers employed (Full Time Equivalent)]]),"")</f>
        <v/>
      </c>
      <c r="QS17" s="28" t="str">
        <f>IFERROR(IF(DATA[[#This Row],[Other staff 1: Numbers employed (Full Time Equivalent)]]=0,"",DATA[[#This Row],[Other staff 1: Previous 2020/21 Maximum hourly pay rate ADJUSTED 2]]*DATA[[#This Row],[Other staff 1: Numbers employed (Full Time Equivalent)]]),"")</f>
        <v/>
      </c>
      <c r="QT17" s="28" t="str">
        <f>IFERROR(IF(DATA[[#This Row],[Other staff 2: Numbers employed (Full Time Equivalent)]]=0,"",DATA[[#This Row],[Other staff 2: Current 2021/22 Minimum hourly pay rate ADJUSTED 2]]*DATA[[#This Row],[Other staff 2: Numbers employed (Full Time Equivalent)]]),"")</f>
        <v/>
      </c>
      <c r="QU17" s="28" t="str">
        <f>IFERROR(IF(DATA[[#This Row],[Other staff 2: Numbers employed (Full Time Equivalent)]]=0,"",DATA[[#This Row],[Other staff 2: Current 2021/22 Maximum hourly pay rate ADJUSTED 2]]*DATA[[#This Row],[Other staff 2: Numbers employed (Full Time Equivalent)]]),"")</f>
        <v/>
      </c>
      <c r="QV17" s="28" t="str">
        <f>IFERROR(IF(DATA[[#This Row],[Other staff 2: Numbers employed (Full Time Equivalent)]]=0,"",DATA[[#This Row],[Other staff 2: Previous 2020/21 Minimum hourly pay rate ADJUSTED 2]]*DATA[[#This Row],[Other staff 2: Numbers employed (Full Time Equivalent)]]),"")</f>
        <v/>
      </c>
      <c r="QW17" s="28" t="str">
        <f>IFERROR(IF(DATA[[#This Row],[Other staff 2: Numbers employed (Full Time Equivalent)]]=0,"",DATA[[#This Row],[Other staff 2: Previous 2020/21 Maximum hourly pay rate ADJUSTED 2]]*DATA[[#This Row],[Other staff 2: Numbers employed (Full Time Equivalent)]]),"")</f>
        <v/>
      </c>
      <c r="QX17" s="28" t="str">
        <f>IFERROR(IF(DATA[[#This Row],[Other staff 3: Numbers employed (Full Time Equivalent)]]=0,"",DATA[[#This Row],[Other staff 3: Current 2021/22 Minimum hourly pay rate ADJUSTED 2]]*DATA[[#This Row],[Other staff 3: Numbers employed (Full Time Equivalent)]]),"")</f>
        <v/>
      </c>
      <c r="QY17" s="28" t="str">
        <f>IFERROR(IF(DATA[[#This Row],[Other staff 3: Numbers employed (Full Time Equivalent)]]=0,"",DATA[[#This Row],[Other staff 3: Current 2021/22 Maximum hourly pay rate ADJUSTED 2]]*DATA[[#This Row],[Other staff 3: Numbers employed (Full Time Equivalent)]]),"")</f>
        <v/>
      </c>
      <c r="QZ17" s="28" t="str">
        <f>IFERROR(IF(DATA[[#This Row],[Other staff 3: Numbers employed (Full Time Equivalent)]]=0,"",DATA[[#This Row],[Other staff 3: Previous 2020/21 Minimum hourly pay rate ADJUSTED 2]]*DATA[[#This Row],[Other staff 3: Numbers employed (Full Time Equivalent)]]),"")</f>
        <v/>
      </c>
      <c r="RA17" s="28" t="str">
        <f>IFERROR(IF(DATA[[#This Row],[Other staff 3: Numbers employed (Full Time Equivalent)]]=0,"",DATA[[#This Row],[Other staff 3: Previous 2020/21 Maximum hourly pay rate ADJUSTED 2]]*DATA[[#This Row],[Other staff 3: Numbers employed (Full Time Equivalent)]]),"")</f>
        <v/>
      </c>
      <c r="RB17"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17"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17"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17"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17"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17"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0</v>
      </c>
      <c r="RH17"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17"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17"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17"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17"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17"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17"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17"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17"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18" spans="7:484" x14ac:dyDescent="0.25">
      <c r="G18" s="2">
        <v>12</v>
      </c>
      <c r="H18" s="2">
        <v>20</v>
      </c>
      <c r="I18" s="2">
        <v>9</v>
      </c>
      <c r="J18" s="2">
        <v>0.21</v>
      </c>
      <c r="K18" s="2">
        <v>0.79</v>
      </c>
      <c r="L18" s="2" t="s">
        <v>328</v>
      </c>
      <c r="M18" s="2" t="s">
        <v>328</v>
      </c>
      <c r="R18" s="2">
        <v>19.71</v>
      </c>
      <c r="S18" s="2">
        <v>19.71</v>
      </c>
      <c r="T18" s="2">
        <v>19.23</v>
      </c>
      <c r="U18" s="2">
        <v>19.23</v>
      </c>
      <c r="V18" s="2">
        <v>1</v>
      </c>
      <c r="W18" s="2">
        <v>0</v>
      </c>
      <c r="X18" s="2">
        <v>0</v>
      </c>
      <c r="Y18" s="2">
        <v>0</v>
      </c>
      <c r="Z18" s="2">
        <v>0</v>
      </c>
      <c r="AA18" s="2">
        <v>0</v>
      </c>
      <c r="AB18" s="2" t="s">
        <v>315</v>
      </c>
      <c r="AC18" s="2">
        <v>0</v>
      </c>
      <c r="AD18" s="2">
        <v>0</v>
      </c>
      <c r="AE18" s="2">
        <v>0</v>
      </c>
      <c r="AF18" s="2">
        <v>0</v>
      </c>
      <c r="AG18" s="2">
        <v>0</v>
      </c>
      <c r="AH18" s="2" t="s">
        <v>315</v>
      </c>
      <c r="AI18" s="2">
        <v>0</v>
      </c>
      <c r="AJ18" s="2">
        <v>0</v>
      </c>
      <c r="AK18" s="2">
        <v>0</v>
      </c>
      <c r="AL18" s="2">
        <v>0</v>
      </c>
      <c r="AM18" s="2">
        <v>0</v>
      </c>
      <c r="AN18" s="2" t="s">
        <v>315</v>
      </c>
      <c r="AO18" s="2">
        <v>0</v>
      </c>
      <c r="AP18" s="2">
        <v>0</v>
      </c>
      <c r="AQ18" s="2">
        <v>0</v>
      </c>
      <c r="AR18" s="2">
        <v>0</v>
      </c>
      <c r="AS18" s="2">
        <v>0</v>
      </c>
      <c r="AT18" s="2" t="s">
        <v>377</v>
      </c>
      <c r="AU18" s="2">
        <v>8.91</v>
      </c>
      <c r="AV18" s="2">
        <v>11.94</v>
      </c>
      <c r="AW18" s="2">
        <v>8.7200000000000006</v>
      </c>
      <c r="AX18" s="2">
        <v>11.94</v>
      </c>
      <c r="AY18" s="2">
        <v>88</v>
      </c>
      <c r="AZ18" s="2" t="s">
        <v>316</v>
      </c>
      <c r="BA18" s="2">
        <v>0</v>
      </c>
      <c r="BB18" s="2">
        <v>0</v>
      </c>
      <c r="BC18" s="2">
        <v>0</v>
      </c>
      <c r="BD18" s="2">
        <v>0</v>
      </c>
      <c r="BE18" s="2">
        <v>0</v>
      </c>
      <c r="BF18" s="2" t="s">
        <v>316</v>
      </c>
      <c r="BG18" s="2">
        <v>0</v>
      </c>
      <c r="BH18" s="2">
        <v>0</v>
      </c>
      <c r="BI18" s="2">
        <v>0</v>
      </c>
      <c r="BJ18" s="2">
        <v>0</v>
      </c>
      <c r="BK18" s="2">
        <v>0</v>
      </c>
      <c r="BL18" s="2" t="s">
        <v>316</v>
      </c>
      <c r="BM18" s="2">
        <v>0</v>
      </c>
      <c r="BN18" s="2">
        <v>0</v>
      </c>
      <c r="BO18" s="2">
        <v>0</v>
      </c>
      <c r="BP18" s="2">
        <v>0</v>
      </c>
      <c r="BQ18" s="2">
        <v>0</v>
      </c>
      <c r="BR18" s="2" t="s">
        <v>378</v>
      </c>
      <c r="BS18" s="2">
        <v>8.91</v>
      </c>
      <c r="BT18" s="2">
        <v>11.93</v>
      </c>
      <c r="BU18" s="2">
        <v>8.5</v>
      </c>
      <c r="BV18" s="2">
        <v>10.58</v>
      </c>
      <c r="BW18" s="2">
        <v>8</v>
      </c>
      <c r="BX18" s="2" t="s">
        <v>379</v>
      </c>
      <c r="BY18" s="2">
        <v>10</v>
      </c>
      <c r="BZ18" s="2">
        <v>10</v>
      </c>
      <c r="CA18" s="2">
        <v>10</v>
      </c>
      <c r="CB18" s="2">
        <v>10</v>
      </c>
      <c r="CC18" s="2">
        <v>0</v>
      </c>
      <c r="CD18" s="2" t="s">
        <v>317</v>
      </c>
      <c r="CE18" s="2">
        <v>0</v>
      </c>
      <c r="CF18" s="2">
        <v>0</v>
      </c>
      <c r="CG18" s="2">
        <v>0</v>
      </c>
      <c r="CH18" s="2">
        <v>0</v>
      </c>
      <c r="CI18" s="2">
        <v>0</v>
      </c>
      <c r="CJ18" s="2" t="s">
        <v>380</v>
      </c>
      <c r="CK18" s="2">
        <v>8.91</v>
      </c>
      <c r="CL18" s="2">
        <v>12</v>
      </c>
      <c r="CM18" s="2">
        <v>8.7100000000000009</v>
      </c>
      <c r="CN18" s="2">
        <v>11.05</v>
      </c>
      <c r="CO18" s="2">
        <v>2</v>
      </c>
      <c r="CP18" s="2" t="s">
        <v>381</v>
      </c>
      <c r="CQ18" s="2">
        <v>14.42</v>
      </c>
      <c r="CR18" s="2">
        <v>20.52</v>
      </c>
      <c r="CS18" s="2">
        <v>14.42</v>
      </c>
      <c r="CT18" s="2">
        <v>20.52</v>
      </c>
      <c r="CU18" s="2">
        <v>2</v>
      </c>
      <c r="CV18" s="2" t="s">
        <v>382</v>
      </c>
      <c r="CW18" s="2">
        <v>8.91</v>
      </c>
      <c r="CX18" s="2">
        <v>14.42</v>
      </c>
      <c r="CY18" s="2">
        <v>8.7100000000000009</v>
      </c>
      <c r="CZ18" s="2">
        <v>14.42</v>
      </c>
      <c r="DA18" s="2">
        <v>1</v>
      </c>
      <c r="DB18" s="2">
        <v>0.03</v>
      </c>
      <c r="DC18" s="2">
        <v>535.4</v>
      </c>
      <c r="DD18" s="2">
        <v>0</v>
      </c>
      <c r="DE18" s="2">
        <v>0</v>
      </c>
      <c r="DF18" s="2">
        <v>0</v>
      </c>
      <c r="DG18" s="2">
        <v>0</v>
      </c>
      <c r="DH18" s="2">
        <v>115</v>
      </c>
      <c r="DI18" s="2">
        <v>1992.96</v>
      </c>
      <c r="DJ18" s="2">
        <v>1393.4</v>
      </c>
      <c r="DK18" s="2">
        <v>801.05</v>
      </c>
      <c r="DL18" s="2">
        <v>0</v>
      </c>
      <c r="DM18" s="2">
        <v>0</v>
      </c>
      <c r="DN18" s="2">
        <v>0</v>
      </c>
      <c r="DO18" s="2">
        <v>15.68</v>
      </c>
      <c r="DP18" s="2">
        <v>14.6</v>
      </c>
      <c r="DQ18" s="2">
        <v>15</v>
      </c>
      <c r="DR18" s="18">
        <v>43831</v>
      </c>
      <c r="DS18" s="18">
        <v>44196</v>
      </c>
      <c r="DT18" s="2">
        <v>131474.96</v>
      </c>
      <c r="DU18" s="2">
        <v>14005.48</v>
      </c>
      <c r="DV18" s="2">
        <v>1382344.87</v>
      </c>
      <c r="DW18" s="2">
        <v>220752.23</v>
      </c>
      <c r="DX18" s="2">
        <v>0</v>
      </c>
      <c r="DY18" s="2">
        <v>0</v>
      </c>
      <c r="DZ18" s="2">
        <v>1336.22</v>
      </c>
      <c r="EA18" s="2">
        <v>0</v>
      </c>
      <c r="EB18" s="2">
        <v>80409.710000000006</v>
      </c>
      <c r="EC18" s="2">
        <v>2369.56</v>
      </c>
      <c r="ED18" s="2">
        <v>8578.51</v>
      </c>
      <c r="EE18" s="2">
        <v>2443.41</v>
      </c>
      <c r="EF18" s="2">
        <v>5729.59</v>
      </c>
      <c r="EG18" s="2">
        <v>41127.96</v>
      </c>
      <c r="EH18" s="2" t="s">
        <v>324</v>
      </c>
      <c r="EI18" s="2">
        <v>0</v>
      </c>
      <c r="EJ18" s="2" t="s">
        <v>324</v>
      </c>
      <c r="EK18" s="2">
        <v>0</v>
      </c>
      <c r="EL18" s="2">
        <v>6874.05</v>
      </c>
      <c r="EM18" s="2">
        <v>4951.51</v>
      </c>
      <c r="EN18" s="2">
        <v>3976.62</v>
      </c>
      <c r="EO18" s="2">
        <v>39506.22</v>
      </c>
      <c r="EP18" s="2">
        <v>8282.2900000000009</v>
      </c>
      <c r="EQ18" s="2">
        <v>3205.61</v>
      </c>
      <c r="ER18" s="2">
        <v>20249.88</v>
      </c>
      <c r="ES18" s="2">
        <v>0</v>
      </c>
      <c r="ET18" s="2" t="s">
        <v>383</v>
      </c>
      <c r="EU18" s="2">
        <v>30088.31</v>
      </c>
      <c r="EV18" s="2" t="s">
        <v>324</v>
      </c>
      <c r="EW18" s="2">
        <v>0</v>
      </c>
      <c r="EX18" s="2">
        <v>0</v>
      </c>
      <c r="EY18" s="2">
        <v>106391.36</v>
      </c>
      <c r="EZ18" s="2" t="s">
        <v>384</v>
      </c>
      <c r="FA18" s="2">
        <v>10655.24</v>
      </c>
      <c r="FB18" s="2" t="s">
        <v>385</v>
      </c>
      <c r="FC18" s="2">
        <v>8519.2000000000007</v>
      </c>
      <c r="FD18" s="2">
        <v>46837.55</v>
      </c>
      <c r="FE18" s="2">
        <v>8.6400000000000005E-2</v>
      </c>
      <c r="FF18" s="2">
        <v>542181.81999999995</v>
      </c>
      <c r="FG18" s="2"/>
      <c r="FH18" s="19">
        <v>44480.623576388891</v>
      </c>
      <c r="FI18" s="2" t="s">
        <v>345</v>
      </c>
      <c r="FJ18" s="2">
        <f>SUM(DATA[[#This Row],[Number of Home support clients:]],DATA[[#This Row],[Number of supported living clients:]])</f>
        <v>29</v>
      </c>
      <c r="FK18"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18"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19.71</v>
      </c>
      <c r="FM18"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19.71</v>
      </c>
      <c r="FN18"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19.23</v>
      </c>
      <c r="FO18"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19.23</v>
      </c>
      <c r="FP18"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18"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18"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18"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18"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18"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18"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18"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18"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18"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18"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18"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18"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18"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18"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18"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18"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18"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11.94</v>
      </c>
      <c r="GH18"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18"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11.94</v>
      </c>
      <c r="GJ18"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18"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18"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18"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18"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18"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18"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18"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18"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18"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18"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18"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18"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8.91</v>
      </c>
      <c r="GW18"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11.93</v>
      </c>
      <c r="GX18"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8.5</v>
      </c>
      <c r="GY18"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10.58</v>
      </c>
      <c r="GZ18"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10</v>
      </c>
      <c r="HA18"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10</v>
      </c>
      <c r="HB18"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10</v>
      </c>
      <c r="HC18"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10</v>
      </c>
      <c r="HD18"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18"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18"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8"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8"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8.91</v>
      </c>
      <c r="HI18"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12</v>
      </c>
      <c r="HJ18"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8.7100000000000009</v>
      </c>
      <c r="HK18"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11.05</v>
      </c>
      <c r="HL18"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14.42</v>
      </c>
      <c r="HM18"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20.52</v>
      </c>
      <c r="HN18" s="2">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14.42</v>
      </c>
      <c r="HO18" s="2">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20.52</v>
      </c>
      <c r="HP18" s="2">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8.91</v>
      </c>
      <c r="HQ18" s="2">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14.42</v>
      </c>
      <c r="HR18" s="2">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8.7100000000000009</v>
      </c>
      <c r="HS18" s="2">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14.42</v>
      </c>
      <c r="HT18"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19.71</v>
      </c>
      <c r="HU18"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19.71</v>
      </c>
      <c r="HV18"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19.23</v>
      </c>
      <c r="HW18"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19.23</v>
      </c>
      <c r="HX18"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18"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18"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18"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18"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18"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18"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18"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18"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18"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18"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18"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18"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18"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18"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18"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18"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18"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11.94</v>
      </c>
      <c r="IP18"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18"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11.94</v>
      </c>
      <c r="IR18"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18"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18"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18"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18"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18"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18"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18"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18"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18"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18"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18"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18"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8.91</v>
      </c>
      <c r="JE18"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11.93</v>
      </c>
      <c r="JF18"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8.5</v>
      </c>
      <c r="JG18"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10.58</v>
      </c>
      <c r="JH18"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10</v>
      </c>
      <c r="JI18"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10</v>
      </c>
      <c r="JJ18"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10</v>
      </c>
      <c r="JK18"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10</v>
      </c>
      <c r="JL18"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18"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18"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18"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18"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8.91</v>
      </c>
      <c r="JQ18"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12</v>
      </c>
      <c r="JR18"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8.7100000000000009</v>
      </c>
      <c r="JS18"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11.05</v>
      </c>
      <c r="JT18"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14.42</v>
      </c>
      <c r="JU18"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20.52</v>
      </c>
      <c r="JV18"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14.42</v>
      </c>
      <c r="JW18"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20.52</v>
      </c>
      <c r="JX18" s="2">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8.91</v>
      </c>
      <c r="JY18" s="2">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14.42</v>
      </c>
      <c r="JZ18" s="2">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8.7100000000000009</v>
      </c>
      <c r="KA18" s="2">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14.42</v>
      </c>
      <c r="KB18"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v>
      </c>
      <c r="KC18" s="21">
        <f>SUM(DATA[[#This Row],[Care Assistant 1: Numbers employed (Full Time Equivalent)]],DATA[[#This Row],[Care Assistant 2: Numbers employed (Full Time Equivalent)]],DATA[[#This Row],[Care Assistant 3: Numbers employed (Full Time Equivalent)]],DATA[[#This Row],[Care Assistant 4: Numbers employed (Full Time Equivalent)]])</f>
        <v>88</v>
      </c>
      <c r="KD18" s="21">
        <f>SUM(DATA[[#This Row],[Administrative Officer 1: Numbers employed (Full Time Equivalent)]],DATA[[#This Row],[Administrative Officer 2: Numbers employed (Full Time Equivalent)]])</f>
        <v>8</v>
      </c>
      <c r="KE18" s="21">
        <f>SUM(DATA[[#This Row],[Other staff 1: Numbers employed (Full Time Equivalent)]],DATA[[#This Row],[Other staff 2: Numbers employed (Full Time Equivalent)]],DATA[[#This Row],[Other staff 3: Numbers employed (Full Time Equivalent)]])</f>
        <v>5</v>
      </c>
      <c r="KF18" s="21">
        <f>SUM(DATA[[#This Row],[Total FTE Management Employees]:[Total FTE Other Employees]])</f>
        <v>102</v>
      </c>
      <c r="KG18" s="21" t="str">
        <f>IF(SUM(DATA[[#This Row],[Home Support service split percentage (Expenditure):]],DATA[[#This Row],[Supported Living service split percentage (Expenditure):]])&gt;0, IF(DATA[[#This Row],[Home Support service split percentage (Expenditure):]]&gt;0.5,"Home Support","Supported Living"), "Unknown")</f>
        <v>Supported Living</v>
      </c>
      <c r="KH18" s="21">
        <f>SUM(DATA[[#This Row],[Home Support: Birmingham City Council]:[Home Support: Self-funded]])</f>
        <v>650.4</v>
      </c>
      <c r="KI18" s="21">
        <f>SUM(DATA[[#This Row],[Supported Living: Birmingham City Council]:[Supported Living: Self-funded]])</f>
        <v>4187.41</v>
      </c>
      <c r="KJ18"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18"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18"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18"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18" s="21" t="b">
        <f>SUM(DATA[[#This Row],[Number of hours of care charged for in last full accounting year]:[Corporate Overheads: Other  - please specify (category) 1]])&gt;0</f>
        <v>1</v>
      </c>
      <c r="KO18" s="21">
        <f>SUM(DATA[[#This Row],[Total annual expenditure: Management staff]:[Total annual expenditure: Training and development]])</f>
        <v>1698848.51</v>
      </c>
      <c r="KP18" s="21">
        <f>SUM(DATA[[#This Row],[Recruitment &amp; advertising (including DBS checks)]:[Non-Staffing Direct Cost: Other  - please specify (amount) 2]])</f>
        <v>60249.03</v>
      </c>
      <c r="KQ18" s="21">
        <f>SUM(DATA[[#This Row],[Insurance ]:[Indirect costs: Other 2 - please specify (amount)]])</f>
        <v>117134.49</v>
      </c>
      <c r="KR18" s="21">
        <f>SUM(DATA[[#This Row],[Central / Regional Management]],DATA[[#This Row],[Support Services (finance / HR / Payroll / legal etc.)]],DATA[[#This Row],[Corporate Overheads: Other  - please specify (amount) 1]],DATA[[#This Row],[Corporate Overheads: Other  - please specify (amount) 2]])</f>
        <v>125565.8</v>
      </c>
      <c r="KS18"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0.10652583579413145</v>
      </c>
      <c r="KT18"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10.514130371288953</v>
      </c>
      <c r="KU18"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1.6790439031128059</v>
      </c>
      <c r="KV18"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8"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18" s="30">
        <f>IF(OR(NOT(DATA[[#This Row],[Total annual expenditure: Travel Cost]]&gt;0),NOT(DATA[[#This Row],[Number of hours of care charged for in last full accounting year]]&gt;0)),0,DATA[[#This Row],[Total annual expenditure: Travel Cost]]/DATA[[#This Row],[Number of hours of care charged for in last full accounting year]])</f>
        <v>1.0163304099883355E-2</v>
      </c>
      <c r="KY18"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18"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0.61159714366903029</v>
      </c>
      <c r="LA18"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1.802289956962147E-2</v>
      </c>
      <c r="LB18"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6.5248241946603378E-2</v>
      </c>
      <c r="LC18" s="30">
        <f>IF(OR(NOT(DATA[[#This Row],[Care consumables &amp; uniforms]]&gt;0),NOT(DATA[[#This Row],[Number of hours of care charged for in last full accounting year]]&gt;0)),0,DATA[[#This Row],[Care consumables &amp; uniforms]]/DATA[[#This Row],[Number of hours of care charged for in last full accounting year]])</f>
        <v>1.8584603486473773E-2</v>
      </c>
      <c r="LD18" s="30">
        <f>IF(OR(NOT(DATA[[#This Row],[Electronic call monitoring]]&gt;0),NOT(DATA[[#This Row],[Number of hours of care charged for in last full accounting year]]&gt;0)),0,DATA[[#This Row],[Electronic call monitoring]]/DATA[[#This Row],[Number of hours of care charged for in last full accounting year]])</f>
        <v>4.357932491479747E-2</v>
      </c>
      <c r="LE18" s="30">
        <f>IF(OR(NOT(DATA[[#This Row],[IT Equipment &amp; Telephoney]]&gt;0),NOT(DATA[[#This Row],[Number of hours of care charged for in last full accounting year]]&gt;0)),0,DATA[[#This Row],[IT Equipment &amp; Telephoney]]/DATA[[#This Row],[Number of hours of care charged for in last full accounting year]])</f>
        <v>0.31281971867494768</v>
      </c>
      <c r="LF18"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18"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18" s="30">
        <f>IF(OR(NOT(DATA[[#This Row],[Insurance ]]&gt;0),NOT(DATA[[#This Row],[Number of hours of care charged for in last full accounting year]]&gt;0)),0,DATA[[#This Row],[Insurance ]]/DATA[[#This Row],[Number of hours of care charged for in last full accounting year]])</f>
        <v>5.2284100333630075E-2</v>
      </c>
      <c r="LI18"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3.7661239828481415E-2</v>
      </c>
      <c r="LJ18" s="30">
        <f>IF(OR(NOT(DATA[[#This Row],[Repairs and maintenance]]&gt;0),NOT(DATA[[#This Row],[Number of hours of care charged for in last full accounting year]]&gt;0)),0,DATA[[#This Row],[Repairs and maintenance]]/DATA[[#This Row],[Number of hours of care charged for in last full accounting year]])</f>
        <v>3.0246215705256728E-2</v>
      </c>
      <c r="LK18"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0.3004847462969375</v>
      </c>
      <c r="LL18" s="30">
        <f>IF(OR(NOT(DATA[[#This Row],[Registration &amp; Inspection fees ]]&gt;0),NOT(DATA[[#This Row],[Number of hours of care charged for in last full accounting year]]&gt;0)),0,DATA[[#This Row],[Registration &amp; Inspection fees ]]/DATA[[#This Row],[Number of hours of care charged for in last full accounting year]])</f>
        <v>6.2995189350124173E-2</v>
      </c>
      <c r="LM18" s="30">
        <f>IF(OR(NOT(DATA[[#This Row],[Subscriptions]]&gt;0),NOT(DATA[[#This Row],[Number of hours of care charged for in last full accounting year]]&gt;0)),0,DATA[[#This Row],[Subscriptions]]/DATA[[#This Row],[Number of hours of care charged for in last full accounting year]])</f>
        <v>2.4381905117141701E-2</v>
      </c>
      <c r="LN18" s="30">
        <f>IF(OR(NOT(DATA[[#This Row],[Cost of finance]]&gt;0),NOT(DATA[[#This Row],[Number of hours of care charged for in last full accounting year]]&gt;0)),0,DATA[[#This Row],[Cost of finance]]/DATA[[#This Row],[Number of hours of care charged for in last full accounting year]])</f>
        <v>0.15402081126322459</v>
      </c>
      <c r="LO18" s="30">
        <f>IF(OR(NOT(DATA[[#This Row],[Other non-staff current expenses]]&gt;0),NOT(DATA[[#This Row],[Number of hours of care charged for in last full accounting year]]&gt;0)),0,DATA[[#This Row],[Other non-staff current expenses]]/DATA[[#This Row],[Number of hours of care charged for in last full accounting year]])</f>
        <v>0</v>
      </c>
      <c r="LP18"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0.22885201866575966</v>
      </c>
      <c r="LQ18"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18" s="30">
        <f>IF(OR(NOT(DATA[[#This Row],[Central / Regional Management]]&gt;0),NOT(DATA[[#This Row],[Number of hours of care charged for in last full accounting year]]&gt;0)),0,DATA[[#This Row],[Central / Regional Management]]/DATA[[#This Row],[Number of hours of care charged for in last full accounting year]])</f>
        <v>0</v>
      </c>
      <c r="LS18"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0.80921386095116521</v>
      </c>
      <c r="LT18"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8.1043873297242303E-2</v>
      </c>
      <c r="LU18"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6.4797129430577513E-2</v>
      </c>
      <c r="LV18" s="30">
        <f>SUM(DATA[[#This Row],[Management staff HOURLY RATE]:[Corporate Overheads: Other  - please specify (amount) 2 HOURLY RATE]])</f>
        <v>15.225696436796786</v>
      </c>
      <c r="LW18" s="30">
        <f>IF(OR(NOT(DATA[[#This Row],[Net Operating Profit]]&gt;0),NOT(DATA[[#This Row],[Number of hours of care charged for in last full accounting year]]&gt;0)),"",DATA[[#This Row],[Net Operating Profit]]/DATA[[#This Row],[Number of hours of care charged for in last full accounting year]])</f>
        <v>0.35624692336852587</v>
      </c>
      <c r="LX18" s="30">
        <f>IF(OR(NOT(DATA[[#This Row],[Return on Capital employed]]&gt;0),NOT(DATA[[#This Row],[Number of hours of care charged for in last full accounting year]]&gt;0)),0,DATA[[#This Row],[Return on Capital employed]]/DATA[[#This Row],[Number of hours of care charged for in last full accounting year]])</f>
        <v>6.571593556674215E-7</v>
      </c>
      <c r="LY18" s="31">
        <v>12</v>
      </c>
      <c r="LZ18" s="30" t="s">
        <v>345</v>
      </c>
      <c r="MA18" s="30" t="b">
        <f>DATA[[#This Row],[Number of Home support clients:]]&gt;0</f>
        <v>1</v>
      </c>
      <c r="MB18" s="30" t="b">
        <f>DATA[[#This Row],[Number of supported living clients:]]&gt;0</f>
        <v>1</v>
      </c>
      <c r="MC18" s="30" t="b">
        <f>DATA[[#This Row],[Total Home Support Hours]]&gt;0</f>
        <v>1</v>
      </c>
      <c r="MD18" s="30" t="b">
        <f>DATA[[#This Row],[Total Supported Living Hours]]&gt;0</f>
        <v>1</v>
      </c>
      <c r="ME18" s="30" t="b">
        <f>DATA[[#This Row],[Home Support service split percentage (Expenditure):]]&gt;0.5</f>
        <v>0</v>
      </c>
      <c r="MF18" s="30" t="b">
        <f>DATA[[#This Row],[Agency staff HOURLY RATE]]=0</f>
        <v>1</v>
      </c>
      <c r="MG18" s="30">
        <f>IFERROR(IF(AVERAGE(DATA[[#This Row],[Registered manager: Current 2021/22 Minimum hourly pay rate ADJUSTED]],DATA[[#This Row],[Registered manager: Current 2021/22 Maximum hourly pay rate ADJUSTED]])&lt;LIVING_WAGE_22_23,DATA[[#This Row],[Registered manager: Numbers employed (Full Time Equivalent)]],0),"")</f>
        <v>0</v>
      </c>
      <c r="MH18" s="30" t="str">
        <f>IFERROR(IF(AVERAGE(DATA[[#This Row],[Deputy manager: Current 2021/22 Minimum hourly pay rate ADJUSTED]],DATA[[#This Row],[Deputy manager: Current 2021/22 Maximum hourly pay rate ADJUSTED]])&lt;LIVING_WAGE_22_23,DATA[[#This Row],[Deputy manager: Numbers employed (Full Time Equivalent)]],0),"")</f>
        <v/>
      </c>
      <c r="MI18" s="30" t="str">
        <f>IFERROR(IF(AVERAGE(DATA[[#This Row],[Other manager 1: Current 2021/22 Minimum hourly pay rate ADJUSTED]],DATA[[#This Row],[Other manager 1: Current 2021/22 Maximum hourly pay rate ADJUSTED]])&lt;LIVING_WAGE_22_23,DATA[[#This Row],[Other manager 1: Numbers employed (Full Time Equivalent)]],0),"")</f>
        <v/>
      </c>
      <c r="MJ18" s="30" t="str">
        <f>IFERROR(IF(AVERAGE(DATA[[#This Row],[Other manager 2: Current 2021/22 Minimum hourly pay rate ADJUSTED]],DATA[[#This Row],[Other manager 2: Current 2021/22 Maximum hourly pay rate ADJUSTED]])&lt;LIVING_WAGE_22_23,DATA[[#This Row],[Other manager 2: Numbers employed (Full Time Equivalent)]],0),"")</f>
        <v/>
      </c>
      <c r="MK18" s="30" t="str">
        <f>IFERROR(IF(AVERAGE(DATA[[#This Row],[Other manager 3: Current 2021/22 Minimum hourly pay rate ADJUSTED]],DATA[[#This Row],[Other manager 3: Current 2021/22 Maximum hourly pay rate ADJUSTED]])&lt;LIVING_WAGE_22_23,DATA[[#This Row],[Other manager 3: Numbers employed (Full Time Equivalent)]],0),"")</f>
        <v/>
      </c>
      <c r="ML18" s="30">
        <f>IFERROR(IF(AVERAGE(DATA[[#This Row],[Care Assistant 1: Current 2021/22 Minimum hourly pay rate ADJUSTED]],DATA[[#This Row],[Care Assistant 1: Current 2021/22 Maximum hourly pay rate ADJUSTED]])&lt;LIVING_WAGE_22_23,DATA[[#This Row],[Care Assistant 1: Numbers employed (Full Time Equivalent)]],0),"")</f>
        <v>0</v>
      </c>
      <c r="MM18" s="30" t="str">
        <f>IFERROR(IF(AVERAGE(DATA[[#This Row],[Care Assistant 2: Current 2021/22 Minimum hourly pay rate ADJUSTED]],DATA[[#This Row],[Care Assistant 2: Current 2021/22 Maximum hourly pay rate ADJUSTED]])&lt;LIVING_WAGE_22_23,DATA[[#This Row],[Care Assistant 2: Numbers employed (Full Time Equivalent)]],0),"")</f>
        <v/>
      </c>
      <c r="MN18" s="30" t="str">
        <f>IFERROR(IF(AVERAGE(DATA[[#This Row],[Care Assistant 3: Current 2021/22 Minimum hourly pay rate ADJUSTED]],DATA[[#This Row],[Care Assistant 3: Current 2021/22 Maximum hourly pay rate ADJUSTED]])&lt;LIVING_WAGE_22_23,DATA[[#This Row],[Care Assistant 3: Numbers employed (Full Time Equivalent)]],0),"")</f>
        <v/>
      </c>
      <c r="MO18" s="30" t="str">
        <f>IFERROR(IF(AVERAGE(DATA[[#This Row],[Care Assistant 4: Current 2021/22 Minimum hourly pay rate ADJUSTED]],DATA[[#This Row],[Care Assistant 4: Current 2021/22 Maximum hourly pay rate ADJUSTED]])&lt;LIVING_WAGE_22_23,DATA[[#This Row],[Care Assistant 4: Numbers employed (Full Time Equivalent)]],0),"")</f>
        <v/>
      </c>
      <c r="MP18"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18"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18" s="30">
        <f>IFERROR(IF(AVERAGE(DATA[[#This Row],[Other staff 1: Current 2021/22 Minimum hourly pay rate ADJUSTED]],DATA[[#This Row],[Other staff 1: Current 2021/22 Maximum hourly pay rate ADJUSTED]])&lt;LIVING_WAGE_22_23,DATA[[#This Row],[Other staff 1: Numbers employed (Full Time Equivalent)]],0),"")</f>
        <v>0</v>
      </c>
      <c r="MS18" s="30">
        <f>IFERROR(IF(AVERAGE(DATA[[#This Row],[Other staff 2: Current 2021/22 Minimum hourly pay rate ADJUSTED]],DATA[[#This Row],[Other staff 2: Current 2021/22 Maximum hourly pay rate ADJUSTED]])&lt;LIVING_WAGE_22_23,DATA[[#This Row],[Other staff 2: Numbers employed (Full Time Equivalent)]],0),"")</f>
        <v>0</v>
      </c>
      <c r="MT18" s="30">
        <f>IFERROR(IF(AVERAGE(DATA[[#This Row],[Other staff 3: Current 2021/22 Minimum hourly pay rate ADJUSTED]],DATA[[#This Row],[Other staff 3: Current 2021/22 Maximum hourly pay rate ADJUSTED]])&lt;LIVING_WAGE_22_23,DATA[[#This Row],[Other staff 3: Numbers employed (Full Time Equivalent)]],0),"")</f>
        <v>0</v>
      </c>
      <c r="MU18" s="30">
        <f>SUM(DATA[[#This Row],[Registered Manager FTE earning less than NLW 23yrs 2022/23]:[Other staff 3 FTE earning less than NLW 23yrs 2022/23]])</f>
        <v>0</v>
      </c>
      <c r="MV18"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18"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18"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18"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18"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18"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18"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18"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18"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18"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18"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18"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18"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0</v>
      </c>
      <c r="NI18" s="30">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0</v>
      </c>
      <c r="NJ18" s="30" t="b">
        <v>0</v>
      </c>
      <c r="NK18" s="30" t="b">
        <v>1</v>
      </c>
      <c r="NL18" s="30" t="s">
        <v>972</v>
      </c>
      <c r="NM18" s="30">
        <f>SUM(DATA[[#This Row],[Management staff HOURLY RATE]:[Training and development HOURLY RATE]])</f>
        <v>12.921460557964805</v>
      </c>
      <c r="NN18" s="30">
        <f>SUM(DATA[[#This Row],[Recruitment &amp; advertising (including DBS checks) HOURLY RATE]:[Non-Staffing Direct Cost: Other  - please specify (amount) 2 HOURLY RATE]])</f>
        <v>0.45825478859244373</v>
      </c>
      <c r="NO18" s="30">
        <f>SUM(DATA[[#This Row],[Insurance  HOURLY RATE]:[Indirect costs: Other  - please specify (amount) 2 HOURLY RATE]])</f>
        <v>0.89092622656055576</v>
      </c>
      <c r="NP18" s="30">
        <f>SUM(DATA[[#This Row],[Central / Regional Management HOURLY RATE]:[Corporate Overheads: Other  - please specify (amount) 2 HOURLY RATE]])</f>
        <v>0.95505486367898496</v>
      </c>
      <c r="NQ18"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18" s="30" t="str">
        <f>IFERROR(IF(AVERAGE(DATA[[#This Row],[Deputy manager: Current 2021/22 Minimum hourly pay rate ADJUSTED]],DATA[[#This Row],[Deputy manager: Current 2021/22 Maximum hourly pay rate ADJUSTED]])&lt;REAL_LIVING_WAGE_22_23,DATA[[#This Row],[Deputy manager: Numbers employed (Full Time Equivalent)]],0),"")</f>
        <v/>
      </c>
      <c r="NS18" s="30" t="str">
        <f>IFERROR(IF(AVERAGE(DATA[[#This Row],[Other manager 1: Current 2021/22 Minimum hourly pay rate ADJUSTED]],DATA[[#This Row],[Other manager 1: Current 2021/22 Maximum hourly pay rate ADJUSTED]])&lt;REAL_LIVING_WAGE_22_23,DATA[[#This Row],[Other manager 1: Numbers employed (Full Time Equivalent)]],0),"")</f>
        <v/>
      </c>
      <c r="NT18" s="30" t="str">
        <f>IFERROR(IF(AVERAGE(DATA[[#This Row],[Other manager 2: Current 2021/22 Minimum hourly pay rate ADJUSTED]],DATA[[#This Row],[Other manager 2: Current 2021/22 Maximum hourly pay rate ADJUSTED]])&lt;REAL_LIVING_WAGE_22_23,DATA[[#This Row],[Other manager 2: Numbers employed (Full Time Equivalent)]],0),"")</f>
        <v/>
      </c>
      <c r="NU18" s="30" t="str">
        <f>IFERROR(IF(AVERAGE(DATA[[#This Row],[Other manager 3: Current 2021/22 Minimum hourly pay rate ADJUSTED]],DATA[[#This Row],[Other manager 3: Current 2021/22 Maximum hourly pay rate ADJUSTED]])&lt;REAL_LIVING_WAGE_22_23,DATA[[#This Row],[Other manager 3: Numbers employed (Full Time Equivalent)]],0),"")</f>
        <v/>
      </c>
      <c r="NV18" s="30">
        <f>IFERROR(IF(AVERAGE(DATA[[#This Row],[Care Assistant 1: Current 2021/22 Minimum hourly pay rate ADJUSTED]],DATA[[#This Row],[Care Assistant 1: Current 2021/22 Maximum hourly pay rate ADJUSTED]])&lt;REAL_LIVING_WAGE_22_23,DATA[[#This Row],[Care Assistant 1: Numbers employed (Full Time Equivalent)]],0),"")</f>
        <v>0</v>
      </c>
      <c r="NW18"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18"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18"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18"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18"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18" s="30">
        <f>IFERROR(IF(AVERAGE(DATA[[#This Row],[Other staff 1: Current 2021/22 Minimum hourly pay rate ADJUSTED]],DATA[[#This Row],[Other staff 1: Current 2021/22 Maximum hourly pay rate ADJUSTED]])&lt;REAL_LIVING_WAGE_22_23,DATA[[#This Row],[Other staff 1: Numbers employed (Full Time Equivalent)]],0),"")</f>
        <v>0</v>
      </c>
      <c r="OC18" s="30">
        <f>IFERROR(IF(AVERAGE(DATA[[#This Row],[Other staff 2: Current 2021/22 Minimum hourly pay rate ADJUSTED]],DATA[[#This Row],[Other staff 2: Current 2021/22 Maximum hourly pay rate ADJUSTED]])&lt;REAL_LIVING_WAGE_22_23,DATA[[#This Row],[Other staff 2: Numbers employed (Full Time Equivalent)]],0),"")</f>
        <v>0</v>
      </c>
      <c r="OD18" s="30">
        <f>IFERROR(IF(AVERAGE(DATA[[#This Row],[Other staff 3: Current 2021/22 Minimum hourly pay rate ADJUSTED]],DATA[[#This Row],[Other staff 3: Current 2021/22 Maximum hourly pay rate ADJUSTED]])&lt;REAL_LIVING_WAGE_22_23,DATA[[#This Row],[Other staff 3: Numbers employed (Full Time Equivalent)]],0),"")</f>
        <v>0</v>
      </c>
      <c r="OE18" s="30">
        <f>SUM(DATA[[#This Row],[Registered Manager FTE earning less than RLW 23yrs 2022/23]:[Other staff 3 FTE earning less than RLW 23yrs 2022/23]])</f>
        <v>0</v>
      </c>
      <c r="OF18"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18"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18"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18"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18"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18"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18"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18"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18"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18"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18"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18"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18"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0</v>
      </c>
      <c r="OS18" s="30">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0</v>
      </c>
      <c r="OT18" s="30">
        <f>IFERROR(IF(DATA[[#This Row],[Registered manager: Numbers employed (Full Time Equivalent)]]=0,"",DATA[[#This Row],[Registered manager: Current 2021/22 Minimum hourly pay rate ADJUSTED 2]]*DATA[[#This Row],[Registered manager: Numbers employed (Full Time Equivalent)]]),"")</f>
        <v>19.71</v>
      </c>
      <c r="OU18" s="30">
        <f>IFERROR(IF(DATA[[#This Row],[Registered manager: Numbers employed (Full Time Equivalent)]]=0,"",DATA[[#This Row],[Registered manager: Current 2021/22 Maximum hourly pay rate ADJUSTED 2]]*DATA[[#This Row],[Registered manager: Numbers employed (Full Time Equivalent)]]),"")</f>
        <v>19.71</v>
      </c>
      <c r="OV18" s="30">
        <f>IFERROR(IF(DATA[[#This Row],[Registered manager: Numbers employed (Full Time Equivalent)]]=0,"",DATA[[#This Row],[Registered manager: Previous 2020/21 Minimum hourly pay rate ADJUSTED 2]]*DATA[[#This Row],[Registered manager: Numbers employed (Full Time Equivalent)]]),"")</f>
        <v>19.23</v>
      </c>
      <c r="OW18" s="30">
        <f>IFERROR(IF(DATA[[#This Row],[Registered manager: Numbers employed (Full Time Equivalent)]]=0,"",DATA[[#This Row],[Registered manager: Previous 2020/21 Maximum hourly pay rate ADJUSTED 2]]*DATA[[#This Row],[Registered manager: Numbers employed (Full Time Equivalent)]]),"")</f>
        <v>19.23</v>
      </c>
      <c r="OX18" s="30" t="str">
        <f>IFERROR(IF(DATA[[#This Row],[Deputy manager: Numbers employed (Full Time Equivalent)]]=0,"",DATA[[#This Row],[Deputy manager: Current 2021/22 Minimum hourly pay rate ADJUSTED 2]]*DATA[[#This Row],[Deputy manager: Numbers employed (Full Time Equivalent)]]),"")</f>
        <v/>
      </c>
      <c r="OY18" s="30" t="str">
        <f>IFERROR(IF(DATA[[#This Row],[Deputy manager: Numbers employed (Full Time Equivalent)]]=0,"",DATA[[#This Row],[Deputy manager: Current 2021/22 Maximum hourly pay rate ADJUSTED 2]]*DATA[[#This Row],[Deputy manager: Numbers employed (Full Time Equivalent)]]),"")</f>
        <v/>
      </c>
      <c r="OZ18" s="30" t="str">
        <f>IFERROR(IF(DATA[[#This Row],[Deputy manager: Numbers employed (Full Time Equivalent)]]=0,"",DATA[[#This Row],[Deputy manager: Previous 2020/21 Minimum hourly pay rate ADJUSTED 2]]*DATA[[#This Row],[Deputy manager: Numbers employed (Full Time Equivalent)]]),"")</f>
        <v/>
      </c>
      <c r="PA18" s="30" t="str">
        <f>IFERROR(IF(DATA[[#This Row],[Deputy manager: Numbers employed (Full Time Equivalent)]]=0,"",DATA[[#This Row],[Deputy manager: Previous 2020/21 Maximum hourly pay rate ADJUSTED 2]]*DATA[[#This Row],[Deputy manager: Numbers employed (Full Time Equivalent)]]),"")</f>
        <v/>
      </c>
      <c r="PB18" s="30" t="str">
        <f>IFERROR(IF(DATA[[#This Row],[Other manager 1: Numbers employed (Full Time Equivalent)]]=0,"",DATA[[#This Row],[Other manager 1: Current 2021/22 Minimum hourly pay rate ADJUSTED 2]]*DATA[[#This Row],[Other manager 1: Numbers employed (Full Time Equivalent)]]),"")</f>
        <v/>
      </c>
      <c r="PC18" s="30" t="str">
        <f>IFERROR(IF(DATA[[#This Row],[Other manager 1: Numbers employed (Full Time Equivalent)]]=0,"",DATA[[#This Row],[Other manager 1: Current 2021/22 Maximum hourly pay rate ADJUSTED 2]]*DATA[[#This Row],[Other manager 1: Numbers employed (Full Time Equivalent)]]),"")</f>
        <v/>
      </c>
      <c r="PD18" s="30" t="str">
        <f>IFERROR(IF(DATA[[#This Row],[Other manager 1: Numbers employed (Full Time Equivalent)]]=0,"",DATA[[#This Row],[Other manager 1: Previous 2020/21 Minimum hourly pay rate ADJUSTED 2]]*DATA[[#This Row],[Other manager 1: Numbers employed (Full Time Equivalent)]]),"")</f>
        <v/>
      </c>
      <c r="PE18" s="30" t="str">
        <f>IFERROR(IF(DATA[[#This Row],[Other manager 1: Numbers employed (Full Time Equivalent)]]=0,"",DATA[[#This Row],[Other manager 1: Previous 2020/21 Maximum hourly pay rate ADJUSTED 2]]*DATA[[#This Row],[Other manager 1: Numbers employed (Full Time Equivalent)]]),"")</f>
        <v/>
      </c>
      <c r="PF18" s="30" t="str">
        <f>IFERROR(IF(DATA[[#This Row],[Other manager 2: Numbers employed (Full Time Equivalent)]]=0,"",DATA[[#This Row],[Other manager 2: Current 2021/22 Minimum hourly pay rate ADJUSTED 2]]*DATA[[#This Row],[Other manager 2: Numbers employed (Full Time Equivalent)]]),"")</f>
        <v/>
      </c>
      <c r="PG18" s="30" t="str">
        <f>IFERROR(IF(DATA[[#This Row],[Other manager 2: Numbers employed (Full Time Equivalent)]]=0,"",DATA[[#This Row],[Other manager 2: Current 2021/22 Maximum hourly pay rate ADJUSTED 2]]*DATA[[#This Row],[Other manager 2: Numbers employed (Full Time Equivalent)]]),"")</f>
        <v/>
      </c>
      <c r="PH18" s="30" t="str">
        <f>IFERROR(IF(DATA[[#This Row],[Other manager 2: Numbers employed (Full Time Equivalent)]]=0,"",DATA[[#This Row],[Other manager 2: Previous 2020/21 Minimum hourly pay rate ADJUSTED 2]]*DATA[[#This Row],[Other manager 2: Numbers employed (Full Time Equivalent)]]),"")</f>
        <v/>
      </c>
      <c r="PI18" s="30" t="str">
        <f>IFERROR(IF(DATA[[#This Row],[Other manager 2: Numbers employed (Full Time Equivalent)]]=0,"",DATA[[#This Row],[Other manager 2: Previous 2020/21 Maximum hourly pay rate ADJUSTED 2]]*DATA[[#This Row],[Other manager 2: Numbers employed (Full Time Equivalent)]]),"")</f>
        <v/>
      </c>
      <c r="PJ18" s="30" t="str">
        <f>IFERROR(IF(DATA[[#This Row],[Other manager 3: Numbers employed (Full Time Equivalent)]]=0,"",DATA[[#This Row],[Other manager 3: Current 2021/22 Minimum hourly pay rate ADJUSTED 2]]*DATA[[#This Row],[Other manager 3: Numbers employed (Full Time Equivalent)]]),"")</f>
        <v/>
      </c>
      <c r="PK18" s="30" t="str">
        <f>IFERROR(IF(DATA[[#This Row],[Other manager 3: Numbers employed (Full Time Equivalent)]]=0,"",DATA[[#This Row],[Other manager 3: Current 2021/22 Maximum hourly pay rate ADJUSTED 2]]*DATA[[#This Row],[Other manager 3: Numbers employed (Full Time Equivalent)]]),"")</f>
        <v/>
      </c>
      <c r="PL18" s="30" t="str">
        <f>IFERROR(IF(DATA[[#This Row],[Other manager 3: Numbers employed (Full Time Equivalent)]]=0,"",DATA[[#This Row],[Other manager 3: Previous 2020/21 Minimum hourly pay rate ADJUSTED 2]]*DATA[[#This Row],[Other manager 3: Numbers employed (Full Time Equivalent)]]),"")</f>
        <v/>
      </c>
      <c r="PM18" s="30" t="str">
        <f>IFERROR(IF(DATA[[#This Row],[Other manager 3: Numbers employed (Full Time Equivalent)]]=0,"",DATA[[#This Row],[Other manager 3: Previous 2020/21 Maximum hourly pay rate ADJUSTED 2]]*DATA[[#This Row],[Other manager 3: Numbers employed (Full Time Equivalent)]]),"")</f>
        <v/>
      </c>
      <c r="PN18" s="30">
        <f>IFERROR(IF(DATA[[#This Row],[Care Assistant 1: Numbers employed (Full Time Equivalent)]]=0,"",DATA[[#This Row],[Care Assistant 1: Current 2021/22 Minimum hourly pay rate ADJUSTED 2]]*DATA[[#This Row],[Care Assistant 1: Numbers employed (Full Time Equivalent)]]),"")</f>
        <v>784.08</v>
      </c>
      <c r="PO18" s="30">
        <f>IFERROR(IF(DATA[[#This Row],[Care Assistant 1: Numbers employed (Full Time Equivalent)]]=0,"",DATA[[#This Row],[Care Assistant 1: Current 2021/22 Maximum hourly pay rate ADJUSTED 2]]*DATA[[#This Row],[Care Assistant 1: Numbers employed (Full Time Equivalent)]]),"")</f>
        <v>1050.72</v>
      </c>
      <c r="PP18" s="30">
        <f>IFERROR(IF(DATA[[#This Row],[Care Assistant 1: Numbers employed (Full Time Equivalent)]]=0,"",DATA[[#This Row],[Care Assistant 1: Previous 2020/21 Minimum hourly pay rate ADJUSTED 2]]*DATA[[#This Row],[Care Assistant 1: Numbers employed (Full Time Equivalent)]]),"")</f>
        <v>767.36</v>
      </c>
      <c r="PQ18" s="30">
        <f>IFERROR(IF(DATA[[#This Row],[Care Assistant 1: Numbers employed (Full Time Equivalent)]]=0,"",DATA[[#This Row],[Care Assistant 1: Previous 2020/21 Maximum hourly pay rate ADJUSTED 2]]*DATA[[#This Row],[Care Assistant 1: Numbers employed (Full Time Equivalent)]]),"")</f>
        <v>1050.72</v>
      </c>
      <c r="PR18" s="30" t="str">
        <f>IFERROR(IF(DATA[[#This Row],[Care Assistant 2: Numbers employed (Full Time Equivalent)]]=0,"",DATA[[#This Row],[Care Assistant 2: Current 2021/22 Minimum hourly pay rate ADJUSTED 2]]*DATA[[#This Row],[Care Assistant 2: Numbers employed (Full Time Equivalent)]]),"")</f>
        <v/>
      </c>
      <c r="PS18" s="30" t="str">
        <f>IFERROR(IF(DATA[[#This Row],[Care Assistant 2: Numbers employed (Full Time Equivalent)]]=0,"",DATA[[#This Row],[Care Assistant 2: Current 2021/22 Maximum hourly pay rate ADJUSTED 2]]*DATA[[#This Row],[Care Assistant 2: Numbers employed (Full Time Equivalent)]]),"")</f>
        <v/>
      </c>
      <c r="PT18" s="30" t="str">
        <f>IFERROR(IF(DATA[[#This Row],[Care Assistant 2: Numbers employed (Full Time Equivalent)]]=0,"",DATA[[#This Row],[Care Assistant 2: Previous 2020/21 Minimum hourly pay rate ADJUSTED 2]]*DATA[[#This Row],[Care Assistant 2: Numbers employed (Full Time Equivalent)]]),"")</f>
        <v/>
      </c>
      <c r="PU18" s="30" t="str">
        <f>IFERROR(IF(DATA[[#This Row],[Care Assistant 2: Numbers employed (Full Time Equivalent)]]=0,"",DATA[[#This Row],[Care Assistant 2: Previous 2020/21 Maximum hourly pay rate ADJUSTED 2]]*DATA[[#This Row],[Care Assistant 2: Numbers employed (Full Time Equivalent)]]),"")</f>
        <v/>
      </c>
      <c r="PV18" s="30" t="str">
        <f>IFERROR(IF(DATA[[#This Row],[Care Assistant 3: Numbers employed (Full Time Equivalent)]]=0,"",DATA[[#This Row],[Care Assistant 3: Current 2021/22 Minimum hourly pay rate ADJUSTED 2]]*DATA[[#This Row],[Care Assistant 3: Numbers employed (Full Time Equivalent)]]),"")</f>
        <v/>
      </c>
      <c r="PW18" s="30" t="str">
        <f>IFERROR(IF(DATA[[#This Row],[Care Assistant 3: Numbers employed (Full Time Equivalent)]]=0,"",DATA[[#This Row],[Care Assistant 3: Current 2021/22 Maximum hourly pay rate ADJUSTED 2]]*DATA[[#This Row],[Care Assistant 3: Numbers employed (Full Time Equivalent)]]),"")</f>
        <v/>
      </c>
      <c r="PX18" s="30" t="str">
        <f>IFERROR(IF(DATA[[#This Row],[Care Assistant 3: Numbers employed (Full Time Equivalent)]]=0,"",DATA[[#This Row],[Care Assistant 3: Previous 2020/21 Minimum hourly pay rate ADJUSTED 2]]*DATA[[#This Row],[Care Assistant 3: Numbers employed (Full Time Equivalent)]]),"")</f>
        <v/>
      </c>
      <c r="PY18" s="30" t="str">
        <f>IFERROR(IF(DATA[[#This Row],[Care Assistant 3: Numbers employed (Full Time Equivalent)]]=0,"",DATA[[#This Row],[Care Assistant 3: Previous 2020/21 Maximum hourly pay rate ADJUSTED 2]]*DATA[[#This Row],[Care Assistant 3: Numbers employed (Full Time Equivalent)]]),"")</f>
        <v/>
      </c>
      <c r="PZ18" s="30" t="str">
        <f>IFERROR(IF(DATA[[#This Row],[Care Assistant 4: Numbers employed (Full Time Equivalent)]]=0,"",DATA[[#This Row],[Care Assistant 4: Current 2021/22 Minimum hourly pay rate ADJUSTED 2]]*DATA[[#This Row],[Care Assistant 4: Numbers employed (Full Time Equivalent)]]),"")</f>
        <v/>
      </c>
      <c r="QA18" s="30" t="str">
        <f>IFERROR(IF(DATA[[#This Row],[Care Assistant 4: Numbers employed (Full Time Equivalent)]]=0,"",DATA[[#This Row],[Care Assistant 4: Current 2021/22 Maximum hourly pay rate ADJUSTED 2]]*DATA[[#This Row],[Care Assistant 4: Numbers employed (Full Time Equivalent)]]),"")</f>
        <v/>
      </c>
      <c r="QB18" s="30" t="str">
        <f>IFERROR(IF(DATA[[#This Row],[Care Assistant 4: Numbers employed (Full Time Equivalent)]]=0,"",DATA[[#This Row],[Care Assistant 4: Previous 2020/21 Minimum hourly pay rate ADJUSTED 2]]*DATA[[#This Row],[Care Assistant 4: Numbers employed (Full Time Equivalent)]]),"")</f>
        <v/>
      </c>
      <c r="QC18" s="30" t="str">
        <f>IFERROR(IF(DATA[[#This Row],[Care Assistant 4: Numbers employed (Full Time Equivalent)]]=0,"",DATA[[#This Row],[Care Assistant 4: Previous 2020/21 Maximum hourly pay rate ADJUSTED 2]]*DATA[[#This Row],[Care Assistant 4: Numbers employed (Full Time Equivalent)]]),"")</f>
        <v/>
      </c>
      <c r="QD18" s="30">
        <f>IFERROR(IF(DATA[[#This Row],[Administrative Officer 1: Numbers employed (Full Time Equivalent)]]=0,"",DATA[[#This Row],[Administrative Officer 1: Current 2021/22 Minimum hourly pay rate ADJUSTED 2]]*DATA[[#This Row],[Administrative Officer 1: Numbers employed (Full Time Equivalent)]]),"")</f>
        <v>71.28</v>
      </c>
      <c r="QE18" s="30">
        <f>IFERROR(IF(DATA[[#This Row],[Administrative Officer 1: Numbers employed (Full Time Equivalent)]]=0,"",DATA[[#This Row],[Administrative Officer 1: Current 2021/22 Maximum hourly pay rate ADJUSTED 2]]*DATA[[#This Row],[Administrative Officer 1: Numbers employed (Full Time Equivalent)]]),"")</f>
        <v>95.44</v>
      </c>
      <c r="QF18" s="30">
        <f>IFERROR(IF(DATA[[#This Row],[Administrative Officer 1: Numbers employed (Full Time Equivalent)]]=0,"",DATA[[#This Row],[Administrative Officer 1: Previous 2020/21 Minimum hourly pay rate ADJUSTED 2]]*DATA[[#This Row],[Administrative Officer 1: Numbers employed (Full Time Equivalent)]]),"")</f>
        <v>68</v>
      </c>
      <c r="QG18" s="30">
        <f>IFERROR(IF(DATA[[#This Row],[Administrative Officer 1: Numbers employed (Full Time Equivalent)]]=0,"",DATA[[#This Row],[Administrative Officer 1: Previous 2020/21 Maximum hourly pay rate ADJUSTED 2]]*DATA[[#This Row],[Administrative Officer 1: Numbers employed (Full Time Equivalent)]]),"")</f>
        <v>84.64</v>
      </c>
      <c r="QH18" s="30" t="str">
        <f>IFERROR(IF(DATA[[#This Row],[Administrative Officer 2: Numbers employed (Full Time Equivalent)]]=0,"",DATA[[#This Row],[Administrative Officer 2: Current 2021/22 Minimum hourly pay rate ADJUSTED 2]]*DATA[[#This Row],[Administrative Officer 2: Numbers employed (Full Time Equivalent)]]),"")</f>
        <v/>
      </c>
      <c r="QI18" s="30" t="str">
        <f>IFERROR(IF(DATA[[#This Row],[Administrative Officer 2: Numbers employed (Full Time Equivalent)]]=0,"",DATA[[#This Row],[Administrative Officer 2: Current 2021/22 Maximum hourly pay rate ADJUSTED 2]]*DATA[[#This Row],[Administrative Officer 2: Numbers employed (Full Time Equivalent)]]),"")</f>
        <v/>
      </c>
      <c r="QJ18" s="30" t="str">
        <f>IFERROR(IF(DATA[[#This Row],[Administrative Officer 2: Numbers employed (Full Time Equivalent)]]=0,"",DATA[[#This Row],[Administrative Officer 2: Previous 2020/21 Minimum hourly pay rate ADJUSTED 2]]*DATA[[#This Row],[Administrative Officer 2: Numbers employed (Full Time Equivalent)]]),"")</f>
        <v/>
      </c>
      <c r="QK18" s="30" t="str">
        <f>IFERROR(IF(DATA[[#This Row],[Administrative Officer 2: Numbers employed (Full Time Equivalent)]]=0,"",DATA[[#This Row],[Administrative Officer 2: Previous 2020/21 Maximum hourly pay rate ADJUSTED 2]]*DATA[[#This Row],[Administrative Officer 2: Numbers employed (Full Time Equivalent)]]),"")</f>
        <v/>
      </c>
      <c r="QL18" s="30" t="str">
        <f>IFERROR(IF(DATA[[#This Row],[Administrative Officer 3: Numbers employed (Full Time Equivalent)]]=0,"",DATA[[#This Row],[Administrative Officer 3: Current 2021/22 Minimum hourly pay rate ADJUSTED 2]]*DATA[[#This Row],[Administrative Officer 3: Numbers employed (Full Time Equivalent)]]),"")</f>
        <v/>
      </c>
      <c r="QM18" s="30" t="str">
        <f>IFERROR(IF(DATA[[#This Row],[Administrative Officer 3: Numbers employed (Full Time Equivalent)]]=0,"",DATA[[#This Row],[Administrative Officer 3: Current 2021/22 Maximum hourly pay rate ADJUSTED 2]]*DATA[[#This Row],[Administrative Officer 3: Numbers employed (Full Time Equivalent)]]),"")</f>
        <v/>
      </c>
      <c r="QN18" s="30" t="str">
        <f>IFERROR(IF(DATA[[#This Row],[Administrative Officer 3: Numbers employed (Full Time Equivalent)]]=0,"",DATA[[#This Row],[Administrative Officer 3: Previous 2020/21 Minimum hourly pay rate ADJUSTED 2]]*DATA[[#This Row],[Administrative Officer 3: Numbers employed (Full Time Equivalent)]]),"")</f>
        <v/>
      </c>
      <c r="QO18" s="30" t="str">
        <f>IFERROR(IF(DATA[[#This Row],[Administrative Officer 3: Numbers employed (Full Time Equivalent)]]=0,"",DATA[[#This Row],[Administrative Officer 3: Previous 2020/21 Maximum hourly pay rate ADJUSTED 2]]*DATA[[#This Row],[Administrative Officer 3: Numbers employed (Full Time Equivalent)]]),"")</f>
        <v/>
      </c>
      <c r="QP18" s="28">
        <f>IFERROR(IF(DATA[[#This Row],[Other staff 1: Numbers employed (Full Time Equivalent)]]=0,"",DATA[[#This Row],[Other staff 1: Current 2021/22 Minimum hourly pay rate ADJUSTED 2]]*DATA[[#This Row],[Other staff 1: Numbers employed (Full Time Equivalent)]]),"")</f>
        <v>17.82</v>
      </c>
      <c r="QQ18" s="28">
        <f>IFERROR(IF(DATA[[#This Row],[Other staff 1: Numbers employed (Full Time Equivalent)]]=0,"",DATA[[#This Row],[Other staff 1: Current 2021/22 Maximum hourly pay rate ADJUSTED 2]]*DATA[[#This Row],[Other staff 1: Numbers employed (Full Time Equivalent)]]),"")</f>
        <v>24</v>
      </c>
      <c r="QR18" s="28">
        <f>IFERROR(IF(DATA[[#This Row],[Other staff 1: Numbers employed (Full Time Equivalent)]]=0,"",DATA[[#This Row],[Other staff 1: Previous 2020/21 Minimum hourly pay rate ADJUSTED 2]]*DATA[[#This Row],[Other staff 1: Numbers employed (Full Time Equivalent)]]),"")</f>
        <v>17.420000000000002</v>
      </c>
      <c r="QS18" s="28">
        <f>IFERROR(IF(DATA[[#This Row],[Other staff 1: Numbers employed (Full Time Equivalent)]]=0,"",DATA[[#This Row],[Other staff 1: Previous 2020/21 Maximum hourly pay rate ADJUSTED 2]]*DATA[[#This Row],[Other staff 1: Numbers employed (Full Time Equivalent)]]),"")</f>
        <v>22.1</v>
      </c>
      <c r="QT18" s="28">
        <f>IFERROR(IF(DATA[[#This Row],[Other staff 2: Numbers employed (Full Time Equivalent)]]=0,"",DATA[[#This Row],[Other staff 2: Current 2021/22 Minimum hourly pay rate ADJUSTED 2]]*DATA[[#This Row],[Other staff 2: Numbers employed (Full Time Equivalent)]]),"")</f>
        <v>28.84</v>
      </c>
      <c r="QU18" s="28">
        <f>IFERROR(IF(DATA[[#This Row],[Other staff 2: Numbers employed (Full Time Equivalent)]]=0,"",DATA[[#This Row],[Other staff 2: Current 2021/22 Maximum hourly pay rate ADJUSTED 2]]*DATA[[#This Row],[Other staff 2: Numbers employed (Full Time Equivalent)]]),"")</f>
        <v>41.04</v>
      </c>
      <c r="QV18" s="28">
        <f>IFERROR(IF(DATA[[#This Row],[Other staff 2: Numbers employed (Full Time Equivalent)]]=0,"",DATA[[#This Row],[Other staff 2: Previous 2020/21 Minimum hourly pay rate ADJUSTED 2]]*DATA[[#This Row],[Other staff 2: Numbers employed (Full Time Equivalent)]]),"")</f>
        <v>28.84</v>
      </c>
      <c r="QW18" s="28">
        <f>IFERROR(IF(DATA[[#This Row],[Other staff 2: Numbers employed (Full Time Equivalent)]]=0,"",DATA[[#This Row],[Other staff 2: Previous 2020/21 Maximum hourly pay rate ADJUSTED 2]]*DATA[[#This Row],[Other staff 2: Numbers employed (Full Time Equivalent)]]),"")</f>
        <v>41.04</v>
      </c>
      <c r="QX18" s="28">
        <f>IFERROR(IF(DATA[[#This Row],[Other staff 3: Numbers employed (Full Time Equivalent)]]=0,"",DATA[[#This Row],[Other staff 3: Current 2021/22 Minimum hourly pay rate ADJUSTED 2]]*DATA[[#This Row],[Other staff 3: Numbers employed (Full Time Equivalent)]]),"")</f>
        <v>8.91</v>
      </c>
      <c r="QY18" s="28">
        <f>IFERROR(IF(DATA[[#This Row],[Other staff 3: Numbers employed (Full Time Equivalent)]]=0,"",DATA[[#This Row],[Other staff 3: Current 2021/22 Maximum hourly pay rate ADJUSTED 2]]*DATA[[#This Row],[Other staff 3: Numbers employed (Full Time Equivalent)]]),"")</f>
        <v>14.42</v>
      </c>
      <c r="QZ18" s="28">
        <f>IFERROR(IF(DATA[[#This Row],[Other staff 3: Numbers employed (Full Time Equivalent)]]=0,"",DATA[[#This Row],[Other staff 3: Previous 2020/21 Minimum hourly pay rate ADJUSTED 2]]*DATA[[#This Row],[Other staff 3: Numbers employed (Full Time Equivalent)]]),"")</f>
        <v>8.7100000000000009</v>
      </c>
      <c r="RA18" s="28">
        <f>IFERROR(IF(DATA[[#This Row],[Other staff 3: Numbers employed (Full Time Equivalent)]]=0,"",DATA[[#This Row],[Other staff 3: Previous 2020/21 Maximum hourly pay rate ADJUSTED 2]]*DATA[[#This Row],[Other staff 3: Numbers employed (Full Time Equivalent)]]),"")</f>
        <v>14.42</v>
      </c>
      <c r="RB18"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18"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18"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18"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18"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18"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88</v>
      </c>
      <c r="RH18"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18"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18"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18"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8</v>
      </c>
      <c r="RL18"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18"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18"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2</v>
      </c>
      <c r="RO18"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2</v>
      </c>
      <c r="RP18"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1</v>
      </c>
    </row>
    <row r="19" spans="7:484" x14ac:dyDescent="0.25">
      <c r="G19" s="2">
        <v>13</v>
      </c>
      <c r="H19" s="2">
        <v>13</v>
      </c>
      <c r="I19" s="2">
        <v>0</v>
      </c>
      <c r="J19" s="2">
        <v>1</v>
      </c>
      <c r="K19" s="2">
        <v>0</v>
      </c>
      <c r="L19" s="2" t="s">
        <v>328</v>
      </c>
      <c r="R19" s="2">
        <v>15</v>
      </c>
      <c r="S19" s="2">
        <v>15</v>
      </c>
      <c r="T19" s="2">
        <v>15</v>
      </c>
      <c r="U19" s="2">
        <v>15</v>
      </c>
      <c r="V19" s="2">
        <v>1</v>
      </c>
      <c r="W19" s="2">
        <v>0</v>
      </c>
      <c r="X19" s="2">
        <v>0</v>
      </c>
      <c r="Y19" s="2">
        <v>0</v>
      </c>
      <c r="Z19" s="2">
        <v>0</v>
      </c>
      <c r="AA19" s="2">
        <v>0</v>
      </c>
      <c r="AB19" s="2" t="s">
        <v>315</v>
      </c>
      <c r="AC19" s="2">
        <v>0</v>
      </c>
      <c r="AD19" s="2">
        <v>0</v>
      </c>
      <c r="AE19" s="2">
        <v>0</v>
      </c>
      <c r="AF19" s="2">
        <v>0</v>
      </c>
      <c r="AG19" s="2">
        <v>0</v>
      </c>
      <c r="AH19" s="2" t="s">
        <v>315</v>
      </c>
      <c r="AI19" s="2">
        <v>0</v>
      </c>
      <c r="AJ19" s="2">
        <v>0</v>
      </c>
      <c r="AK19" s="2">
        <v>0</v>
      </c>
      <c r="AL19" s="2">
        <v>0</v>
      </c>
      <c r="AM19" s="2">
        <v>0</v>
      </c>
      <c r="AN19" s="2" t="s">
        <v>315</v>
      </c>
      <c r="AO19" s="2">
        <v>0</v>
      </c>
      <c r="AP19" s="2">
        <v>0</v>
      </c>
      <c r="AQ19" s="2">
        <v>0</v>
      </c>
      <c r="AR19" s="2">
        <v>0</v>
      </c>
      <c r="AS19" s="2">
        <v>0</v>
      </c>
      <c r="AT19" s="2" t="s">
        <v>316</v>
      </c>
      <c r="AU19" s="2">
        <v>10</v>
      </c>
      <c r="AV19" s="2">
        <v>9</v>
      </c>
      <c r="AW19" s="2">
        <v>8.25</v>
      </c>
      <c r="AX19" s="2">
        <v>8.5</v>
      </c>
      <c r="AY19" s="2">
        <v>12</v>
      </c>
      <c r="AZ19" s="2" t="s">
        <v>316</v>
      </c>
      <c r="BA19" s="2">
        <v>0</v>
      </c>
      <c r="BB19" s="2">
        <v>0</v>
      </c>
      <c r="BC19" s="2">
        <v>0</v>
      </c>
      <c r="BD19" s="2">
        <v>0</v>
      </c>
      <c r="BE19" s="2">
        <v>0</v>
      </c>
      <c r="BF19" s="2" t="s">
        <v>316</v>
      </c>
      <c r="BG19" s="2">
        <v>0</v>
      </c>
      <c r="BH19" s="2">
        <v>0</v>
      </c>
      <c r="BI19" s="2">
        <v>0</v>
      </c>
      <c r="BJ19" s="2">
        <v>0</v>
      </c>
      <c r="BK19" s="2">
        <v>0</v>
      </c>
      <c r="BL19" s="2" t="s">
        <v>316</v>
      </c>
      <c r="BM19" s="2">
        <v>0</v>
      </c>
      <c r="BN19" s="2">
        <v>0</v>
      </c>
      <c r="BO19" s="2">
        <v>0</v>
      </c>
      <c r="BP19" s="2">
        <v>0</v>
      </c>
      <c r="BQ19" s="2">
        <v>0</v>
      </c>
      <c r="BR19" s="2" t="s">
        <v>317</v>
      </c>
      <c r="BS19" s="2">
        <v>0</v>
      </c>
      <c r="BT19" s="2">
        <v>0</v>
      </c>
      <c r="BU19" s="2">
        <v>0</v>
      </c>
      <c r="BV19" s="2">
        <v>0</v>
      </c>
      <c r="BW19" s="2">
        <v>0</v>
      </c>
      <c r="BX19" s="2" t="s">
        <v>317</v>
      </c>
      <c r="BY19" s="2">
        <v>0</v>
      </c>
      <c r="BZ19" s="2">
        <v>0</v>
      </c>
      <c r="CA19" s="2">
        <v>0</v>
      </c>
      <c r="CB19" s="2">
        <v>0</v>
      </c>
      <c r="CC19" s="2">
        <v>0</v>
      </c>
      <c r="CD19" s="2" t="s">
        <v>317</v>
      </c>
      <c r="CE19" s="2">
        <v>0</v>
      </c>
      <c r="CF19" s="2">
        <v>0</v>
      </c>
      <c r="CG19" s="2">
        <v>0</v>
      </c>
      <c r="CH19" s="2">
        <v>0</v>
      </c>
      <c r="CI19" s="2">
        <v>0</v>
      </c>
      <c r="CJ19" s="2" t="s">
        <v>318</v>
      </c>
      <c r="CK19" s="2">
        <v>0</v>
      </c>
      <c r="CL19" s="2">
        <v>0</v>
      </c>
      <c r="CM19" s="2">
        <v>0</v>
      </c>
      <c r="CN19" s="2">
        <v>0</v>
      </c>
      <c r="CO19" s="2">
        <v>0</v>
      </c>
      <c r="CP19" s="2" t="s">
        <v>318</v>
      </c>
      <c r="CQ19" s="2">
        <v>0</v>
      </c>
      <c r="CR19" s="2">
        <v>0</v>
      </c>
      <c r="CS19" s="2">
        <v>0</v>
      </c>
      <c r="CT19" s="2">
        <v>0</v>
      </c>
      <c r="CU19" s="2">
        <v>0</v>
      </c>
      <c r="CV19" s="2" t="s">
        <v>318</v>
      </c>
      <c r="CW19" s="2">
        <v>0</v>
      </c>
      <c r="CX19" s="2">
        <v>0</v>
      </c>
      <c r="CY19" s="2">
        <v>0</v>
      </c>
      <c r="CZ19" s="2">
        <v>0</v>
      </c>
      <c r="DA19" s="2">
        <v>0</v>
      </c>
      <c r="DB19" s="2"/>
      <c r="DC19" s="2">
        <v>186</v>
      </c>
      <c r="DD19" s="2">
        <v>0</v>
      </c>
      <c r="DE19" s="2">
        <v>50</v>
      </c>
      <c r="DF19" s="2">
        <v>0</v>
      </c>
      <c r="DG19" s="2">
        <v>0</v>
      </c>
      <c r="DH19" s="2">
        <v>0</v>
      </c>
      <c r="DI19" s="2">
        <v>0</v>
      </c>
      <c r="DJ19" s="2">
        <v>0</v>
      </c>
      <c r="DK19" s="2">
        <v>0</v>
      </c>
      <c r="DL19" s="2">
        <v>0</v>
      </c>
      <c r="DM19" s="2">
        <v>0</v>
      </c>
      <c r="DN19" s="2">
        <v>0</v>
      </c>
      <c r="DO19" s="2">
        <v>0</v>
      </c>
      <c r="DP19" s="2">
        <v>0</v>
      </c>
      <c r="DQ19" s="2">
        <v>13</v>
      </c>
      <c r="DR19" s="18">
        <v>43466</v>
      </c>
      <c r="DS19" s="18">
        <v>43830</v>
      </c>
      <c r="DT19" s="2">
        <v>12259</v>
      </c>
      <c r="DU19" s="2">
        <v>18924</v>
      </c>
      <c r="DV19" s="2">
        <v>119961</v>
      </c>
      <c r="DW19" s="2">
        <v>10851</v>
      </c>
      <c r="DX19" s="2">
        <v>0</v>
      </c>
      <c r="DY19" s="2">
        <v>0</v>
      </c>
      <c r="DZ19" s="2">
        <v>507</v>
      </c>
      <c r="EA19" s="2">
        <v>1046</v>
      </c>
      <c r="EB19" s="2">
        <v>2214</v>
      </c>
      <c r="EC19" s="2">
        <v>860</v>
      </c>
      <c r="ED19" s="2">
        <v>1606</v>
      </c>
      <c r="EE19" s="2">
        <v>1200</v>
      </c>
      <c r="EF19" s="2">
        <v>2268</v>
      </c>
      <c r="EG19" s="2">
        <v>3699</v>
      </c>
      <c r="EH19" s="2" t="s">
        <v>386</v>
      </c>
      <c r="EI19" s="2">
        <v>4315</v>
      </c>
      <c r="EJ19" s="2" t="s">
        <v>324</v>
      </c>
      <c r="EK19" s="2">
        <v>0</v>
      </c>
      <c r="EL19" s="2">
        <v>1124.3399999999999</v>
      </c>
      <c r="EM19" s="2">
        <v>0</v>
      </c>
      <c r="EN19" s="2">
        <v>160</v>
      </c>
      <c r="EO19" s="2">
        <v>14804</v>
      </c>
      <c r="EP19" s="2">
        <v>0</v>
      </c>
      <c r="EQ19" s="2">
        <v>923</v>
      </c>
      <c r="ER19" s="2">
        <v>500</v>
      </c>
      <c r="ES19" s="2">
        <v>0</v>
      </c>
      <c r="ET19" s="2" t="s">
        <v>324</v>
      </c>
      <c r="EU19" s="2">
        <v>0</v>
      </c>
      <c r="EV19" s="2" t="s">
        <v>324</v>
      </c>
      <c r="EW19" s="2">
        <v>0</v>
      </c>
      <c r="EX19" s="2">
        <v>0</v>
      </c>
      <c r="EY19" s="2">
        <v>0</v>
      </c>
      <c r="EZ19" s="2" t="s">
        <v>326</v>
      </c>
      <c r="FA19" s="2">
        <v>0</v>
      </c>
      <c r="FB19" s="2" t="s">
        <v>326</v>
      </c>
      <c r="FC19" s="2">
        <v>0</v>
      </c>
      <c r="FD19" s="2">
        <v>2945</v>
      </c>
      <c r="FE19" s="2">
        <v>0</v>
      </c>
      <c r="FF19" s="2">
        <v>0</v>
      </c>
      <c r="FG19" s="2"/>
      <c r="FH19" s="19">
        <v>44480.623611111114</v>
      </c>
      <c r="FI19" s="2" t="s">
        <v>345</v>
      </c>
      <c r="FJ19" s="2">
        <f>SUM(DATA[[#This Row],[Number of Home support clients:]],DATA[[#This Row],[Number of supported living clients:]])</f>
        <v>13</v>
      </c>
      <c r="FK19"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19"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v>
      </c>
      <c r="FM19"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v>
      </c>
      <c r="FN19"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15</v>
      </c>
      <c r="FO19"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v>
      </c>
      <c r="FP19"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19"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19"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19"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19"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19"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19"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19"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19"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19"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19"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19"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19"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19"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19"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19"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19"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10</v>
      </c>
      <c r="GG19"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v>
      </c>
      <c r="GH19"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8.25</v>
      </c>
      <c r="GI19"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8.5</v>
      </c>
      <c r="GJ19"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19"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19"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19"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19"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19"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19"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19"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19"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19"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19"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19"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19"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19"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19"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19"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19"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19"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19"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19"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19"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19"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19"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19"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19"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19"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19"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19"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19"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19"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19"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19"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19"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19"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19"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19"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19"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v>
      </c>
      <c r="HU19"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v>
      </c>
      <c r="HV19"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v>
      </c>
      <c r="HW19"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v>
      </c>
      <c r="HX19"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19"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19"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19"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19"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19"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19"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19"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19"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19"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19"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19"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19"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19"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19"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19"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19"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10</v>
      </c>
      <c r="IO19"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v>
      </c>
      <c r="IP19"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8.25</v>
      </c>
      <c r="IQ19"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8.5</v>
      </c>
      <c r="IR19"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19"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19"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19"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19"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19"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19"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19"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19"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19"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19"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19"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19"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19"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19"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19"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19"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19"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19"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19"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19"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19"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19"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19"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19"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19"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19"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19"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19"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19"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19"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19"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19"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19"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19"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19"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19"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v>
      </c>
      <c r="KC19" s="21">
        <f>SUM(DATA[[#This Row],[Care Assistant 1: Numbers employed (Full Time Equivalent)]],DATA[[#This Row],[Care Assistant 2: Numbers employed (Full Time Equivalent)]],DATA[[#This Row],[Care Assistant 3: Numbers employed (Full Time Equivalent)]],DATA[[#This Row],[Care Assistant 4: Numbers employed (Full Time Equivalent)]])</f>
        <v>12</v>
      </c>
      <c r="KD19" s="21">
        <f>SUM(DATA[[#This Row],[Administrative Officer 1: Numbers employed (Full Time Equivalent)]],DATA[[#This Row],[Administrative Officer 2: Numbers employed (Full Time Equivalent)]])</f>
        <v>0</v>
      </c>
      <c r="KE19" s="21">
        <f>SUM(DATA[[#This Row],[Other staff 1: Numbers employed (Full Time Equivalent)]],DATA[[#This Row],[Other staff 2: Numbers employed (Full Time Equivalent)]],DATA[[#This Row],[Other staff 3: Numbers employed (Full Time Equivalent)]])</f>
        <v>0</v>
      </c>
      <c r="KF19" s="21">
        <f>SUM(DATA[[#This Row],[Total FTE Management Employees]:[Total FTE Other Employees]])</f>
        <v>13</v>
      </c>
      <c r="KG19" s="21" t="str">
        <f>IF(SUM(DATA[[#This Row],[Home Support service split percentage (Expenditure):]],DATA[[#This Row],[Supported Living service split percentage (Expenditure):]])&gt;0, IF(DATA[[#This Row],[Home Support service split percentage (Expenditure):]]&gt;0.5,"Home Support","Supported Living"), "Unknown")</f>
        <v>Home Support</v>
      </c>
      <c r="KH19" s="21">
        <f>SUM(DATA[[#This Row],[Home Support: Birmingham City Council]:[Home Support: Self-funded]])</f>
        <v>236</v>
      </c>
      <c r="KI19" s="21">
        <f>SUM(DATA[[#This Row],[Supported Living: Birmingham City Council]:[Supported Living: Self-funded]])</f>
        <v>0</v>
      </c>
      <c r="KJ19"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19"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19"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19"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19" s="21" t="b">
        <f>SUM(DATA[[#This Row],[Number of hours of care charged for in last full accounting year]:[Corporate Overheads: Other  - please specify (category) 1]])&gt;0</f>
        <v>1</v>
      </c>
      <c r="KO19" s="21">
        <f>SUM(DATA[[#This Row],[Total annual expenditure: Management staff]:[Total annual expenditure: Training and development]])</f>
        <v>153503</v>
      </c>
      <c r="KP19" s="21">
        <f>SUM(DATA[[#This Row],[Recruitment &amp; advertising (including DBS checks)]:[Non-Staffing Direct Cost: Other  - please specify (amount) 2]])</f>
        <v>13948</v>
      </c>
      <c r="KQ19" s="21">
        <f>SUM(DATA[[#This Row],[Insurance ]:[Indirect costs: Other 2 - please specify (amount)]])</f>
        <v>17511.34</v>
      </c>
      <c r="KR19" s="21">
        <f>SUM(DATA[[#This Row],[Central / Regional Management]],DATA[[#This Row],[Support Services (finance / HR / Payroll / legal etc.)]],DATA[[#This Row],[Corporate Overheads: Other  - please specify (amount) 1]],DATA[[#This Row],[Corporate Overheads: Other  - please specify (amount) 2]])</f>
        <v>0</v>
      </c>
      <c r="KS19"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1.5436821926747695</v>
      </c>
      <c r="KT19"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9.7855453136471162</v>
      </c>
      <c r="KU19"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0.88514560730891589</v>
      </c>
      <c r="KV19"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19"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19" s="30">
        <f>IF(OR(NOT(DATA[[#This Row],[Total annual expenditure: Travel Cost]]&gt;0),NOT(DATA[[#This Row],[Number of hours of care charged for in last full accounting year]]&gt;0)),0,DATA[[#This Row],[Total annual expenditure: Travel Cost]]/DATA[[#This Row],[Number of hours of care charged for in last full accounting year]])</f>
        <v>4.1357370095440084E-2</v>
      </c>
      <c r="KY19" s="30">
        <f>IF(OR(NOT(DATA[[#This Row],[Total annual expenditure: Travel Time]]&gt;0),NOT(DATA[[#This Row],[Number of hours of care charged for in last full accounting year]]&gt;0)),0,DATA[[#This Row],[Total annual expenditure: Travel Time]]/DATA[[#This Row],[Number of hours of care charged for in last full accounting year]])</f>
        <v>8.5325067297495713E-2</v>
      </c>
      <c r="KZ19"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0.1806020066889632</v>
      </c>
      <c r="LA19"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7.0152540990292847E-2</v>
      </c>
      <c r="LB19"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0.13100579166326781</v>
      </c>
      <c r="LC19" s="30">
        <f>IF(OR(NOT(DATA[[#This Row],[Care consumables &amp; uniforms]]&gt;0),NOT(DATA[[#This Row],[Number of hours of care charged for in last full accounting year]]&gt;0)),0,DATA[[#This Row],[Care consumables &amp; uniforms]]/DATA[[#This Row],[Number of hours of care charged for in last full accounting year]])</f>
        <v>9.7887266498083048E-2</v>
      </c>
      <c r="LD19" s="30">
        <f>IF(OR(NOT(DATA[[#This Row],[Electronic call monitoring]]&gt;0),NOT(DATA[[#This Row],[Number of hours of care charged for in last full accounting year]]&gt;0)),0,DATA[[#This Row],[Electronic call monitoring]]/DATA[[#This Row],[Number of hours of care charged for in last full accounting year]])</f>
        <v>0.18500693368137694</v>
      </c>
      <c r="LE19" s="30">
        <f>IF(OR(NOT(DATA[[#This Row],[IT Equipment &amp; Telephoney]]&gt;0),NOT(DATA[[#This Row],[Number of hours of care charged for in last full accounting year]]&gt;0)),0,DATA[[#This Row],[IT Equipment &amp; Telephoney]]/DATA[[#This Row],[Number of hours of care charged for in last full accounting year]])</f>
        <v>0.30173749898034097</v>
      </c>
      <c r="LF19"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0.35198629578269025</v>
      </c>
      <c r="LG19"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19" s="30">
        <f>IF(OR(NOT(DATA[[#This Row],[Insurance ]]&gt;0),NOT(DATA[[#This Row],[Number of hours of care charged for in last full accounting year]]&gt;0)),0,DATA[[#This Row],[Insurance ]]/DATA[[#This Row],[Number of hours of care charged for in last full accounting year]])</f>
        <v>9.1715474345378897E-2</v>
      </c>
      <c r="LI19"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19" s="30">
        <f>IF(OR(NOT(DATA[[#This Row],[Repairs and maintenance]]&gt;0),NOT(DATA[[#This Row],[Number of hours of care charged for in last full accounting year]]&gt;0)),0,DATA[[#This Row],[Repairs and maintenance]]/DATA[[#This Row],[Number of hours of care charged for in last full accounting year]])</f>
        <v>1.3051635533077739E-2</v>
      </c>
      <c r="LK19"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1.2076025776980177</v>
      </c>
      <c r="LL19" s="30">
        <f>IF(OR(NOT(DATA[[#This Row],[Registration &amp; Inspection fees ]]&gt;0),NOT(DATA[[#This Row],[Number of hours of care charged for in last full accounting year]]&gt;0)),0,DATA[[#This Row],[Registration &amp; Inspection fees ]]/DATA[[#This Row],[Number of hours of care charged for in last full accounting year]])</f>
        <v>0</v>
      </c>
      <c r="LM19" s="30">
        <f>IF(OR(NOT(DATA[[#This Row],[Subscriptions]]&gt;0),NOT(DATA[[#This Row],[Number of hours of care charged for in last full accounting year]]&gt;0)),0,DATA[[#This Row],[Subscriptions]]/DATA[[#This Row],[Number of hours of care charged for in last full accounting year]])</f>
        <v>7.5291622481442208E-2</v>
      </c>
      <c r="LN19" s="30">
        <f>IF(OR(NOT(DATA[[#This Row],[Cost of finance]]&gt;0),NOT(DATA[[#This Row],[Number of hours of care charged for in last full accounting year]]&gt;0)),0,DATA[[#This Row],[Cost of finance]]/DATA[[#This Row],[Number of hours of care charged for in last full accounting year]])</f>
        <v>4.0786361040867934E-2</v>
      </c>
      <c r="LO19" s="30">
        <f>IF(OR(NOT(DATA[[#This Row],[Other non-staff current expenses]]&gt;0),NOT(DATA[[#This Row],[Number of hours of care charged for in last full accounting year]]&gt;0)),0,DATA[[#This Row],[Other non-staff current expenses]]/DATA[[#This Row],[Number of hours of care charged for in last full accounting year]])</f>
        <v>0</v>
      </c>
      <c r="LP19"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19"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19" s="30">
        <f>IF(OR(NOT(DATA[[#This Row],[Central / Regional Management]]&gt;0),NOT(DATA[[#This Row],[Number of hours of care charged for in last full accounting year]]&gt;0)),0,DATA[[#This Row],[Central / Regional Management]]/DATA[[#This Row],[Number of hours of care charged for in last full accounting year]])</f>
        <v>0</v>
      </c>
      <c r="LS19"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19"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19"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19" s="30">
        <f>SUM(DATA[[#This Row],[Management staff HOURLY RATE]:[Corporate Overheads: Other  - please specify (amount) 2 HOURLY RATE]])</f>
        <v>15.087881556407536</v>
      </c>
      <c r="LW19" s="30">
        <f>IF(OR(NOT(DATA[[#This Row],[Net Operating Profit]]&gt;0),NOT(DATA[[#This Row],[Number of hours of care charged for in last full accounting year]]&gt;0)),"",DATA[[#This Row],[Net Operating Profit]]/DATA[[#This Row],[Number of hours of care charged for in last full accounting year]])</f>
        <v>0.24023166653071212</v>
      </c>
      <c r="LX19" s="30">
        <f>IF(OR(NOT(DATA[[#This Row],[Return on Capital employed]]&gt;0),NOT(DATA[[#This Row],[Number of hours of care charged for in last full accounting year]]&gt;0)),0,DATA[[#This Row],[Return on Capital employed]]/DATA[[#This Row],[Number of hours of care charged for in last full accounting year]])</f>
        <v>0</v>
      </c>
      <c r="LY19" s="31">
        <v>13</v>
      </c>
      <c r="LZ19" s="30" t="s">
        <v>345</v>
      </c>
      <c r="MA19" s="30" t="b">
        <f>DATA[[#This Row],[Number of Home support clients:]]&gt;0</f>
        <v>1</v>
      </c>
      <c r="MB19" s="30" t="b">
        <f>DATA[[#This Row],[Number of supported living clients:]]&gt;0</f>
        <v>0</v>
      </c>
      <c r="MC19" s="30" t="b">
        <f>DATA[[#This Row],[Total Home Support Hours]]&gt;0</f>
        <v>1</v>
      </c>
      <c r="MD19" s="30" t="b">
        <f>DATA[[#This Row],[Total Supported Living Hours]]&gt;0</f>
        <v>0</v>
      </c>
      <c r="ME19" s="30" t="b">
        <f>DATA[[#This Row],[Home Support service split percentage (Expenditure):]]&gt;0.5</f>
        <v>1</v>
      </c>
      <c r="MF19" s="30" t="b">
        <f>DATA[[#This Row],[Agency staff HOURLY RATE]]=0</f>
        <v>1</v>
      </c>
      <c r="MG19" s="30">
        <f>IFERROR(IF(AVERAGE(DATA[[#This Row],[Registered manager: Current 2021/22 Minimum hourly pay rate ADJUSTED]],DATA[[#This Row],[Registered manager: Current 2021/22 Maximum hourly pay rate ADJUSTED]])&lt;LIVING_WAGE_22_23,DATA[[#This Row],[Registered manager: Numbers employed (Full Time Equivalent)]],0),"")</f>
        <v>0</v>
      </c>
      <c r="MH19" s="30" t="str">
        <f>IFERROR(IF(AVERAGE(DATA[[#This Row],[Deputy manager: Current 2021/22 Minimum hourly pay rate ADJUSTED]],DATA[[#This Row],[Deputy manager: Current 2021/22 Maximum hourly pay rate ADJUSTED]])&lt;LIVING_WAGE_22_23,DATA[[#This Row],[Deputy manager: Numbers employed (Full Time Equivalent)]],0),"")</f>
        <v/>
      </c>
      <c r="MI19" s="30" t="str">
        <f>IFERROR(IF(AVERAGE(DATA[[#This Row],[Other manager 1: Current 2021/22 Minimum hourly pay rate ADJUSTED]],DATA[[#This Row],[Other manager 1: Current 2021/22 Maximum hourly pay rate ADJUSTED]])&lt;LIVING_WAGE_22_23,DATA[[#This Row],[Other manager 1: Numbers employed (Full Time Equivalent)]],0),"")</f>
        <v/>
      </c>
      <c r="MJ19" s="30" t="str">
        <f>IFERROR(IF(AVERAGE(DATA[[#This Row],[Other manager 2: Current 2021/22 Minimum hourly pay rate ADJUSTED]],DATA[[#This Row],[Other manager 2: Current 2021/22 Maximum hourly pay rate ADJUSTED]])&lt;LIVING_WAGE_22_23,DATA[[#This Row],[Other manager 2: Numbers employed (Full Time Equivalent)]],0),"")</f>
        <v/>
      </c>
      <c r="MK19" s="30" t="str">
        <f>IFERROR(IF(AVERAGE(DATA[[#This Row],[Other manager 3: Current 2021/22 Minimum hourly pay rate ADJUSTED]],DATA[[#This Row],[Other manager 3: Current 2021/22 Maximum hourly pay rate ADJUSTED]])&lt;LIVING_WAGE_22_23,DATA[[#This Row],[Other manager 3: Numbers employed (Full Time Equivalent)]],0),"")</f>
        <v/>
      </c>
      <c r="ML19" s="30">
        <f>IFERROR(IF(AVERAGE(DATA[[#This Row],[Care Assistant 1: Current 2021/22 Minimum hourly pay rate ADJUSTED]],DATA[[#This Row],[Care Assistant 1: Current 2021/22 Maximum hourly pay rate ADJUSTED]])&lt;LIVING_WAGE_22_23,DATA[[#This Row],[Care Assistant 1: Numbers employed (Full Time Equivalent)]],0),"")</f>
        <v>0</v>
      </c>
      <c r="MM19" s="30" t="str">
        <f>IFERROR(IF(AVERAGE(DATA[[#This Row],[Care Assistant 2: Current 2021/22 Minimum hourly pay rate ADJUSTED]],DATA[[#This Row],[Care Assistant 2: Current 2021/22 Maximum hourly pay rate ADJUSTED]])&lt;LIVING_WAGE_22_23,DATA[[#This Row],[Care Assistant 2: Numbers employed (Full Time Equivalent)]],0),"")</f>
        <v/>
      </c>
      <c r="MN19" s="30" t="str">
        <f>IFERROR(IF(AVERAGE(DATA[[#This Row],[Care Assistant 3: Current 2021/22 Minimum hourly pay rate ADJUSTED]],DATA[[#This Row],[Care Assistant 3: Current 2021/22 Maximum hourly pay rate ADJUSTED]])&lt;LIVING_WAGE_22_23,DATA[[#This Row],[Care Assistant 3: Numbers employed (Full Time Equivalent)]],0),"")</f>
        <v/>
      </c>
      <c r="MO19" s="30" t="str">
        <f>IFERROR(IF(AVERAGE(DATA[[#This Row],[Care Assistant 4: Current 2021/22 Minimum hourly pay rate ADJUSTED]],DATA[[#This Row],[Care Assistant 4: Current 2021/22 Maximum hourly pay rate ADJUSTED]])&lt;LIVING_WAGE_22_23,DATA[[#This Row],[Care Assistant 4: Numbers employed (Full Time Equivalent)]],0),"")</f>
        <v/>
      </c>
      <c r="MP19"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19"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19" s="30" t="str">
        <f>IFERROR(IF(AVERAGE(DATA[[#This Row],[Other staff 1: Current 2021/22 Minimum hourly pay rate ADJUSTED]],DATA[[#This Row],[Other staff 1: Current 2021/22 Maximum hourly pay rate ADJUSTED]])&lt;LIVING_WAGE_22_23,DATA[[#This Row],[Other staff 1: Numbers employed (Full Time Equivalent)]],0),"")</f>
        <v/>
      </c>
      <c r="MS19" s="30" t="str">
        <f>IFERROR(IF(AVERAGE(DATA[[#This Row],[Other staff 2: Current 2021/22 Minimum hourly pay rate ADJUSTED]],DATA[[#This Row],[Other staff 2: Current 2021/22 Maximum hourly pay rate ADJUSTED]])&lt;LIVING_WAGE_22_23,DATA[[#This Row],[Other staff 2: Numbers employed (Full Time Equivalent)]],0),"")</f>
        <v/>
      </c>
      <c r="MT19" s="30" t="str">
        <f>IFERROR(IF(AVERAGE(DATA[[#This Row],[Other staff 3: Current 2021/22 Minimum hourly pay rate ADJUSTED]],DATA[[#This Row],[Other staff 3: Current 2021/22 Maximum hourly pay rate ADJUSTED]])&lt;LIVING_WAGE_22_23,DATA[[#This Row],[Other staff 3: Numbers employed (Full Time Equivalent)]],0),"")</f>
        <v/>
      </c>
      <c r="MU19" s="30">
        <f>SUM(DATA[[#This Row],[Registered Manager FTE earning less than NLW 23yrs 2022/23]:[Other staff 3 FTE earning less than NLW 23yrs 2022/23]])</f>
        <v>0</v>
      </c>
      <c r="MV19"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19"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19"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19"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19"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19"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19"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19"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19"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19"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19"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19"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19"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19"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19" s="30" t="b">
        <v>1</v>
      </c>
      <c r="NK19" s="30" t="b">
        <v>1</v>
      </c>
      <c r="NL19" s="30" t="s">
        <v>505</v>
      </c>
      <c r="NM19" s="30">
        <f>SUM(DATA[[#This Row],[Management staff HOURLY RATE]:[Training and development HOURLY RATE]])</f>
        <v>12.5216575577127</v>
      </c>
      <c r="NN19" s="30">
        <f>SUM(DATA[[#This Row],[Recruitment &amp; advertising (including DBS checks) HOURLY RATE]:[Non-Staffing Direct Cost: Other  - please specify (amount) 2 HOURLY RATE]])</f>
        <v>1.1377763275960517</v>
      </c>
      <c r="NO19" s="30">
        <f>SUM(DATA[[#This Row],[Insurance  HOURLY RATE]:[Indirect costs: Other  - please specify (amount) 2 HOURLY RATE]])</f>
        <v>1.4284476710987843</v>
      </c>
      <c r="NP19" s="30">
        <f>SUM(DATA[[#This Row],[Central / Regional Management HOURLY RATE]:[Corporate Overheads: Other  - please specify (amount) 2 HOURLY RATE]])</f>
        <v>0</v>
      </c>
      <c r="NQ19"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19" s="30" t="str">
        <f>IFERROR(IF(AVERAGE(DATA[[#This Row],[Deputy manager: Current 2021/22 Minimum hourly pay rate ADJUSTED]],DATA[[#This Row],[Deputy manager: Current 2021/22 Maximum hourly pay rate ADJUSTED]])&lt;REAL_LIVING_WAGE_22_23,DATA[[#This Row],[Deputy manager: Numbers employed (Full Time Equivalent)]],0),"")</f>
        <v/>
      </c>
      <c r="NS19" s="30" t="str">
        <f>IFERROR(IF(AVERAGE(DATA[[#This Row],[Other manager 1: Current 2021/22 Minimum hourly pay rate ADJUSTED]],DATA[[#This Row],[Other manager 1: Current 2021/22 Maximum hourly pay rate ADJUSTED]])&lt;REAL_LIVING_WAGE_22_23,DATA[[#This Row],[Other manager 1: Numbers employed (Full Time Equivalent)]],0),"")</f>
        <v/>
      </c>
      <c r="NT19" s="30" t="str">
        <f>IFERROR(IF(AVERAGE(DATA[[#This Row],[Other manager 2: Current 2021/22 Minimum hourly pay rate ADJUSTED]],DATA[[#This Row],[Other manager 2: Current 2021/22 Maximum hourly pay rate ADJUSTED]])&lt;REAL_LIVING_WAGE_22_23,DATA[[#This Row],[Other manager 2: Numbers employed (Full Time Equivalent)]],0),"")</f>
        <v/>
      </c>
      <c r="NU19" s="30" t="str">
        <f>IFERROR(IF(AVERAGE(DATA[[#This Row],[Other manager 3: Current 2021/22 Minimum hourly pay rate ADJUSTED]],DATA[[#This Row],[Other manager 3: Current 2021/22 Maximum hourly pay rate ADJUSTED]])&lt;REAL_LIVING_WAGE_22_23,DATA[[#This Row],[Other manager 3: Numbers employed (Full Time Equivalent)]],0),"")</f>
        <v/>
      </c>
      <c r="NV19" s="30">
        <f>IFERROR(IF(AVERAGE(DATA[[#This Row],[Care Assistant 1: Current 2021/22 Minimum hourly pay rate ADJUSTED]],DATA[[#This Row],[Care Assistant 1: Current 2021/22 Maximum hourly pay rate ADJUSTED]])&lt;REAL_LIVING_WAGE_22_23,DATA[[#This Row],[Care Assistant 1: Numbers employed (Full Time Equivalent)]],0),"")</f>
        <v>12</v>
      </c>
      <c r="NW19"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19"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19"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19"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19"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19" s="30" t="str">
        <f>IFERROR(IF(AVERAGE(DATA[[#This Row],[Other staff 1: Current 2021/22 Minimum hourly pay rate ADJUSTED]],DATA[[#This Row],[Other staff 1: Current 2021/22 Maximum hourly pay rate ADJUSTED]])&lt;REAL_LIVING_WAGE_22_23,DATA[[#This Row],[Other staff 1: Numbers employed (Full Time Equivalent)]],0),"")</f>
        <v/>
      </c>
      <c r="OC19" s="30" t="str">
        <f>IFERROR(IF(AVERAGE(DATA[[#This Row],[Other staff 2: Current 2021/22 Minimum hourly pay rate ADJUSTED]],DATA[[#This Row],[Other staff 2: Current 2021/22 Maximum hourly pay rate ADJUSTED]])&lt;REAL_LIVING_WAGE_22_23,DATA[[#This Row],[Other staff 2: Numbers employed (Full Time Equivalent)]],0),"")</f>
        <v/>
      </c>
      <c r="OD19" s="30" t="str">
        <f>IFERROR(IF(AVERAGE(DATA[[#This Row],[Other staff 3: Current 2021/22 Minimum hourly pay rate ADJUSTED]],DATA[[#This Row],[Other staff 3: Current 2021/22 Maximum hourly pay rate ADJUSTED]])&lt;REAL_LIVING_WAGE_22_23,DATA[[#This Row],[Other staff 3: Numbers employed (Full Time Equivalent)]],0),"")</f>
        <v/>
      </c>
      <c r="OE19" s="30">
        <f>SUM(DATA[[#This Row],[Registered Manager FTE earning less than RLW 23yrs 2022/23]:[Other staff 3 FTE earning less than RLW 23yrs 2022/23]])</f>
        <v>12</v>
      </c>
      <c r="OF19"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19"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19"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19"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19"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19"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4.8000000000000043</v>
      </c>
      <c r="OL19"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19"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19"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19"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19"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19"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19"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19"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19" s="30">
        <f>IFERROR(IF(DATA[[#This Row],[Registered manager: Numbers employed (Full Time Equivalent)]]=0,"",DATA[[#This Row],[Registered manager: Current 2021/22 Minimum hourly pay rate ADJUSTED 2]]*DATA[[#This Row],[Registered manager: Numbers employed (Full Time Equivalent)]]),"")</f>
        <v>15</v>
      </c>
      <c r="OU19" s="30">
        <f>IFERROR(IF(DATA[[#This Row],[Registered manager: Numbers employed (Full Time Equivalent)]]=0,"",DATA[[#This Row],[Registered manager: Current 2021/22 Maximum hourly pay rate ADJUSTED 2]]*DATA[[#This Row],[Registered manager: Numbers employed (Full Time Equivalent)]]),"")</f>
        <v>15</v>
      </c>
      <c r="OV19" s="30">
        <f>IFERROR(IF(DATA[[#This Row],[Registered manager: Numbers employed (Full Time Equivalent)]]=0,"",DATA[[#This Row],[Registered manager: Previous 2020/21 Minimum hourly pay rate ADJUSTED 2]]*DATA[[#This Row],[Registered manager: Numbers employed (Full Time Equivalent)]]),"")</f>
        <v>15</v>
      </c>
      <c r="OW19" s="30">
        <f>IFERROR(IF(DATA[[#This Row],[Registered manager: Numbers employed (Full Time Equivalent)]]=0,"",DATA[[#This Row],[Registered manager: Previous 2020/21 Maximum hourly pay rate ADJUSTED 2]]*DATA[[#This Row],[Registered manager: Numbers employed (Full Time Equivalent)]]),"")</f>
        <v>15</v>
      </c>
      <c r="OX19" s="30" t="str">
        <f>IFERROR(IF(DATA[[#This Row],[Deputy manager: Numbers employed (Full Time Equivalent)]]=0,"",DATA[[#This Row],[Deputy manager: Current 2021/22 Minimum hourly pay rate ADJUSTED 2]]*DATA[[#This Row],[Deputy manager: Numbers employed (Full Time Equivalent)]]),"")</f>
        <v/>
      </c>
      <c r="OY19" s="30" t="str">
        <f>IFERROR(IF(DATA[[#This Row],[Deputy manager: Numbers employed (Full Time Equivalent)]]=0,"",DATA[[#This Row],[Deputy manager: Current 2021/22 Maximum hourly pay rate ADJUSTED 2]]*DATA[[#This Row],[Deputy manager: Numbers employed (Full Time Equivalent)]]),"")</f>
        <v/>
      </c>
      <c r="OZ19" s="30" t="str">
        <f>IFERROR(IF(DATA[[#This Row],[Deputy manager: Numbers employed (Full Time Equivalent)]]=0,"",DATA[[#This Row],[Deputy manager: Previous 2020/21 Minimum hourly pay rate ADJUSTED 2]]*DATA[[#This Row],[Deputy manager: Numbers employed (Full Time Equivalent)]]),"")</f>
        <v/>
      </c>
      <c r="PA19" s="30" t="str">
        <f>IFERROR(IF(DATA[[#This Row],[Deputy manager: Numbers employed (Full Time Equivalent)]]=0,"",DATA[[#This Row],[Deputy manager: Previous 2020/21 Maximum hourly pay rate ADJUSTED 2]]*DATA[[#This Row],[Deputy manager: Numbers employed (Full Time Equivalent)]]),"")</f>
        <v/>
      </c>
      <c r="PB19" s="30" t="str">
        <f>IFERROR(IF(DATA[[#This Row],[Other manager 1: Numbers employed (Full Time Equivalent)]]=0,"",DATA[[#This Row],[Other manager 1: Current 2021/22 Minimum hourly pay rate ADJUSTED 2]]*DATA[[#This Row],[Other manager 1: Numbers employed (Full Time Equivalent)]]),"")</f>
        <v/>
      </c>
      <c r="PC19" s="30" t="str">
        <f>IFERROR(IF(DATA[[#This Row],[Other manager 1: Numbers employed (Full Time Equivalent)]]=0,"",DATA[[#This Row],[Other manager 1: Current 2021/22 Maximum hourly pay rate ADJUSTED 2]]*DATA[[#This Row],[Other manager 1: Numbers employed (Full Time Equivalent)]]),"")</f>
        <v/>
      </c>
      <c r="PD19" s="30" t="str">
        <f>IFERROR(IF(DATA[[#This Row],[Other manager 1: Numbers employed (Full Time Equivalent)]]=0,"",DATA[[#This Row],[Other manager 1: Previous 2020/21 Minimum hourly pay rate ADJUSTED 2]]*DATA[[#This Row],[Other manager 1: Numbers employed (Full Time Equivalent)]]),"")</f>
        <v/>
      </c>
      <c r="PE19" s="30" t="str">
        <f>IFERROR(IF(DATA[[#This Row],[Other manager 1: Numbers employed (Full Time Equivalent)]]=0,"",DATA[[#This Row],[Other manager 1: Previous 2020/21 Maximum hourly pay rate ADJUSTED 2]]*DATA[[#This Row],[Other manager 1: Numbers employed (Full Time Equivalent)]]),"")</f>
        <v/>
      </c>
      <c r="PF19" s="30" t="str">
        <f>IFERROR(IF(DATA[[#This Row],[Other manager 2: Numbers employed (Full Time Equivalent)]]=0,"",DATA[[#This Row],[Other manager 2: Current 2021/22 Minimum hourly pay rate ADJUSTED 2]]*DATA[[#This Row],[Other manager 2: Numbers employed (Full Time Equivalent)]]),"")</f>
        <v/>
      </c>
      <c r="PG19" s="30" t="str">
        <f>IFERROR(IF(DATA[[#This Row],[Other manager 2: Numbers employed (Full Time Equivalent)]]=0,"",DATA[[#This Row],[Other manager 2: Current 2021/22 Maximum hourly pay rate ADJUSTED 2]]*DATA[[#This Row],[Other manager 2: Numbers employed (Full Time Equivalent)]]),"")</f>
        <v/>
      </c>
      <c r="PH19" s="30" t="str">
        <f>IFERROR(IF(DATA[[#This Row],[Other manager 2: Numbers employed (Full Time Equivalent)]]=0,"",DATA[[#This Row],[Other manager 2: Previous 2020/21 Minimum hourly pay rate ADJUSTED 2]]*DATA[[#This Row],[Other manager 2: Numbers employed (Full Time Equivalent)]]),"")</f>
        <v/>
      </c>
      <c r="PI19" s="30" t="str">
        <f>IFERROR(IF(DATA[[#This Row],[Other manager 2: Numbers employed (Full Time Equivalent)]]=0,"",DATA[[#This Row],[Other manager 2: Previous 2020/21 Maximum hourly pay rate ADJUSTED 2]]*DATA[[#This Row],[Other manager 2: Numbers employed (Full Time Equivalent)]]),"")</f>
        <v/>
      </c>
      <c r="PJ19" s="30" t="str">
        <f>IFERROR(IF(DATA[[#This Row],[Other manager 3: Numbers employed (Full Time Equivalent)]]=0,"",DATA[[#This Row],[Other manager 3: Current 2021/22 Minimum hourly pay rate ADJUSTED 2]]*DATA[[#This Row],[Other manager 3: Numbers employed (Full Time Equivalent)]]),"")</f>
        <v/>
      </c>
      <c r="PK19" s="30" t="str">
        <f>IFERROR(IF(DATA[[#This Row],[Other manager 3: Numbers employed (Full Time Equivalent)]]=0,"",DATA[[#This Row],[Other manager 3: Current 2021/22 Maximum hourly pay rate ADJUSTED 2]]*DATA[[#This Row],[Other manager 3: Numbers employed (Full Time Equivalent)]]),"")</f>
        <v/>
      </c>
      <c r="PL19" s="30" t="str">
        <f>IFERROR(IF(DATA[[#This Row],[Other manager 3: Numbers employed (Full Time Equivalent)]]=0,"",DATA[[#This Row],[Other manager 3: Previous 2020/21 Minimum hourly pay rate ADJUSTED 2]]*DATA[[#This Row],[Other manager 3: Numbers employed (Full Time Equivalent)]]),"")</f>
        <v/>
      </c>
      <c r="PM19" s="30" t="str">
        <f>IFERROR(IF(DATA[[#This Row],[Other manager 3: Numbers employed (Full Time Equivalent)]]=0,"",DATA[[#This Row],[Other manager 3: Previous 2020/21 Maximum hourly pay rate ADJUSTED 2]]*DATA[[#This Row],[Other manager 3: Numbers employed (Full Time Equivalent)]]),"")</f>
        <v/>
      </c>
      <c r="PN19" s="30">
        <f>IFERROR(IF(DATA[[#This Row],[Care Assistant 1: Numbers employed (Full Time Equivalent)]]=0,"",DATA[[#This Row],[Care Assistant 1: Current 2021/22 Minimum hourly pay rate ADJUSTED 2]]*DATA[[#This Row],[Care Assistant 1: Numbers employed (Full Time Equivalent)]]),"")</f>
        <v>120</v>
      </c>
      <c r="PO19" s="30">
        <f>IFERROR(IF(DATA[[#This Row],[Care Assistant 1: Numbers employed (Full Time Equivalent)]]=0,"",DATA[[#This Row],[Care Assistant 1: Current 2021/22 Maximum hourly pay rate ADJUSTED 2]]*DATA[[#This Row],[Care Assistant 1: Numbers employed (Full Time Equivalent)]]),"")</f>
        <v>108</v>
      </c>
      <c r="PP19" s="30">
        <f>IFERROR(IF(DATA[[#This Row],[Care Assistant 1: Numbers employed (Full Time Equivalent)]]=0,"",DATA[[#This Row],[Care Assistant 1: Previous 2020/21 Minimum hourly pay rate ADJUSTED 2]]*DATA[[#This Row],[Care Assistant 1: Numbers employed (Full Time Equivalent)]]),"")</f>
        <v>99</v>
      </c>
      <c r="PQ19" s="30">
        <f>IFERROR(IF(DATA[[#This Row],[Care Assistant 1: Numbers employed (Full Time Equivalent)]]=0,"",DATA[[#This Row],[Care Assistant 1: Previous 2020/21 Maximum hourly pay rate ADJUSTED 2]]*DATA[[#This Row],[Care Assistant 1: Numbers employed (Full Time Equivalent)]]),"")</f>
        <v>102</v>
      </c>
      <c r="PR19" s="30" t="str">
        <f>IFERROR(IF(DATA[[#This Row],[Care Assistant 2: Numbers employed (Full Time Equivalent)]]=0,"",DATA[[#This Row],[Care Assistant 2: Current 2021/22 Minimum hourly pay rate ADJUSTED 2]]*DATA[[#This Row],[Care Assistant 2: Numbers employed (Full Time Equivalent)]]),"")</f>
        <v/>
      </c>
      <c r="PS19" s="30" t="str">
        <f>IFERROR(IF(DATA[[#This Row],[Care Assistant 2: Numbers employed (Full Time Equivalent)]]=0,"",DATA[[#This Row],[Care Assistant 2: Current 2021/22 Maximum hourly pay rate ADJUSTED 2]]*DATA[[#This Row],[Care Assistant 2: Numbers employed (Full Time Equivalent)]]),"")</f>
        <v/>
      </c>
      <c r="PT19" s="30" t="str">
        <f>IFERROR(IF(DATA[[#This Row],[Care Assistant 2: Numbers employed (Full Time Equivalent)]]=0,"",DATA[[#This Row],[Care Assistant 2: Previous 2020/21 Minimum hourly pay rate ADJUSTED 2]]*DATA[[#This Row],[Care Assistant 2: Numbers employed (Full Time Equivalent)]]),"")</f>
        <v/>
      </c>
      <c r="PU19" s="30" t="str">
        <f>IFERROR(IF(DATA[[#This Row],[Care Assistant 2: Numbers employed (Full Time Equivalent)]]=0,"",DATA[[#This Row],[Care Assistant 2: Previous 2020/21 Maximum hourly pay rate ADJUSTED 2]]*DATA[[#This Row],[Care Assistant 2: Numbers employed (Full Time Equivalent)]]),"")</f>
        <v/>
      </c>
      <c r="PV19" s="30" t="str">
        <f>IFERROR(IF(DATA[[#This Row],[Care Assistant 3: Numbers employed (Full Time Equivalent)]]=0,"",DATA[[#This Row],[Care Assistant 3: Current 2021/22 Minimum hourly pay rate ADJUSTED 2]]*DATA[[#This Row],[Care Assistant 3: Numbers employed (Full Time Equivalent)]]),"")</f>
        <v/>
      </c>
      <c r="PW19" s="30" t="str">
        <f>IFERROR(IF(DATA[[#This Row],[Care Assistant 3: Numbers employed (Full Time Equivalent)]]=0,"",DATA[[#This Row],[Care Assistant 3: Current 2021/22 Maximum hourly pay rate ADJUSTED 2]]*DATA[[#This Row],[Care Assistant 3: Numbers employed (Full Time Equivalent)]]),"")</f>
        <v/>
      </c>
      <c r="PX19" s="30" t="str">
        <f>IFERROR(IF(DATA[[#This Row],[Care Assistant 3: Numbers employed (Full Time Equivalent)]]=0,"",DATA[[#This Row],[Care Assistant 3: Previous 2020/21 Minimum hourly pay rate ADJUSTED 2]]*DATA[[#This Row],[Care Assistant 3: Numbers employed (Full Time Equivalent)]]),"")</f>
        <v/>
      </c>
      <c r="PY19" s="30" t="str">
        <f>IFERROR(IF(DATA[[#This Row],[Care Assistant 3: Numbers employed (Full Time Equivalent)]]=0,"",DATA[[#This Row],[Care Assistant 3: Previous 2020/21 Maximum hourly pay rate ADJUSTED 2]]*DATA[[#This Row],[Care Assistant 3: Numbers employed (Full Time Equivalent)]]),"")</f>
        <v/>
      </c>
      <c r="PZ19" s="30" t="str">
        <f>IFERROR(IF(DATA[[#This Row],[Care Assistant 4: Numbers employed (Full Time Equivalent)]]=0,"",DATA[[#This Row],[Care Assistant 4: Current 2021/22 Minimum hourly pay rate ADJUSTED 2]]*DATA[[#This Row],[Care Assistant 4: Numbers employed (Full Time Equivalent)]]),"")</f>
        <v/>
      </c>
      <c r="QA19" s="30" t="str">
        <f>IFERROR(IF(DATA[[#This Row],[Care Assistant 4: Numbers employed (Full Time Equivalent)]]=0,"",DATA[[#This Row],[Care Assistant 4: Current 2021/22 Maximum hourly pay rate ADJUSTED 2]]*DATA[[#This Row],[Care Assistant 4: Numbers employed (Full Time Equivalent)]]),"")</f>
        <v/>
      </c>
      <c r="QB19" s="30" t="str">
        <f>IFERROR(IF(DATA[[#This Row],[Care Assistant 4: Numbers employed (Full Time Equivalent)]]=0,"",DATA[[#This Row],[Care Assistant 4: Previous 2020/21 Minimum hourly pay rate ADJUSTED 2]]*DATA[[#This Row],[Care Assistant 4: Numbers employed (Full Time Equivalent)]]),"")</f>
        <v/>
      </c>
      <c r="QC19" s="30" t="str">
        <f>IFERROR(IF(DATA[[#This Row],[Care Assistant 4: Numbers employed (Full Time Equivalent)]]=0,"",DATA[[#This Row],[Care Assistant 4: Previous 2020/21 Maximum hourly pay rate ADJUSTED 2]]*DATA[[#This Row],[Care Assistant 4: Numbers employed (Full Time Equivalent)]]),"")</f>
        <v/>
      </c>
      <c r="QD19" s="30" t="str">
        <f>IFERROR(IF(DATA[[#This Row],[Administrative Officer 1: Numbers employed (Full Time Equivalent)]]=0,"",DATA[[#This Row],[Administrative Officer 1: Current 2021/22 Minimum hourly pay rate ADJUSTED 2]]*DATA[[#This Row],[Administrative Officer 1: Numbers employed (Full Time Equivalent)]]),"")</f>
        <v/>
      </c>
      <c r="QE19" s="30" t="str">
        <f>IFERROR(IF(DATA[[#This Row],[Administrative Officer 1: Numbers employed (Full Time Equivalent)]]=0,"",DATA[[#This Row],[Administrative Officer 1: Current 2021/22 Maximum hourly pay rate ADJUSTED 2]]*DATA[[#This Row],[Administrative Officer 1: Numbers employed (Full Time Equivalent)]]),"")</f>
        <v/>
      </c>
      <c r="QF19" s="30" t="str">
        <f>IFERROR(IF(DATA[[#This Row],[Administrative Officer 1: Numbers employed (Full Time Equivalent)]]=0,"",DATA[[#This Row],[Administrative Officer 1: Previous 2020/21 Minimum hourly pay rate ADJUSTED 2]]*DATA[[#This Row],[Administrative Officer 1: Numbers employed (Full Time Equivalent)]]),"")</f>
        <v/>
      </c>
      <c r="QG19" s="30" t="str">
        <f>IFERROR(IF(DATA[[#This Row],[Administrative Officer 1: Numbers employed (Full Time Equivalent)]]=0,"",DATA[[#This Row],[Administrative Officer 1: Previous 2020/21 Maximum hourly pay rate ADJUSTED 2]]*DATA[[#This Row],[Administrative Officer 1: Numbers employed (Full Time Equivalent)]]),"")</f>
        <v/>
      </c>
      <c r="QH19" s="30" t="str">
        <f>IFERROR(IF(DATA[[#This Row],[Administrative Officer 2: Numbers employed (Full Time Equivalent)]]=0,"",DATA[[#This Row],[Administrative Officer 2: Current 2021/22 Minimum hourly pay rate ADJUSTED 2]]*DATA[[#This Row],[Administrative Officer 2: Numbers employed (Full Time Equivalent)]]),"")</f>
        <v/>
      </c>
      <c r="QI19" s="30" t="str">
        <f>IFERROR(IF(DATA[[#This Row],[Administrative Officer 2: Numbers employed (Full Time Equivalent)]]=0,"",DATA[[#This Row],[Administrative Officer 2: Current 2021/22 Maximum hourly pay rate ADJUSTED 2]]*DATA[[#This Row],[Administrative Officer 2: Numbers employed (Full Time Equivalent)]]),"")</f>
        <v/>
      </c>
      <c r="QJ19" s="30" t="str">
        <f>IFERROR(IF(DATA[[#This Row],[Administrative Officer 2: Numbers employed (Full Time Equivalent)]]=0,"",DATA[[#This Row],[Administrative Officer 2: Previous 2020/21 Minimum hourly pay rate ADJUSTED 2]]*DATA[[#This Row],[Administrative Officer 2: Numbers employed (Full Time Equivalent)]]),"")</f>
        <v/>
      </c>
      <c r="QK19" s="30" t="str">
        <f>IFERROR(IF(DATA[[#This Row],[Administrative Officer 2: Numbers employed (Full Time Equivalent)]]=0,"",DATA[[#This Row],[Administrative Officer 2: Previous 2020/21 Maximum hourly pay rate ADJUSTED 2]]*DATA[[#This Row],[Administrative Officer 2: Numbers employed (Full Time Equivalent)]]),"")</f>
        <v/>
      </c>
      <c r="QL19" s="30" t="str">
        <f>IFERROR(IF(DATA[[#This Row],[Administrative Officer 3: Numbers employed (Full Time Equivalent)]]=0,"",DATA[[#This Row],[Administrative Officer 3: Current 2021/22 Minimum hourly pay rate ADJUSTED 2]]*DATA[[#This Row],[Administrative Officer 3: Numbers employed (Full Time Equivalent)]]),"")</f>
        <v/>
      </c>
      <c r="QM19" s="30" t="str">
        <f>IFERROR(IF(DATA[[#This Row],[Administrative Officer 3: Numbers employed (Full Time Equivalent)]]=0,"",DATA[[#This Row],[Administrative Officer 3: Current 2021/22 Maximum hourly pay rate ADJUSTED 2]]*DATA[[#This Row],[Administrative Officer 3: Numbers employed (Full Time Equivalent)]]),"")</f>
        <v/>
      </c>
      <c r="QN19" s="30" t="str">
        <f>IFERROR(IF(DATA[[#This Row],[Administrative Officer 3: Numbers employed (Full Time Equivalent)]]=0,"",DATA[[#This Row],[Administrative Officer 3: Previous 2020/21 Minimum hourly pay rate ADJUSTED 2]]*DATA[[#This Row],[Administrative Officer 3: Numbers employed (Full Time Equivalent)]]),"")</f>
        <v/>
      </c>
      <c r="QO19" s="30" t="str">
        <f>IFERROR(IF(DATA[[#This Row],[Administrative Officer 3: Numbers employed (Full Time Equivalent)]]=0,"",DATA[[#This Row],[Administrative Officer 3: Previous 2020/21 Maximum hourly pay rate ADJUSTED 2]]*DATA[[#This Row],[Administrative Officer 3: Numbers employed (Full Time Equivalent)]]),"")</f>
        <v/>
      </c>
      <c r="QP19" s="28" t="str">
        <f>IFERROR(IF(DATA[[#This Row],[Other staff 1: Numbers employed (Full Time Equivalent)]]=0,"",DATA[[#This Row],[Other staff 1: Current 2021/22 Minimum hourly pay rate ADJUSTED 2]]*DATA[[#This Row],[Other staff 1: Numbers employed (Full Time Equivalent)]]),"")</f>
        <v/>
      </c>
      <c r="QQ19" s="28" t="str">
        <f>IFERROR(IF(DATA[[#This Row],[Other staff 1: Numbers employed (Full Time Equivalent)]]=0,"",DATA[[#This Row],[Other staff 1: Current 2021/22 Maximum hourly pay rate ADJUSTED 2]]*DATA[[#This Row],[Other staff 1: Numbers employed (Full Time Equivalent)]]),"")</f>
        <v/>
      </c>
      <c r="QR19" s="28" t="str">
        <f>IFERROR(IF(DATA[[#This Row],[Other staff 1: Numbers employed (Full Time Equivalent)]]=0,"",DATA[[#This Row],[Other staff 1: Previous 2020/21 Minimum hourly pay rate ADJUSTED 2]]*DATA[[#This Row],[Other staff 1: Numbers employed (Full Time Equivalent)]]),"")</f>
        <v/>
      </c>
      <c r="QS19" s="28" t="str">
        <f>IFERROR(IF(DATA[[#This Row],[Other staff 1: Numbers employed (Full Time Equivalent)]]=0,"",DATA[[#This Row],[Other staff 1: Previous 2020/21 Maximum hourly pay rate ADJUSTED 2]]*DATA[[#This Row],[Other staff 1: Numbers employed (Full Time Equivalent)]]),"")</f>
        <v/>
      </c>
      <c r="QT19" s="28" t="str">
        <f>IFERROR(IF(DATA[[#This Row],[Other staff 2: Numbers employed (Full Time Equivalent)]]=0,"",DATA[[#This Row],[Other staff 2: Current 2021/22 Minimum hourly pay rate ADJUSTED 2]]*DATA[[#This Row],[Other staff 2: Numbers employed (Full Time Equivalent)]]),"")</f>
        <v/>
      </c>
      <c r="QU19" s="28" t="str">
        <f>IFERROR(IF(DATA[[#This Row],[Other staff 2: Numbers employed (Full Time Equivalent)]]=0,"",DATA[[#This Row],[Other staff 2: Current 2021/22 Maximum hourly pay rate ADJUSTED 2]]*DATA[[#This Row],[Other staff 2: Numbers employed (Full Time Equivalent)]]),"")</f>
        <v/>
      </c>
      <c r="QV19" s="28" t="str">
        <f>IFERROR(IF(DATA[[#This Row],[Other staff 2: Numbers employed (Full Time Equivalent)]]=0,"",DATA[[#This Row],[Other staff 2: Previous 2020/21 Minimum hourly pay rate ADJUSTED 2]]*DATA[[#This Row],[Other staff 2: Numbers employed (Full Time Equivalent)]]),"")</f>
        <v/>
      </c>
      <c r="QW19" s="28" t="str">
        <f>IFERROR(IF(DATA[[#This Row],[Other staff 2: Numbers employed (Full Time Equivalent)]]=0,"",DATA[[#This Row],[Other staff 2: Previous 2020/21 Maximum hourly pay rate ADJUSTED 2]]*DATA[[#This Row],[Other staff 2: Numbers employed (Full Time Equivalent)]]),"")</f>
        <v/>
      </c>
      <c r="QX19" s="28" t="str">
        <f>IFERROR(IF(DATA[[#This Row],[Other staff 3: Numbers employed (Full Time Equivalent)]]=0,"",DATA[[#This Row],[Other staff 3: Current 2021/22 Minimum hourly pay rate ADJUSTED 2]]*DATA[[#This Row],[Other staff 3: Numbers employed (Full Time Equivalent)]]),"")</f>
        <v/>
      </c>
      <c r="QY19" s="28" t="str">
        <f>IFERROR(IF(DATA[[#This Row],[Other staff 3: Numbers employed (Full Time Equivalent)]]=0,"",DATA[[#This Row],[Other staff 3: Current 2021/22 Maximum hourly pay rate ADJUSTED 2]]*DATA[[#This Row],[Other staff 3: Numbers employed (Full Time Equivalent)]]),"")</f>
        <v/>
      </c>
      <c r="QZ19" s="28" t="str">
        <f>IFERROR(IF(DATA[[#This Row],[Other staff 3: Numbers employed (Full Time Equivalent)]]=0,"",DATA[[#This Row],[Other staff 3: Previous 2020/21 Minimum hourly pay rate ADJUSTED 2]]*DATA[[#This Row],[Other staff 3: Numbers employed (Full Time Equivalent)]]),"")</f>
        <v/>
      </c>
      <c r="RA19" s="28" t="str">
        <f>IFERROR(IF(DATA[[#This Row],[Other staff 3: Numbers employed (Full Time Equivalent)]]=0,"",DATA[[#This Row],[Other staff 3: Previous 2020/21 Maximum hourly pay rate ADJUSTED 2]]*DATA[[#This Row],[Other staff 3: Numbers employed (Full Time Equivalent)]]),"")</f>
        <v/>
      </c>
      <c r="RB19"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19"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19"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19"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19"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19"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12</v>
      </c>
      <c r="RH19"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19"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19"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19"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19"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19"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19"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19"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19"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0" spans="7:484" x14ac:dyDescent="0.25">
      <c r="G20" s="2">
        <v>14</v>
      </c>
      <c r="H20" s="2">
        <v>44</v>
      </c>
      <c r="I20" s="2">
        <v>44</v>
      </c>
      <c r="J20" s="2">
        <v>0.25</v>
      </c>
      <c r="K20" s="2">
        <v>0.75</v>
      </c>
      <c r="L20" s="2" t="s">
        <v>328</v>
      </c>
      <c r="M20" s="2" t="s">
        <v>328</v>
      </c>
      <c r="R20" s="2">
        <v>14.9</v>
      </c>
      <c r="S20" s="2">
        <v>0</v>
      </c>
      <c r="T20" s="2">
        <v>0</v>
      </c>
      <c r="U20" s="2">
        <v>0</v>
      </c>
      <c r="V20" s="2">
        <v>1</v>
      </c>
      <c r="W20" s="2">
        <v>11.78</v>
      </c>
      <c r="X20" s="2">
        <v>0</v>
      </c>
      <c r="Y20" s="2">
        <v>0</v>
      </c>
      <c r="Z20" s="2">
        <v>0</v>
      </c>
      <c r="AA20" s="2">
        <v>2</v>
      </c>
      <c r="AB20" s="2" t="s">
        <v>387</v>
      </c>
      <c r="AC20" s="2">
        <v>9.51</v>
      </c>
      <c r="AD20" s="2">
        <v>0</v>
      </c>
      <c r="AE20" s="2">
        <v>0</v>
      </c>
      <c r="AF20" s="2">
        <v>0</v>
      </c>
      <c r="AG20" s="2">
        <v>3</v>
      </c>
      <c r="AH20" s="2" t="s">
        <v>388</v>
      </c>
      <c r="AI20" s="2">
        <v>9.2100000000000009</v>
      </c>
      <c r="AJ20" s="2">
        <v>0</v>
      </c>
      <c r="AK20" s="2">
        <v>0</v>
      </c>
      <c r="AL20" s="2">
        <v>0</v>
      </c>
      <c r="AM20" s="2">
        <v>4</v>
      </c>
      <c r="AN20" s="2" t="s">
        <v>315</v>
      </c>
      <c r="AO20" s="2">
        <v>0</v>
      </c>
      <c r="AP20" s="2">
        <v>0</v>
      </c>
      <c r="AQ20" s="2">
        <v>0</v>
      </c>
      <c r="AR20" s="2">
        <v>0</v>
      </c>
      <c r="AS20" s="2">
        <v>0</v>
      </c>
      <c r="AT20" s="2" t="s">
        <v>389</v>
      </c>
      <c r="AU20" s="2">
        <v>8.91</v>
      </c>
      <c r="AV20" s="2">
        <v>0</v>
      </c>
      <c r="AW20" s="2">
        <v>0</v>
      </c>
      <c r="AX20" s="2">
        <v>0</v>
      </c>
      <c r="AY20" s="2">
        <v>20</v>
      </c>
      <c r="AZ20" s="2" t="s">
        <v>390</v>
      </c>
      <c r="BA20" s="2">
        <v>9.01</v>
      </c>
      <c r="BB20" s="2">
        <v>0</v>
      </c>
      <c r="BC20" s="2">
        <v>0</v>
      </c>
      <c r="BD20" s="2">
        <v>0</v>
      </c>
      <c r="BE20" s="2">
        <v>20</v>
      </c>
      <c r="BF20" s="2" t="s">
        <v>316</v>
      </c>
      <c r="BG20" s="2">
        <v>0</v>
      </c>
      <c r="BH20" s="2">
        <v>0</v>
      </c>
      <c r="BI20" s="2">
        <v>0</v>
      </c>
      <c r="BJ20" s="2">
        <v>0</v>
      </c>
      <c r="BK20" s="2">
        <v>0</v>
      </c>
      <c r="BL20" s="2" t="s">
        <v>316</v>
      </c>
      <c r="BM20" s="2">
        <v>0</v>
      </c>
      <c r="BN20" s="2">
        <v>0</v>
      </c>
      <c r="BO20" s="2">
        <v>0</v>
      </c>
      <c r="BP20" s="2">
        <v>0</v>
      </c>
      <c r="BQ20" s="2">
        <v>0</v>
      </c>
      <c r="BR20" s="2" t="s">
        <v>391</v>
      </c>
      <c r="BS20" s="2">
        <v>9.3699999999999992</v>
      </c>
      <c r="BT20" s="2">
        <v>0</v>
      </c>
      <c r="BU20" s="2">
        <v>0</v>
      </c>
      <c r="BV20" s="2">
        <v>0</v>
      </c>
      <c r="BW20" s="2">
        <v>1</v>
      </c>
      <c r="BX20" s="2" t="s">
        <v>392</v>
      </c>
      <c r="BY20" s="2">
        <v>9.3699999999999992</v>
      </c>
      <c r="BZ20" s="2">
        <v>0</v>
      </c>
      <c r="CA20" s="2">
        <v>0</v>
      </c>
      <c r="CB20" s="2">
        <v>0</v>
      </c>
      <c r="CC20" s="2">
        <v>1</v>
      </c>
      <c r="CD20" s="2" t="s">
        <v>317</v>
      </c>
      <c r="CE20" s="2">
        <v>0</v>
      </c>
      <c r="CF20" s="2">
        <v>0</v>
      </c>
      <c r="CG20" s="2">
        <v>0</v>
      </c>
      <c r="CH20" s="2">
        <v>0</v>
      </c>
      <c r="CI20" s="2">
        <v>0</v>
      </c>
      <c r="CJ20" s="2" t="s">
        <v>393</v>
      </c>
      <c r="CK20" s="2">
        <v>10</v>
      </c>
      <c r="CL20" s="2">
        <v>0</v>
      </c>
      <c r="CM20" s="2">
        <v>0</v>
      </c>
      <c r="CN20" s="2">
        <v>0</v>
      </c>
      <c r="CO20" s="2">
        <v>1</v>
      </c>
      <c r="CP20" s="2" t="s">
        <v>318</v>
      </c>
      <c r="CQ20" s="2">
        <v>0</v>
      </c>
      <c r="CR20" s="2">
        <v>0</v>
      </c>
      <c r="CS20" s="2">
        <v>0</v>
      </c>
      <c r="CT20" s="2">
        <v>0</v>
      </c>
      <c r="CU20" s="2">
        <v>0</v>
      </c>
      <c r="CV20" s="2" t="s">
        <v>318</v>
      </c>
      <c r="CW20" s="2">
        <v>0</v>
      </c>
      <c r="CX20" s="2">
        <v>0</v>
      </c>
      <c r="CY20" s="2">
        <v>0</v>
      </c>
      <c r="CZ20" s="2">
        <v>0</v>
      </c>
      <c r="DA20" s="2">
        <v>0</v>
      </c>
      <c r="DB20" s="2">
        <v>0.03</v>
      </c>
      <c r="DC20" s="2">
        <v>0</v>
      </c>
      <c r="DD20" s="2">
        <v>0</v>
      </c>
      <c r="DE20" s="2">
        <v>0</v>
      </c>
      <c r="DF20" s="2">
        <v>0</v>
      </c>
      <c r="DG20" s="2">
        <v>0</v>
      </c>
      <c r="DH20" s="2">
        <v>0</v>
      </c>
      <c r="DI20" s="2">
        <v>1135.5</v>
      </c>
      <c r="DJ20" s="2">
        <v>64.3</v>
      </c>
      <c r="DK20" s="2">
        <v>0</v>
      </c>
      <c r="DL20" s="2">
        <v>415.5</v>
      </c>
      <c r="DM20" s="2">
        <v>295.5</v>
      </c>
      <c r="DN20" s="2">
        <v>4</v>
      </c>
      <c r="DO20" s="2">
        <v>17.48</v>
      </c>
      <c r="DP20" s="2">
        <v>15.58</v>
      </c>
      <c r="DQ20" s="2">
        <v>15.58</v>
      </c>
      <c r="DR20" s="18">
        <v>43800</v>
      </c>
      <c r="DS20" s="18">
        <v>44165</v>
      </c>
      <c r="DT20" s="2">
        <v>84000</v>
      </c>
      <c r="DU20" s="2">
        <v>273505.17</v>
      </c>
      <c r="DV20" s="2">
        <v>944084.09</v>
      </c>
      <c r="DW20" s="2">
        <v>37023.160000000003</v>
      </c>
      <c r="DX20" s="2">
        <v>5268.33</v>
      </c>
      <c r="DY20" s="2">
        <v>9840</v>
      </c>
      <c r="DZ20" s="2">
        <v>1040</v>
      </c>
      <c r="EA20" s="2">
        <v>0</v>
      </c>
      <c r="EB20" s="2">
        <v>10123.200000000001</v>
      </c>
      <c r="EC20" s="2">
        <v>1452</v>
      </c>
      <c r="ED20" s="2">
        <v>475</v>
      </c>
      <c r="EE20" s="2">
        <v>2500</v>
      </c>
      <c r="EF20" s="2">
        <v>8346</v>
      </c>
      <c r="EG20" s="2">
        <v>2359</v>
      </c>
      <c r="EH20" s="2" t="s">
        <v>324</v>
      </c>
      <c r="EI20" s="2">
        <v>0</v>
      </c>
      <c r="EJ20" s="2" t="s">
        <v>324</v>
      </c>
      <c r="EK20" s="2">
        <v>0</v>
      </c>
      <c r="EL20" s="2">
        <v>4585.8599999999997</v>
      </c>
      <c r="EM20" s="2">
        <v>635.88</v>
      </c>
      <c r="EN20" s="2">
        <v>7668.33</v>
      </c>
      <c r="EO20" s="2">
        <v>15000</v>
      </c>
      <c r="EP20" s="2">
        <v>2466</v>
      </c>
      <c r="EQ20" s="2">
        <v>247.2</v>
      </c>
      <c r="ER20" s="2">
        <v>0</v>
      </c>
      <c r="ES20" s="2">
        <v>0</v>
      </c>
      <c r="ET20" s="2" t="s">
        <v>324</v>
      </c>
      <c r="EU20" s="2">
        <v>0</v>
      </c>
      <c r="EV20" s="2" t="s">
        <v>324</v>
      </c>
      <c r="EW20" s="2">
        <v>0</v>
      </c>
      <c r="EX20" s="2">
        <v>33750</v>
      </c>
      <c r="EY20" s="2">
        <v>2000</v>
      </c>
      <c r="EZ20" s="2" t="s">
        <v>326</v>
      </c>
      <c r="FA20" s="2">
        <v>0</v>
      </c>
      <c r="FB20" s="2" t="s">
        <v>326</v>
      </c>
      <c r="FC20" s="2">
        <v>0</v>
      </c>
      <c r="FD20" s="2">
        <v>94927</v>
      </c>
      <c r="FE20" s="2">
        <v>94927</v>
      </c>
      <c r="FF20" s="2">
        <v>268996</v>
      </c>
      <c r="FG20" s="2"/>
      <c r="FH20" s="19">
        <v>44480.623645833337</v>
      </c>
      <c r="FI20" s="2" t="s">
        <v>345</v>
      </c>
      <c r="FJ20" s="2">
        <f>SUM(DATA[[#This Row],[Number of Home support clients:]],DATA[[#This Row],[Number of supported living clients:]])</f>
        <v>88</v>
      </c>
      <c r="FK20"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81-90</v>
      </c>
      <c r="FL20"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14.9</v>
      </c>
      <c r="FM20"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14.9</v>
      </c>
      <c r="FN20"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20"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20"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11.78</v>
      </c>
      <c r="FQ20"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20"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20"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20"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9.51</v>
      </c>
      <c r="FU20"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9.51</v>
      </c>
      <c r="FV20"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20"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20"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9.2100000000000009</v>
      </c>
      <c r="FY20"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9.2100000000000009</v>
      </c>
      <c r="FZ20"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20"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20"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20"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20"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20"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20"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20"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20"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20"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20"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9.01</v>
      </c>
      <c r="GK20"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9.01</v>
      </c>
      <c r="GL20"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20"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20"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20"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20"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20"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20"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20"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20"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20"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20"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9.3699999999999992</v>
      </c>
      <c r="GW20"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9.3699999999999992</v>
      </c>
      <c r="GX20"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20"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20"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9.3699999999999992</v>
      </c>
      <c r="HA20"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9.3699999999999992</v>
      </c>
      <c r="HB20"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20"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20"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20"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20"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20"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20"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10</v>
      </c>
      <c r="HI20"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10</v>
      </c>
      <c r="HJ20"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20"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20"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20"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20"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20"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20"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0"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0"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0"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0"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14.9</v>
      </c>
      <c r="HU20"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14.9</v>
      </c>
      <c r="HV20"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14.9</v>
      </c>
      <c r="HW20"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14.9</v>
      </c>
      <c r="HX20"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11.78</v>
      </c>
      <c r="HY20"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20"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11.78</v>
      </c>
      <c r="IA20"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20"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9.51</v>
      </c>
      <c r="IC20"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9.51</v>
      </c>
      <c r="ID20"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9.51</v>
      </c>
      <c r="IE20"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9.51</v>
      </c>
      <c r="IF20"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9.2100000000000009</v>
      </c>
      <c r="IG20"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9.2100000000000009</v>
      </c>
      <c r="IH20"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9.2100000000000009</v>
      </c>
      <c r="II20"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9.2100000000000009</v>
      </c>
      <c r="IJ20"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20"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20"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20"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20"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20"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20"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8.91</v>
      </c>
      <c r="IQ20"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8.91</v>
      </c>
      <c r="IR20"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9.01</v>
      </c>
      <c r="IS20"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9.01</v>
      </c>
      <c r="IT20"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9.01</v>
      </c>
      <c r="IU20"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9.01</v>
      </c>
      <c r="IV20"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20"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20"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20"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20"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20"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20"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20"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20"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9.3699999999999992</v>
      </c>
      <c r="JE20"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9.3699999999999992</v>
      </c>
      <c r="JF20"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9.3699999999999992</v>
      </c>
      <c r="JG20"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9.3699999999999992</v>
      </c>
      <c r="JH20"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9.3699999999999992</v>
      </c>
      <c r="JI20"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9.3699999999999992</v>
      </c>
      <c r="JJ20"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9.3699999999999992</v>
      </c>
      <c r="JK20"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9.3699999999999992</v>
      </c>
      <c r="JL20"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20"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20"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20"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20"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10</v>
      </c>
      <c r="JQ20"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10</v>
      </c>
      <c r="JR20"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10</v>
      </c>
      <c r="JS20"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10</v>
      </c>
      <c r="JT20"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20"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20"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20"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20"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0"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0"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0"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0"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10</v>
      </c>
      <c r="KC20" s="21">
        <f>SUM(DATA[[#This Row],[Care Assistant 1: Numbers employed (Full Time Equivalent)]],DATA[[#This Row],[Care Assistant 2: Numbers employed (Full Time Equivalent)]],DATA[[#This Row],[Care Assistant 3: Numbers employed (Full Time Equivalent)]],DATA[[#This Row],[Care Assistant 4: Numbers employed (Full Time Equivalent)]])</f>
        <v>40</v>
      </c>
      <c r="KD20" s="21">
        <f>SUM(DATA[[#This Row],[Administrative Officer 1: Numbers employed (Full Time Equivalent)]],DATA[[#This Row],[Administrative Officer 2: Numbers employed (Full Time Equivalent)]])</f>
        <v>2</v>
      </c>
      <c r="KE20" s="21">
        <f>SUM(DATA[[#This Row],[Other staff 1: Numbers employed (Full Time Equivalent)]],DATA[[#This Row],[Other staff 2: Numbers employed (Full Time Equivalent)]],DATA[[#This Row],[Other staff 3: Numbers employed (Full Time Equivalent)]])</f>
        <v>1</v>
      </c>
      <c r="KF20" s="21">
        <f>SUM(DATA[[#This Row],[Total FTE Management Employees]:[Total FTE Other Employees]])</f>
        <v>53</v>
      </c>
      <c r="KG20" s="21" t="str">
        <f>IF(SUM(DATA[[#This Row],[Home Support service split percentage (Expenditure):]],DATA[[#This Row],[Supported Living service split percentage (Expenditure):]])&gt;0, IF(DATA[[#This Row],[Home Support service split percentage (Expenditure):]]&gt;0.5,"Home Support","Supported Living"), "Unknown")</f>
        <v>Supported Living</v>
      </c>
      <c r="KH20" s="21">
        <f>SUM(DATA[[#This Row],[Home Support: Birmingham City Council]:[Home Support: Self-funded]])</f>
        <v>0</v>
      </c>
      <c r="KI20" s="21">
        <f>SUM(DATA[[#This Row],[Supported Living: Birmingham City Council]:[Supported Living: Self-funded]])</f>
        <v>1914.8</v>
      </c>
      <c r="KJ20"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20"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20"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20"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20" s="21" t="b">
        <f>SUM(DATA[[#This Row],[Number of hours of care charged for in last full accounting year]:[Corporate Overheads: Other  - please specify (category) 1]])&gt;0</f>
        <v>1</v>
      </c>
      <c r="KO20" s="21">
        <f>SUM(DATA[[#This Row],[Total annual expenditure: Management staff]:[Total annual expenditure: Training and development]])</f>
        <v>1280883.95</v>
      </c>
      <c r="KP20" s="21">
        <f>SUM(DATA[[#This Row],[Recruitment &amp; advertising (including DBS checks)]:[Non-Staffing Direct Cost: Other  - please specify (amount) 2]])</f>
        <v>15132</v>
      </c>
      <c r="KQ20" s="21">
        <f>SUM(DATA[[#This Row],[Insurance ]:[Indirect costs: Other 2 - please specify (amount)]])</f>
        <v>30603.27</v>
      </c>
      <c r="KR20" s="21">
        <f>SUM(DATA[[#This Row],[Central / Regional Management]],DATA[[#This Row],[Support Services (finance / HR / Payroll / legal etc.)]],DATA[[#This Row],[Corporate Overheads: Other  - please specify (amount) 1]],DATA[[#This Row],[Corporate Overheads: Other  - please specify (amount) 2]])</f>
        <v>35750</v>
      </c>
      <c r="KS20"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3.2560139285714285</v>
      </c>
      <c r="KT20"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11.239096309523809</v>
      </c>
      <c r="KU20"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0.44075190476190479</v>
      </c>
      <c r="KV20" s="30">
        <f>IF(OR(NOT(DATA[[#This Row],[Total annual expenditure: Other staff]]&gt;0),NOT(DATA[[#This Row],[Number of hours of care charged for in last full accounting year]]&gt;0)),0,DATA[[#This Row],[Total annual expenditure: Other staff]]/DATA[[#This Row],[Number of hours of care charged for in last full accounting year]])</f>
        <v>6.271821428571428E-2</v>
      </c>
      <c r="KW20" s="30">
        <f>IF(OR(NOT(DATA[[#This Row],[Total annual expenditure: Agency staff]]&gt;0),NOT(DATA[[#This Row],[Number of hours of care charged for in last full accounting year]]&gt;0)),0,DATA[[#This Row],[Total annual expenditure: Agency staff]]/DATA[[#This Row],[Number of hours of care charged for in last full accounting year]])</f>
        <v>0.11714285714285715</v>
      </c>
      <c r="KX20" s="30">
        <f>IF(OR(NOT(DATA[[#This Row],[Total annual expenditure: Travel Cost]]&gt;0),NOT(DATA[[#This Row],[Number of hours of care charged for in last full accounting year]]&gt;0)),0,DATA[[#This Row],[Total annual expenditure: Travel Cost]]/DATA[[#This Row],[Number of hours of care charged for in last full accounting year]])</f>
        <v>1.2380952380952381E-2</v>
      </c>
      <c r="KY20"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20"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0.12051428571428573</v>
      </c>
      <c r="LA20"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1.7285714285714286E-2</v>
      </c>
      <c r="LB20"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5.6547619047619046E-3</v>
      </c>
      <c r="LC20" s="30">
        <f>IF(OR(NOT(DATA[[#This Row],[Care consumables &amp; uniforms]]&gt;0),NOT(DATA[[#This Row],[Number of hours of care charged for in last full accounting year]]&gt;0)),0,DATA[[#This Row],[Care consumables &amp; uniforms]]/DATA[[#This Row],[Number of hours of care charged for in last full accounting year]])</f>
        <v>2.976190476190476E-2</v>
      </c>
      <c r="LD20" s="30">
        <f>IF(OR(NOT(DATA[[#This Row],[Electronic call monitoring]]&gt;0),NOT(DATA[[#This Row],[Number of hours of care charged for in last full accounting year]]&gt;0)),0,DATA[[#This Row],[Electronic call monitoring]]/DATA[[#This Row],[Number of hours of care charged for in last full accounting year]])</f>
        <v>9.9357142857142852E-2</v>
      </c>
      <c r="LE20" s="30">
        <f>IF(OR(NOT(DATA[[#This Row],[IT Equipment &amp; Telephoney]]&gt;0),NOT(DATA[[#This Row],[Number of hours of care charged for in last full accounting year]]&gt;0)),0,DATA[[#This Row],[IT Equipment &amp; Telephoney]]/DATA[[#This Row],[Number of hours of care charged for in last full accounting year]])</f>
        <v>2.8083333333333332E-2</v>
      </c>
      <c r="LF20"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20"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20" s="30">
        <f>IF(OR(NOT(DATA[[#This Row],[Insurance ]]&gt;0),NOT(DATA[[#This Row],[Number of hours of care charged for in last full accounting year]]&gt;0)),0,DATA[[#This Row],[Insurance ]]/DATA[[#This Row],[Number of hours of care charged for in last full accounting year]])</f>
        <v>5.4593571428571422E-2</v>
      </c>
      <c r="LI20"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7.5700000000000003E-3</v>
      </c>
      <c r="LJ20" s="30">
        <f>IF(OR(NOT(DATA[[#This Row],[Repairs and maintenance]]&gt;0),NOT(DATA[[#This Row],[Number of hours of care charged for in last full accounting year]]&gt;0)),0,DATA[[#This Row],[Repairs and maintenance]]/DATA[[#This Row],[Number of hours of care charged for in last full accounting year]])</f>
        <v>9.1289642857142861E-2</v>
      </c>
      <c r="LK20"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0.17857142857142858</v>
      </c>
      <c r="LL20" s="30">
        <f>IF(OR(NOT(DATA[[#This Row],[Registration &amp; Inspection fees ]]&gt;0),NOT(DATA[[#This Row],[Number of hours of care charged for in last full accounting year]]&gt;0)),0,DATA[[#This Row],[Registration &amp; Inspection fees ]]/DATA[[#This Row],[Number of hours of care charged for in last full accounting year]])</f>
        <v>2.9357142857142856E-2</v>
      </c>
      <c r="LM20" s="30">
        <f>IF(OR(NOT(DATA[[#This Row],[Subscriptions]]&gt;0),NOT(DATA[[#This Row],[Number of hours of care charged for in last full accounting year]]&gt;0)),0,DATA[[#This Row],[Subscriptions]]/DATA[[#This Row],[Number of hours of care charged for in last full accounting year]])</f>
        <v>2.9428571428571429E-3</v>
      </c>
      <c r="LN20" s="30">
        <f>IF(OR(NOT(DATA[[#This Row],[Cost of finance]]&gt;0),NOT(DATA[[#This Row],[Number of hours of care charged for in last full accounting year]]&gt;0)),0,DATA[[#This Row],[Cost of finance]]/DATA[[#This Row],[Number of hours of care charged for in last full accounting year]])</f>
        <v>0</v>
      </c>
      <c r="LO20" s="30">
        <f>IF(OR(NOT(DATA[[#This Row],[Other non-staff current expenses]]&gt;0),NOT(DATA[[#This Row],[Number of hours of care charged for in last full accounting year]]&gt;0)),0,DATA[[#This Row],[Other non-staff current expenses]]/DATA[[#This Row],[Number of hours of care charged for in last full accounting year]])</f>
        <v>0</v>
      </c>
      <c r="LP20"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20"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20" s="30">
        <f>IF(OR(NOT(DATA[[#This Row],[Central / Regional Management]]&gt;0),NOT(DATA[[#This Row],[Number of hours of care charged for in last full accounting year]]&gt;0)),0,DATA[[#This Row],[Central / Regional Management]]/DATA[[#This Row],[Number of hours of care charged for in last full accounting year]])</f>
        <v>0.4017857142857143</v>
      </c>
      <c r="LS20"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2.3809523809523808E-2</v>
      </c>
      <c r="LT20"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0"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0" s="30">
        <f>SUM(DATA[[#This Row],[Management staff HOURLY RATE]:[Corporate Overheads: Other  - please specify (amount) 2 HOURLY RATE]])</f>
        <v>16.218681190476193</v>
      </c>
      <c r="LW20" s="30">
        <f>IF(OR(NOT(DATA[[#This Row],[Net Operating Profit]]&gt;0),NOT(DATA[[#This Row],[Number of hours of care charged for in last full accounting year]]&gt;0)),"",DATA[[#This Row],[Net Operating Profit]]/DATA[[#This Row],[Number of hours of care charged for in last full accounting year]])</f>
        <v>1.1300833333333333</v>
      </c>
      <c r="LX20" s="30">
        <f>IF(OR(NOT(DATA[[#This Row],[Return on Capital employed]]&gt;0),NOT(DATA[[#This Row],[Number of hours of care charged for in last full accounting year]]&gt;0)),0,DATA[[#This Row],[Return on Capital employed]]/DATA[[#This Row],[Number of hours of care charged for in last full accounting year]])</f>
        <v>1.1300833333333333</v>
      </c>
      <c r="LY20" s="31">
        <v>14</v>
      </c>
      <c r="LZ20" s="30" t="s">
        <v>345</v>
      </c>
      <c r="MA20" s="30" t="b">
        <f>DATA[[#This Row],[Number of Home support clients:]]&gt;0</f>
        <v>1</v>
      </c>
      <c r="MB20" s="30" t="b">
        <f>DATA[[#This Row],[Number of supported living clients:]]&gt;0</f>
        <v>1</v>
      </c>
      <c r="MC20" s="30" t="b">
        <f>DATA[[#This Row],[Total Home Support Hours]]&gt;0</f>
        <v>0</v>
      </c>
      <c r="MD20" s="30" t="b">
        <f>DATA[[#This Row],[Total Supported Living Hours]]&gt;0</f>
        <v>1</v>
      </c>
      <c r="ME20" s="30" t="b">
        <f>DATA[[#This Row],[Home Support service split percentage (Expenditure):]]&gt;0.5</f>
        <v>0</v>
      </c>
      <c r="MF20" s="30" t="b">
        <f>DATA[[#This Row],[Agency staff HOURLY RATE]]=0</f>
        <v>0</v>
      </c>
      <c r="MG20" s="30">
        <f>IFERROR(IF(AVERAGE(DATA[[#This Row],[Registered manager: Current 2021/22 Minimum hourly pay rate ADJUSTED]],DATA[[#This Row],[Registered manager: Current 2021/22 Maximum hourly pay rate ADJUSTED]])&lt;LIVING_WAGE_22_23,DATA[[#This Row],[Registered manager: Numbers employed (Full Time Equivalent)]],0),"")</f>
        <v>0</v>
      </c>
      <c r="MH20" s="30">
        <f>IFERROR(IF(AVERAGE(DATA[[#This Row],[Deputy manager: Current 2021/22 Minimum hourly pay rate ADJUSTED]],DATA[[#This Row],[Deputy manager: Current 2021/22 Maximum hourly pay rate ADJUSTED]])&lt;LIVING_WAGE_22_23,DATA[[#This Row],[Deputy manager: Numbers employed (Full Time Equivalent)]],0),"")</f>
        <v>0</v>
      </c>
      <c r="MI20" s="30">
        <f>IFERROR(IF(AVERAGE(DATA[[#This Row],[Other manager 1: Current 2021/22 Minimum hourly pay rate ADJUSTED]],DATA[[#This Row],[Other manager 1: Current 2021/22 Maximum hourly pay rate ADJUSTED]])&lt;LIVING_WAGE_22_23,DATA[[#This Row],[Other manager 1: Numbers employed (Full Time Equivalent)]],0),"")</f>
        <v>0</v>
      </c>
      <c r="MJ20" s="30">
        <f>IFERROR(IF(AVERAGE(DATA[[#This Row],[Other manager 2: Current 2021/22 Minimum hourly pay rate ADJUSTED]],DATA[[#This Row],[Other manager 2: Current 2021/22 Maximum hourly pay rate ADJUSTED]])&lt;LIVING_WAGE_22_23,DATA[[#This Row],[Other manager 2: Numbers employed (Full Time Equivalent)]],0),"")</f>
        <v>4</v>
      </c>
      <c r="MK20" s="30" t="str">
        <f>IFERROR(IF(AVERAGE(DATA[[#This Row],[Other manager 3: Current 2021/22 Minimum hourly pay rate ADJUSTED]],DATA[[#This Row],[Other manager 3: Current 2021/22 Maximum hourly pay rate ADJUSTED]])&lt;LIVING_WAGE_22_23,DATA[[#This Row],[Other manager 3: Numbers employed (Full Time Equivalent)]],0),"")</f>
        <v/>
      </c>
      <c r="ML20" s="30">
        <f>IFERROR(IF(AVERAGE(DATA[[#This Row],[Care Assistant 1: Current 2021/22 Minimum hourly pay rate ADJUSTED]],DATA[[#This Row],[Care Assistant 1: Current 2021/22 Maximum hourly pay rate ADJUSTED]])&lt;LIVING_WAGE_22_23,DATA[[#This Row],[Care Assistant 1: Numbers employed (Full Time Equivalent)]],0),"")</f>
        <v>20</v>
      </c>
      <c r="MM20" s="30">
        <f>IFERROR(IF(AVERAGE(DATA[[#This Row],[Care Assistant 2: Current 2021/22 Minimum hourly pay rate ADJUSTED]],DATA[[#This Row],[Care Assistant 2: Current 2021/22 Maximum hourly pay rate ADJUSTED]])&lt;LIVING_WAGE_22_23,DATA[[#This Row],[Care Assistant 2: Numbers employed (Full Time Equivalent)]],0),"")</f>
        <v>20</v>
      </c>
      <c r="MN20" s="30" t="str">
        <f>IFERROR(IF(AVERAGE(DATA[[#This Row],[Care Assistant 3: Current 2021/22 Minimum hourly pay rate ADJUSTED]],DATA[[#This Row],[Care Assistant 3: Current 2021/22 Maximum hourly pay rate ADJUSTED]])&lt;LIVING_WAGE_22_23,DATA[[#This Row],[Care Assistant 3: Numbers employed (Full Time Equivalent)]],0),"")</f>
        <v/>
      </c>
      <c r="MO20" s="30" t="str">
        <f>IFERROR(IF(AVERAGE(DATA[[#This Row],[Care Assistant 4: Current 2021/22 Minimum hourly pay rate ADJUSTED]],DATA[[#This Row],[Care Assistant 4: Current 2021/22 Maximum hourly pay rate ADJUSTED]])&lt;LIVING_WAGE_22_23,DATA[[#This Row],[Care Assistant 4: Numbers employed (Full Time Equivalent)]],0),"")</f>
        <v/>
      </c>
      <c r="MP20"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20"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1</v>
      </c>
      <c r="MR20" s="30">
        <f>IFERROR(IF(AVERAGE(DATA[[#This Row],[Other staff 1: Current 2021/22 Minimum hourly pay rate ADJUSTED]],DATA[[#This Row],[Other staff 1: Current 2021/22 Maximum hourly pay rate ADJUSTED]])&lt;LIVING_WAGE_22_23,DATA[[#This Row],[Other staff 1: Numbers employed (Full Time Equivalent)]],0),"")</f>
        <v>0</v>
      </c>
      <c r="MS20" s="30" t="str">
        <f>IFERROR(IF(AVERAGE(DATA[[#This Row],[Other staff 2: Current 2021/22 Minimum hourly pay rate ADJUSTED]],DATA[[#This Row],[Other staff 2: Current 2021/22 Maximum hourly pay rate ADJUSTED]])&lt;LIVING_WAGE_22_23,DATA[[#This Row],[Other staff 2: Numbers employed (Full Time Equivalent)]],0),"")</f>
        <v/>
      </c>
      <c r="MT20" s="30" t="str">
        <f>IFERROR(IF(AVERAGE(DATA[[#This Row],[Other staff 3: Current 2021/22 Minimum hourly pay rate ADJUSTED]],DATA[[#This Row],[Other staff 3: Current 2021/22 Maximum hourly pay rate ADJUSTED]])&lt;LIVING_WAGE_22_23,DATA[[#This Row],[Other staff 3: Numbers employed (Full Time Equivalent)]],0),"")</f>
        <v/>
      </c>
      <c r="MU20" s="30">
        <f>SUM(DATA[[#This Row],[Registered Manager FTE earning less than NLW 23yrs 2022/23]:[Other staff 3 FTE earning less than NLW 23yrs 2022/23]])</f>
        <v>46</v>
      </c>
      <c r="MV20"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20"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20"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20"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1.1599999999999966</v>
      </c>
      <c r="MZ20"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20"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11.799999999999997</v>
      </c>
      <c r="NB20"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9.8000000000000043</v>
      </c>
      <c r="NC20"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20"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20"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0.13000000000000078</v>
      </c>
      <c r="NF20"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0.13000000000000078</v>
      </c>
      <c r="NG20"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20"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20"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0" s="30" t="b">
        <v>0</v>
      </c>
      <c r="NK20" s="30" t="b">
        <v>1</v>
      </c>
      <c r="NL20" s="30" t="s">
        <v>972</v>
      </c>
      <c r="NM20" s="30">
        <f>SUM(DATA[[#This Row],[Management staff HOURLY RATE]:[Training and development HOURLY RATE]])</f>
        <v>15.248618452380954</v>
      </c>
      <c r="NN20" s="30">
        <f>SUM(DATA[[#This Row],[Recruitment &amp; advertising (including DBS checks) HOURLY RATE]:[Non-Staffing Direct Cost: Other  - please specify (amount) 2 HOURLY RATE]])</f>
        <v>0.18014285714285713</v>
      </c>
      <c r="NO20" s="30">
        <f>SUM(DATA[[#This Row],[Insurance  HOURLY RATE]:[Indirect costs: Other  - please specify (amount) 2 HOURLY RATE]])</f>
        <v>0.36432464285714283</v>
      </c>
      <c r="NP20" s="30">
        <f>SUM(DATA[[#This Row],[Central / Regional Management HOURLY RATE]:[Corporate Overheads: Other  - please specify (amount) 2 HOURLY RATE]])</f>
        <v>0.42559523809523814</v>
      </c>
      <c r="NQ20"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20" s="30">
        <f>IFERROR(IF(AVERAGE(DATA[[#This Row],[Deputy manager: Current 2021/22 Minimum hourly pay rate ADJUSTED]],DATA[[#This Row],[Deputy manager: Current 2021/22 Maximum hourly pay rate ADJUSTED]])&lt;REAL_LIVING_WAGE_22_23,DATA[[#This Row],[Deputy manager: Numbers employed (Full Time Equivalent)]],0),"")</f>
        <v>0</v>
      </c>
      <c r="NS20" s="30">
        <f>IFERROR(IF(AVERAGE(DATA[[#This Row],[Other manager 1: Current 2021/22 Minimum hourly pay rate ADJUSTED]],DATA[[#This Row],[Other manager 1: Current 2021/22 Maximum hourly pay rate ADJUSTED]])&lt;REAL_LIVING_WAGE_22_23,DATA[[#This Row],[Other manager 1: Numbers employed (Full Time Equivalent)]],0),"")</f>
        <v>3</v>
      </c>
      <c r="NT20" s="30">
        <f>IFERROR(IF(AVERAGE(DATA[[#This Row],[Other manager 2: Current 2021/22 Minimum hourly pay rate ADJUSTED]],DATA[[#This Row],[Other manager 2: Current 2021/22 Maximum hourly pay rate ADJUSTED]])&lt;REAL_LIVING_WAGE_22_23,DATA[[#This Row],[Other manager 2: Numbers employed (Full Time Equivalent)]],0),"")</f>
        <v>4</v>
      </c>
      <c r="NU20" s="30" t="str">
        <f>IFERROR(IF(AVERAGE(DATA[[#This Row],[Other manager 3: Current 2021/22 Minimum hourly pay rate ADJUSTED]],DATA[[#This Row],[Other manager 3: Current 2021/22 Maximum hourly pay rate ADJUSTED]])&lt;REAL_LIVING_WAGE_22_23,DATA[[#This Row],[Other manager 3: Numbers employed (Full Time Equivalent)]],0),"")</f>
        <v/>
      </c>
      <c r="NV20" s="30">
        <f>IFERROR(IF(AVERAGE(DATA[[#This Row],[Care Assistant 1: Current 2021/22 Minimum hourly pay rate ADJUSTED]],DATA[[#This Row],[Care Assistant 1: Current 2021/22 Maximum hourly pay rate ADJUSTED]])&lt;REAL_LIVING_WAGE_22_23,DATA[[#This Row],[Care Assistant 1: Numbers employed (Full Time Equivalent)]],0),"")</f>
        <v>20</v>
      </c>
      <c r="NW20" s="30">
        <f>IFERROR(IF(AVERAGE(DATA[[#This Row],[Care Assistant 2: Current 2021/22 Minimum hourly pay rate ADJUSTED]],DATA[[#This Row],[Care Assistant 2: Current 2021/22 Maximum hourly pay rate ADJUSTED]])&lt;REAL_LIVING_WAGE_22_23,DATA[[#This Row],[Care Assistant 2: Numbers employed (Full Time Equivalent)]],0),"")</f>
        <v>20</v>
      </c>
      <c r="NX20"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20"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20"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20"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1</v>
      </c>
      <c r="OB20" s="30">
        <f>IFERROR(IF(AVERAGE(DATA[[#This Row],[Other staff 1: Current 2021/22 Minimum hourly pay rate ADJUSTED]],DATA[[#This Row],[Other staff 1: Current 2021/22 Maximum hourly pay rate ADJUSTED]])&lt;REAL_LIVING_WAGE_22_23,DATA[[#This Row],[Other staff 1: Numbers employed (Full Time Equivalent)]],0),"")</f>
        <v>0</v>
      </c>
      <c r="OC20" s="30" t="str">
        <f>IFERROR(IF(AVERAGE(DATA[[#This Row],[Other staff 2: Current 2021/22 Minimum hourly pay rate ADJUSTED]],DATA[[#This Row],[Other staff 2: Current 2021/22 Maximum hourly pay rate ADJUSTED]])&lt;REAL_LIVING_WAGE_22_23,DATA[[#This Row],[Other staff 2: Numbers employed (Full Time Equivalent)]],0),"")</f>
        <v/>
      </c>
      <c r="OD20" s="30" t="str">
        <f>IFERROR(IF(AVERAGE(DATA[[#This Row],[Other staff 3: Current 2021/22 Minimum hourly pay rate ADJUSTED]],DATA[[#This Row],[Other staff 3: Current 2021/22 Maximum hourly pay rate ADJUSTED]])&lt;REAL_LIVING_WAGE_22_23,DATA[[#This Row],[Other staff 3: Numbers employed (Full Time Equivalent)]],0),"")</f>
        <v/>
      </c>
      <c r="OE20" s="30">
        <f>SUM(DATA[[#This Row],[Registered Manager FTE earning less than RLW 23yrs 2022/23]:[Other staff 3 FTE earning less than RLW 23yrs 2022/23]])</f>
        <v>49</v>
      </c>
      <c r="OF20"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20"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20"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1.1700000000000017</v>
      </c>
      <c r="OI20"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2.759999999999998</v>
      </c>
      <c r="OJ20"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20"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19.800000000000004</v>
      </c>
      <c r="OL20"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17.800000000000011</v>
      </c>
      <c r="OM20"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20"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20"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0.53000000000000114</v>
      </c>
      <c r="OP20"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0.53000000000000114</v>
      </c>
      <c r="OQ20"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20"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20"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0" s="30">
        <f>IFERROR(IF(DATA[[#This Row],[Registered manager: Numbers employed (Full Time Equivalent)]]=0,"",DATA[[#This Row],[Registered manager: Current 2021/22 Minimum hourly pay rate ADJUSTED 2]]*DATA[[#This Row],[Registered manager: Numbers employed (Full Time Equivalent)]]),"")</f>
        <v>14.9</v>
      </c>
      <c r="OU20" s="30">
        <f>IFERROR(IF(DATA[[#This Row],[Registered manager: Numbers employed (Full Time Equivalent)]]=0,"",DATA[[#This Row],[Registered manager: Current 2021/22 Maximum hourly pay rate ADJUSTED 2]]*DATA[[#This Row],[Registered manager: Numbers employed (Full Time Equivalent)]]),"")</f>
        <v>14.9</v>
      </c>
      <c r="OV20" s="30">
        <f>IFERROR(IF(DATA[[#This Row],[Registered manager: Numbers employed (Full Time Equivalent)]]=0,"",DATA[[#This Row],[Registered manager: Previous 2020/21 Minimum hourly pay rate ADJUSTED 2]]*DATA[[#This Row],[Registered manager: Numbers employed (Full Time Equivalent)]]),"")</f>
        <v>14.9</v>
      </c>
      <c r="OW20" s="30">
        <f>IFERROR(IF(DATA[[#This Row],[Registered manager: Numbers employed (Full Time Equivalent)]]=0,"",DATA[[#This Row],[Registered manager: Previous 2020/21 Maximum hourly pay rate ADJUSTED 2]]*DATA[[#This Row],[Registered manager: Numbers employed (Full Time Equivalent)]]),"")</f>
        <v>14.9</v>
      </c>
      <c r="OX20" s="30">
        <f>IFERROR(IF(DATA[[#This Row],[Deputy manager: Numbers employed (Full Time Equivalent)]]=0,"",DATA[[#This Row],[Deputy manager: Current 2021/22 Minimum hourly pay rate ADJUSTED 2]]*DATA[[#This Row],[Deputy manager: Numbers employed (Full Time Equivalent)]]),"")</f>
        <v>23.56</v>
      </c>
      <c r="OY20" s="30" t="str">
        <f>IFERROR(IF(DATA[[#This Row],[Deputy manager: Numbers employed (Full Time Equivalent)]]=0,"",DATA[[#This Row],[Deputy manager: Current 2021/22 Maximum hourly pay rate ADJUSTED 2]]*DATA[[#This Row],[Deputy manager: Numbers employed (Full Time Equivalent)]]),"")</f>
        <v/>
      </c>
      <c r="OZ20" s="30">
        <f>IFERROR(IF(DATA[[#This Row],[Deputy manager: Numbers employed (Full Time Equivalent)]]=0,"",DATA[[#This Row],[Deputy manager: Previous 2020/21 Minimum hourly pay rate ADJUSTED 2]]*DATA[[#This Row],[Deputy manager: Numbers employed (Full Time Equivalent)]]),"")</f>
        <v>23.56</v>
      </c>
      <c r="PA20" s="30" t="str">
        <f>IFERROR(IF(DATA[[#This Row],[Deputy manager: Numbers employed (Full Time Equivalent)]]=0,"",DATA[[#This Row],[Deputy manager: Previous 2020/21 Maximum hourly pay rate ADJUSTED 2]]*DATA[[#This Row],[Deputy manager: Numbers employed (Full Time Equivalent)]]),"")</f>
        <v/>
      </c>
      <c r="PB20" s="30">
        <f>IFERROR(IF(DATA[[#This Row],[Other manager 1: Numbers employed (Full Time Equivalent)]]=0,"",DATA[[#This Row],[Other manager 1: Current 2021/22 Minimum hourly pay rate ADJUSTED 2]]*DATA[[#This Row],[Other manager 1: Numbers employed (Full Time Equivalent)]]),"")</f>
        <v>28.53</v>
      </c>
      <c r="PC20" s="30">
        <f>IFERROR(IF(DATA[[#This Row],[Other manager 1: Numbers employed (Full Time Equivalent)]]=0,"",DATA[[#This Row],[Other manager 1: Current 2021/22 Maximum hourly pay rate ADJUSTED 2]]*DATA[[#This Row],[Other manager 1: Numbers employed (Full Time Equivalent)]]),"")</f>
        <v>28.53</v>
      </c>
      <c r="PD20" s="30">
        <f>IFERROR(IF(DATA[[#This Row],[Other manager 1: Numbers employed (Full Time Equivalent)]]=0,"",DATA[[#This Row],[Other manager 1: Previous 2020/21 Minimum hourly pay rate ADJUSTED 2]]*DATA[[#This Row],[Other manager 1: Numbers employed (Full Time Equivalent)]]),"")</f>
        <v>28.53</v>
      </c>
      <c r="PE20" s="30">
        <f>IFERROR(IF(DATA[[#This Row],[Other manager 1: Numbers employed (Full Time Equivalent)]]=0,"",DATA[[#This Row],[Other manager 1: Previous 2020/21 Maximum hourly pay rate ADJUSTED 2]]*DATA[[#This Row],[Other manager 1: Numbers employed (Full Time Equivalent)]]),"")</f>
        <v>28.53</v>
      </c>
      <c r="PF20" s="30">
        <f>IFERROR(IF(DATA[[#This Row],[Other manager 2: Numbers employed (Full Time Equivalent)]]=0,"",DATA[[#This Row],[Other manager 2: Current 2021/22 Minimum hourly pay rate ADJUSTED 2]]*DATA[[#This Row],[Other manager 2: Numbers employed (Full Time Equivalent)]]),"")</f>
        <v>36.840000000000003</v>
      </c>
      <c r="PG20" s="30">
        <f>IFERROR(IF(DATA[[#This Row],[Other manager 2: Numbers employed (Full Time Equivalent)]]=0,"",DATA[[#This Row],[Other manager 2: Current 2021/22 Maximum hourly pay rate ADJUSTED 2]]*DATA[[#This Row],[Other manager 2: Numbers employed (Full Time Equivalent)]]),"")</f>
        <v>36.840000000000003</v>
      </c>
      <c r="PH20" s="30">
        <f>IFERROR(IF(DATA[[#This Row],[Other manager 2: Numbers employed (Full Time Equivalent)]]=0,"",DATA[[#This Row],[Other manager 2: Previous 2020/21 Minimum hourly pay rate ADJUSTED 2]]*DATA[[#This Row],[Other manager 2: Numbers employed (Full Time Equivalent)]]),"")</f>
        <v>36.840000000000003</v>
      </c>
      <c r="PI20" s="30">
        <f>IFERROR(IF(DATA[[#This Row],[Other manager 2: Numbers employed (Full Time Equivalent)]]=0,"",DATA[[#This Row],[Other manager 2: Previous 2020/21 Maximum hourly pay rate ADJUSTED 2]]*DATA[[#This Row],[Other manager 2: Numbers employed (Full Time Equivalent)]]),"")</f>
        <v>36.840000000000003</v>
      </c>
      <c r="PJ20" s="30" t="str">
        <f>IFERROR(IF(DATA[[#This Row],[Other manager 3: Numbers employed (Full Time Equivalent)]]=0,"",DATA[[#This Row],[Other manager 3: Current 2021/22 Minimum hourly pay rate ADJUSTED 2]]*DATA[[#This Row],[Other manager 3: Numbers employed (Full Time Equivalent)]]),"")</f>
        <v/>
      </c>
      <c r="PK20" s="30" t="str">
        <f>IFERROR(IF(DATA[[#This Row],[Other manager 3: Numbers employed (Full Time Equivalent)]]=0,"",DATA[[#This Row],[Other manager 3: Current 2021/22 Maximum hourly pay rate ADJUSTED 2]]*DATA[[#This Row],[Other manager 3: Numbers employed (Full Time Equivalent)]]),"")</f>
        <v/>
      </c>
      <c r="PL20" s="30" t="str">
        <f>IFERROR(IF(DATA[[#This Row],[Other manager 3: Numbers employed (Full Time Equivalent)]]=0,"",DATA[[#This Row],[Other manager 3: Previous 2020/21 Minimum hourly pay rate ADJUSTED 2]]*DATA[[#This Row],[Other manager 3: Numbers employed (Full Time Equivalent)]]),"")</f>
        <v/>
      </c>
      <c r="PM20" s="30" t="str">
        <f>IFERROR(IF(DATA[[#This Row],[Other manager 3: Numbers employed (Full Time Equivalent)]]=0,"",DATA[[#This Row],[Other manager 3: Previous 2020/21 Maximum hourly pay rate ADJUSTED 2]]*DATA[[#This Row],[Other manager 3: Numbers employed (Full Time Equivalent)]]),"")</f>
        <v/>
      </c>
      <c r="PN20" s="30">
        <f>IFERROR(IF(DATA[[#This Row],[Care Assistant 1: Numbers employed (Full Time Equivalent)]]=0,"",DATA[[#This Row],[Care Assistant 1: Current 2021/22 Minimum hourly pay rate ADJUSTED 2]]*DATA[[#This Row],[Care Assistant 1: Numbers employed (Full Time Equivalent)]]),"")</f>
        <v>178.2</v>
      </c>
      <c r="PO20" s="30">
        <f>IFERROR(IF(DATA[[#This Row],[Care Assistant 1: Numbers employed (Full Time Equivalent)]]=0,"",DATA[[#This Row],[Care Assistant 1: Current 2021/22 Maximum hourly pay rate ADJUSTED 2]]*DATA[[#This Row],[Care Assistant 1: Numbers employed (Full Time Equivalent)]]),"")</f>
        <v>178.2</v>
      </c>
      <c r="PP20" s="30">
        <f>IFERROR(IF(DATA[[#This Row],[Care Assistant 1: Numbers employed (Full Time Equivalent)]]=0,"",DATA[[#This Row],[Care Assistant 1: Previous 2020/21 Minimum hourly pay rate ADJUSTED 2]]*DATA[[#This Row],[Care Assistant 1: Numbers employed (Full Time Equivalent)]]),"")</f>
        <v>178.2</v>
      </c>
      <c r="PQ20" s="30">
        <f>IFERROR(IF(DATA[[#This Row],[Care Assistant 1: Numbers employed (Full Time Equivalent)]]=0,"",DATA[[#This Row],[Care Assistant 1: Previous 2020/21 Maximum hourly pay rate ADJUSTED 2]]*DATA[[#This Row],[Care Assistant 1: Numbers employed (Full Time Equivalent)]]),"")</f>
        <v>178.2</v>
      </c>
      <c r="PR20" s="30">
        <f>IFERROR(IF(DATA[[#This Row],[Care Assistant 2: Numbers employed (Full Time Equivalent)]]=0,"",DATA[[#This Row],[Care Assistant 2: Current 2021/22 Minimum hourly pay rate ADJUSTED 2]]*DATA[[#This Row],[Care Assistant 2: Numbers employed (Full Time Equivalent)]]),"")</f>
        <v>180.2</v>
      </c>
      <c r="PS20" s="30">
        <f>IFERROR(IF(DATA[[#This Row],[Care Assistant 2: Numbers employed (Full Time Equivalent)]]=0,"",DATA[[#This Row],[Care Assistant 2: Current 2021/22 Maximum hourly pay rate ADJUSTED 2]]*DATA[[#This Row],[Care Assistant 2: Numbers employed (Full Time Equivalent)]]),"")</f>
        <v>180.2</v>
      </c>
      <c r="PT20" s="30">
        <f>IFERROR(IF(DATA[[#This Row],[Care Assistant 2: Numbers employed (Full Time Equivalent)]]=0,"",DATA[[#This Row],[Care Assistant 2: Previous 2020/21 Minimum hourly pay rate ADJUSTED 2]]*DATA[[#This Row],[Care Assistant 2: Numbers employed (Full Time Equivalent)]]),"")</f>
        <v>180.2</v>
      </c>
      <c r="PU20" s="30">
        <f>IFERROR(IF(DATA[[#This Row],[Care Assistant 2: Numbers employed (Full Time Equivalent)]]=0,"",DATA[[#This Row],[Care Assistant 2: Previous 2020/21 Maximum hourly pay rate ADJUSTED 2]]*DATA[[#This Row],[Care Assistant 2: Numbers employed (Full Time Equivalent)]]),"")</f>
        <v>180.2</v>
      </c>
      <c r="PV20" s="30" t="str">
        <f>IFERROR(IF(DATA[[#This Row],[Care Assistant 3: Numbers employed (Full Time Equivalent)]]=0,"",DATA[[#This Row],[Care Assistant 3: Current 2021/22 Minimum hourly pay rate ADJUSTED 2]]*DATA[[#This Row],[Care Assistant 3: Numbers employed (Full Time Equivalent)]]),"")</f>
        <v/>
      </c>
      <c r="PW20" s="30" t="str">
        <f>IFERROR(IF(DATA[[#This Row],[Care Assistant 3: Numbers employed (Full Time Equivalent)]]=0,"",DATA[[#This Row],[Care Assistant 3: Current 2021/22 Maximum hourly pay rate ADJUSTED 2]]*DATA[[#This Row],[Care Assistant 3: Numbers employed (Full Time Equivalent)]]),"")</f>
        <v/>
      </c>
      <c r="PX20" s="30" t="str">
        <f>IFERROR(IF(DATA[[#This Row],[Care Assistant 3: Numbers employed (Full Time Equivalent)]]=0,"",DATA[[#This Row],[Care Assistant 3: Previous 2020/21 Minimum hourly pay rate ADJUSTED 2]]*DATA[[#This Row],[Care Assistant 3: Numbers employed (Full Time Equivalent)]]),"")</f>
        <v/>
      </c>
      <c r="PY20" s="30" t="str">
        <f>IFERROR(IF(DATA[[#This Row],[Care Assistant 3: Numbers employed (Full Time Equivalent)]]=0,"",DATA[[#This Row],[Care Assistant 3: Previous 2020/21 Maximum hourly pay rate ADJUSTED 2]]*DATA[[#This Row],[Care Assistant 3: Numbers employed (Full Time Equivalent)]]),"")</f>
        <v/>
      </c>
      <c r="PZ20" s="30" t="str">
        <f>IFERROR(IF(DATA[[#This Row],[Care Assistant 4: Numbers employed (Full Time Equivalent)]]=0,"",DATA[[#This Row],[Care Assistant 4: Current 2021/22 Minimum hourly pay rate ADJUSTED 2]]*DATA[[#This Row],[Care Assistant 4: Numbers employed (Full Time Equivalent)]]),"")</f>
        <v/>
      </c>
      <c r="QA20" s="30" t="str">
        <f>IFERROR(IF(DATA[[#This Row],[Care Assistant 4: Numbers employed (Full Time Equivalent)]]=0,"",DATA[[#This Row],[Care Assistant 4: Current 2021/22 Maximum hourly pay rate ADJUSTED 2]]*DATA[[#This Row],[Care Assistant 4: Numbers employed (Full Time Equivalent)]]),"")</f>
        <v/>
      </c>
      <c r="QB20" s="30" t="str">
        <f>IFERROR(IF(DATA[[#This Row],[Care Assistant 4: Numbers employed (Full Time Equivalent)]]=0,"",DATA[[#This Row],[Care Assistant 4: Previous 2020/21 Minimum hourly pay rate ADJUSTED 2]]*DATA[[#This Row],[Care Assistant 4: Numbers employed (Full Time Equivalent)]]),"")</f>
        <v/>
      </c>
      <c r="QC20" s="30" t="str">
        <f>IFERROR(IF(DATA[[#This Row],[Care Assistant 4: Numbers employed (Full Time Equivalent)]]=0,"",DATA[[#This Row],[Care Assistant 4: Previous 2020/21 Maximum hourly pay rate ADJUSTED 2]]*DATA[[#This Row],[Care Assistant 4: Numbers employed (Full Time Equivalent)]]),"")</f>
        <v/>
      </c>
      <c r="QD20" s="30">
        <f>IFERROR(IF(DATA[[#This Row],[Administrative Officer 1: Numbers employed (Full Time Equivalent)]]=0,"",DATA[[#This Row],[Administrative Officer 1: Current 2021/22 Minimum hourly pay rate ADJUSTED 2]]*DATA[[#This Row],[Administrative Officer 1: Numbers employed (Full Time Equivalent)]]),"")</f>
        <v>9.3699999999999992</v>
      </c>
      <c r="QE20" s="30">
        <f>IFERROR(IF(DATA[[#This Row],[Administrative Officer 1: Numbers employed (Full Time Equivalent)]]=0,"",DATA[[#This Row],[Administrative Officer 1: Current 2021/22 Maximum hourly pay rate ADJUSTED 2]]*DATA[[#This Row],[Administrative Officer 1: Numbers employed (Full Time Equivalent)]]),"")</f>
        <v>9.3699999999999992</v>
      </c>
      <c r="QF20" s="30">
        <f>IFERROR(IF(DATA[[#This Row],[Administrative Officer 1: Numbers employed (Full Time Equivalent)]]=0,"",DATA[[#This Row],[Administrative Officer 1: Previous 2020/21 Minimum hourly pay rate ADJUSTED 2]]*DATA[[#This Row],[Administrative Officer 1: Numbers employed (Full Time Equivalent)]]),"")</f>
        <v>9.3699999999999992</v>
      </c>
      <c r="QG20" s="30">
        <f>IFERROR(IF(DATA[[#This Row],[Administrative Officer 1: Numbers employed (Full Time Equivalent)]]=0,"",DATA[[#This Row],[Administrative Officer 1: Previous 2020/21 Maximum hourly pay rate ADJUSTED 2]]*DATA[[#This Row],[Administrative Officer 1: Numbers employed (Full Time Equivalent)]]),"")</f>
        <v>9.3699999999999992</v>
      </c>
      <c r="QH20" s="30">
        <f>IFERROR(IF(DATA[[#This Row],[Administrative Officer 2: Numbers employed (Full Time Equivalent)]]=0,"",DATA[[#This Row],[Administrative Officer 2: Current 2021/22 Minimum hourly pay rate ADJUSTED 2]]*DATA[[#This Row],[Administrative Officer 2: Numbers employed (Full Time Equivalent)]]),"")</f>
        <v>9.3699999999999992</v>
      </c>
      <c r="QI20" s="30">
        <f>IFERROR(IF(DATA[[#This Row],[Administrative Officer 2: Numbers employed (Full Time Equivalent)]]=0,"",DATA[[#This Row],[Administrative Officer 2: Current 2021/22 Maximum hourly pay rate ADJUSTED 2]]*DATA[[#This Row],[Administrative Officer 2: Numbers employed (Full Time Equivalent)]]),"")</f>
        <v>9.3699999999999992</v>
      </c>
      <c r="QJ20" s="30">
        <f>IFERROR(IF(DATA[[#This Row],[Administrative Officer 2: Numbers employed (Full Time Equivalent)]]=0,"",DATA[[#This Row],[Administrative Officer 2: Previous 2020/21 Minimum hourly pay rate ADJUSTED 2]]*DATA[[#This Row],[Administrative Officer 2: Numbers employed (Full Time Equivalent)]]),"")</f>
        <v>9.3699999999999992</v>
      </c>
      <c r="QK20" s="30">
        <f>IFERROR(IF(DATA[[#This Row],[Administrative Officer 2: Numbers employed (Full Time Equivalent)]]=0,"",DATA[[#This Row],[Administrative Officer 2: Previous 2020/21 Maximum hourly pay rate ADJUSTED 2]]*DATA[[#This Row],[Administrative Officer 2: Numbers employed (Full Time Equivalent)]]),"")</f>
        <v>9.3699999999999992</v>
      </c>
      <c r="QL20" s="30" t="str">
        <f>IFERROR(IF(DATA[[#This Row],[Administrative Officer 3: Numbers employed (Full Time Equivalent)]]=0,"",DATA[[#This Row],[Administrative Officer 3: Current 2021/22 Minimum hourly pay rate ADJUSTED 2]]*DATA[[#This Row],[Administrative Officer 3: Numbers employed (Full Time Equivalent)]]),"")</f>
        <v/>
      </c>
      <c r="QM20" s="30" t="str">
        <f>IFERROR(IF(DATA[[#This Row],[Administrative Officer 3: Numbers employed (Full Time Equivalent)]]=0,"",DATA[[#This Row],[Administrative Officer 3: Current 2021/22 Maximum hourly pay rate ADJUSTED 2]]*DATA[[#This Row],[Administrative Officer 3: Numbers employed (Full Time Equivalent)]]),"")</f>
        <v/>
      </c>
      <c r="QN20" s="30" t="str">
        <f>IFERROR(IF(DATA[[#This Row],[Administrative Officer 3: Numbers employed (Full Time Equivalent)]]=0,"",DATA[[#This Row],[Administrative Officer 3: Previous 2020/21 Minimum hourly pay rate ADJUSTED 2]]*DATA[[#This Row],[Administrative Officer 3: Numbers employed (Full Time Equivalent)]]),"")</f>
        <v/>
      </c>
      <c r="QO20" s="30" t="str">
        <f>IFERROR(IF(DATA[[#This Row],[Administrative Officer 3: Numbers employed (Full Time Equivalent)]]=0,"",DATA[[#This Row],[Administrative Officer 3: Previous 2020/21 Maximum hourly pay rate ADJUSTED 2]]*DATA[[#This Row],[Administrative Officer 3: Numbers employed (Full Time Equivalent)]]),"")</f>
        <v/>
      </c>
      <c r="QP20" s="28">
        <f>IFERROR(IF(DATA[[#This Row],[Other staff 1: Numbers employed (Full Time Equivalent)]]=0,"",DATA[[#This Row],[Other staff 1: Current 2021/22 Minimum hourly pay rate ADJUSTED 2]]*DATA[[#This Row],[Other staff 1: Numbers employed (Full Time Equivalent)]]),"")</f>
        <v>10</v>
      </c>
      <c r="QQ20" s="28">
        <f>IFERROR(IF(DATA[[#This Row],[Other staff 1: Numbers employed (Full Time Equivalent)]]=0,"",DATA[[#This Row],[Other staff 1: Current 2021/22 Maximum hourly pay rate ADJUSTED 2]]*DATA[[#This Row],[Other staff 1: Numbers employed (Full Time Equivalent)]]),"")</f>
        <v>10</v>
      </c>
      <c r="QR20" s="28">
        <f>IFERROR(IF(DATA[[#This Row],[Other staff 1: Numbers employed (Full Time Equivalent)]]=0,"",DATA[[#This Row],[Other staff 1: Previous 2020/21 Minimum hourly pay rate ADJUSTED 2]]*DATA[[#This Row],[Other staff 1: Numbers employed (Full Time Equivalent)]]),"")</f>
        <v>10</v>
      </c>
      <c r="QS20" s="28">
        <f>IFERROR(IF(DATA[[#This Row],[Other staff 1: Numbers employed (Full Time Equivalent)]]=0,"",DATA[[#This Row],[Other staff 1: Previous 2020/21 Maximum hourly pay rate ADJUSTED 2]]*DATA[[#This Row],[Other staff 1: Numbers employed (Full Time Equivalent)]]),"")</f>
        <v>10</v>
      </c>
      <c r="QT20" s="28" t="str">
        <f>IFERROR(IF(DATA[[#This Row],[Other staff 2: Numbers employed (Full Time Equivalent)]]=0,"",DATA[[#This Row],[Other staff 2: Current 2021/22 Minimum hourly pay rate ADJUSTED 2]]*DATA[[#This Row],[Other staff 2: Numbers employed (Full Time Equivalent)]]),"")</f>
        <v/>
      </c>
      <c r="QU20" s="28" t="str">
        <f>IFERROR(IF(DATA[[#This Row],[Other staff 2: Numbers employed (Full Time Equivalent)]]=0,"",DATA[[#This Row],[Other staff 2: Current 2021/22 Maximum hourly pay rate ADJUSTED 2]]*DATA[[#This Row],[Other staff 2: Numbers employed (Full Time Equivalent)]]),"")</f>
        <v/>
      </c>
      <c r="QV20" s="28" t="str">
        <f>IFERROR(IF(DATA[[#This Row],[Other staff 2: Numbers employed (Full Time Equivalent)]]=0,"",DATA[[#This Row],[Other staff 2: Previous 2020/21 Minimum hourly pay rate ADJUSTED 2]]*DATA[[#This Row],[Other staff 2: Numbers employed (Full Time Equivalent)]]),"")</f>
        <v/>
      </c>
      <c r="QW20" s="28" t="str">
        <f>IFERROR(IF(DATA[[#This Row],[Other staff 2: Numbers employed (Full Time Equivalent)]]=0,"",DATA[[#This Row],[Other staff 2: Previous 2020/21 Maximum hourly pay rate ADJUSTED 2]]*DATA[[#This Row],[Other staff 2: Numbers employed (Full Time Equivalent)]]),"")</f>
        <v/>
      </c>
      <c r="QX20" s="28" t="str">
        <f>IFERROR(IF(DATA[[#This Row],[Other staff 3: Numbers employed (Full Time Equivalent)]]=0,"",DATA[[#This Row],[Other staff 3: Current 2021/22 Minimum hourly pay rate ADJUSTED 2]]*DATA[[#This Row],[Other staff 3: Numbers employed (Full Time Equivalent)]]),"")</f>
        <v/>
      </c>
      <c r="QY20" s="28" t="str">
        <f>IFERROR(IF(DATA[[#This Row],[Other staff 3: Numbers employed (Full Time Equivalent)]]=0,"",DATA[[#This Row],[Other staff 3: Current 2021/22 Maximum hourly pay rate ADJUSTED 2]]*DATA[[#This Row],[Other staff 3: Numbers employed (Full Time Equivalent)]]),"")</f>
        <v/>
      </c>
      <c r="QZ20" s="28" t="str">
        <f>IFERROR(IF(DATA[[#This Row],[Other staff 3: Numbers employed (Full Time Equivalent)]]=0,"",DATA[[#This Row],[Other staff 3: Previous 2020/21 Minimum hourly pay rate ADJUSTED 2]]*DATA[[#This Row],[Other staff 3: Numbers employed (Full Time Equivalent)]]),"")</f>
        <v/>
      </c>
      <c r="RA20" s="28" t="str">
        <f>IFERROR(IF(DATA[[#This Row],[Other staff 3: Numbers employed (Full Time Equivalent)]]=0,"",DATA[[#This Row],[Other staff 3: Previous 2020/21 Maximum hourly pay rate ADJUSTED 2]]*DATA[[#This Row],[Other staff 3: Numbers employed (Full Time Equivalent)]]),"")</f>
        <v/>
      </c>
      <c r="RB20"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20"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20"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3</v>
      </c>
      <c r="RE20"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4</v>
      </c>
      <c r="RF20"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20"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20</v>
      </c>
      <c r="RH20"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20</v>
      </c>
      <c r="RI20"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20"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20"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20"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20"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20"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20"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20"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1" spans="7:484" x14ac:dyDescent="0.25">
      <c r="G21" s="2">
        <v>15</v>
      </c>
      <c r="H21" s="2">
        <v>9</v>
      </c>
      <c r="J21" s="2">
        <v>1</v>
      </c>
      <c r="L21" s="2" t="s">
        <v>328</v>
      </c>
      <c r="M21" s="2" t="s">
        <v>328</v>
      </c>
      <c r="R21" s="2">
        <v>16.9483</v>
      </c>
      <c r="S21" s="2">
        <v>16.9483</v>
      </c>
      <c r="T21" s="2">
        <v>16.499500000000001</v>
      </c>
      <c r="U21" s="2">
        <v>16.499500000000001</v>
      </c>
      <c r="V21" s="2">
        <v>1</v>
      </c>
      <c r="W21" s="2">
        <v>12.5739</v>
      </c>
      <c r="X21" s="2">
        <v>12.5739</v>
      </c>
      <c r="Y21" s="2">
        <v>12.207700000000001</v>
      </c>
      <c r="Z21" s="2">
        <v>12.207700000000001</v>
      </c>
      <c r="AA21" s="2">
        <v>1</v>
      </c>
      <c r="AB21" s="2" t="s">
        <v>315</v>
      </c>
      <c r="AC21" s="2">
        <v>0</v>
      </c>
      <c r="AD21" s="2">
        <v>0</v>
      </c>
      <c r="AE21" s="2">
        <v>0</v>
      </c>
      <c r="AF21" s="2">
        <v>0</v>
      </c>
      <c r="AG21" s="2">
        <v>0</v>
      </c>
      <c r="AH21" s="2" t="s">
        <v>315</v>
      </c>
      <c r="AI21" s="2">
        <v>0</v>
      </c>
      <c r="AJ21" s="2">
        <v>0</v>
      </c>
      <c r="AK21" s="2">
        <v>0</v>
      </c>
      <c r="AL21" s="2">
        <v>0</v>
      </c>
      <c r="AM21" s="2">
        <v>0</v>
      </c>
      <c r="AN21" s="2" t="s">
        <v>315</v>
      </c>
      <c r="AO21" s="2">
        <v>0</v>
      </c>
      <c r="AP21" s="2">
        <v>0</v>
      </c>
      <c r="AQ21" s="2">
        <v>0</v>
      </c>
      <c r="AR21" s="2">
        <v>0</v>
      </c>
      <c r="AS21" s="2">
        <v>0</v>
      </c>
      <c r="AT21" s="2" t="s">
        <v>394</v>
      </c>
      <c r="AU21" s="2">
        <v>9.1</v>
      </c>
      <c r="AV21" s="2">
        <v>9.1</v>
      </c>
      <c r="AW21" s="2">
        <v>8.75</v>
      </c>
      <c r="AX21" s="2">
        <v>8.75</v>
      </c>
      <c r="AY21" s="2">
        <v>1</v>
      </c>
      <c r="AZ21" s="2" t="s">
        <v>394</v>
      </c>
      <c r="BA21" s="2">
        <v>9.1</v>
      </c>
      <c r="BB21" s="2">
        <v>9.1</v>
      </c>
      <c r="BC21" s="2">
        <v>8.75</v>
      </c>
      <c r="BD21" s="2">
        <v>8.75</v>
      </c>
      <c r="BE21" s="2">
        <v>1</v>
      </c>
      <c r="BF21" s="2" t="s">
        <v>394</v>
      </c>
      <c r="BG21" s="2">
        <v>9.1</v>
      </c>
      <c r="BH21" s="2">
        <v>9.1</v>
      </c>
      <c r="BI21" s="2">
        <v>8.75</v>
      </c>
      <c r="BJ21" s="2">
        <v>8.75</v>
      </c>
      <c r="BK21" s="2">
        <v>1</v>
      </c>
      <c r="BL21" s="2" t="s">
        <v>394</v>
      </c>
      <c r="BM21" s="2">
        <v>9.1</v>
      </c>
      <c r="BN21" s="2">
        <v>9.1</v>
      </c>
      <c r="BO21" s="2">
        <v>8.75</v>
      </c>
      <c r="BP21" s="2">
        <v>8.75</v>
      </c>
      <c r="BQ21" s="2">
        <v>1</v>
      </c>
      <c r="BR21" s="2" t="s">
        <v>317</v>
      </c>
      <c r="BS21" s="2">
        <v>0</v>
      </c>
      <c r="BT21" s="2">
        <v>0</v>
      </c>
      <c r="BU21" s="2">
        <v>0</v>
      </c>
      <c r="BV21" s="2">
        <v>0</v>
      </c>
      <c r="BW21" s="2">
        <v>0</v>
      </c>
      <c r="BX21" s="2" t="s">
        <v>317</v>
      </c>
      <c r="BY21" s="2">
        <v>0</v>
      </c>
      <c r="BZ21" s="2">
        <v>0</v>
      </c>
      <c r="CA21" s="2">
        <v>0</v>
      </c>
      <c r="CB21" s="2">
        <v>0</v>
      </c>
      <c r="CC21" s="2">
        <v>0</v>
      </c>
      <c r="CD21" s="2" t="s">
        <v>317</v>
      </c>
      <c r="CE21" s="2">
        <v>0</v>
      </c>
      <c r="CF21" s="2">
        <v>0</v>
      </c>
      <c r="CG21" s="2">
        <v>0</v>
      </c>
      <c r="CH21" s="2">
        <v>0</v>
      </c>
      <c r="CI21" s="2">
        <v>0</v>
      </c>
      <c r="CJ21" s="2" t="s">
        <v>395</v>
      </c>
      <c r="CK21" s="2">
        <v>9</v>
      </c>
      <c r="CL21" s="2">
        <v>9</v>
      </c>
      <c r="CM21" s="2">
        <v>8.5</v>
      </c>
      <c r="CN21" s="2">
        <v>8.5</v>
      </c>
      <c r="CO21" s="2">
        <v>1</v>
      </c>
      <c r="CP21" s="2" t="s">
        <v>395</v>
      </c>
      <c r="CQ21" s="2">
        <v>9</v>
      </c>
      <c r="CR21" s="2">
        <v>9</v>
      </c>
      <c r="CS21" s="2">
        <v>8.5</v>
      </c>
      <c r="CT21" s="2">
        <v>8.5</v>
      </c>
      <c r="CU21" s="2">
        <v>1</v>
      </c>
      <c r="CV21" s="2" t="s">
        <v>318</v>
      </c>
      <c r="CW21" s="2">
        <v>0</v>
      </c>
      <c r="CX21" s="2">
        <v>0</v>
      </c>
      <c r="CY21" s="2">
        <v>0</v>
      </c>
      <c r="CZ21" s="2">
        <v>0</v>
      </c>
      <c r="DA21" s="2">
        <v>0</v>
      </c>
      <c r="DB21" s="2">
        <v>0.13800000000000001</v>
      </c>
      <c r="DC21" s="2">
        <v>96</v>
      </c>
      <c r="DD21" s="2">
        <v>48</v>
      </c>
      <c r="DE21" s="2">
        <v>96</v>
      </c>
      <c r="DF21" s="2">
        <v>48</v>
      </c>
      <c r="DG21" s="2">
        <v>0</v>
      </c>
      <c r="DH21" s="2">
        <v>0</v>
      </c>
      <c r="DI21" s="2">
        <v>0</v>
      </c>
      <c r="DJ21" s="2">
        <v>0</v>
      </c>
      <c r="DK21" s="2">
        <v>0</v>
      </c>
      <c r="DL21" s="2">
        <v>0</v>
      </c>
      <c r="DM21" s="2">
        <v>0</v>
      </c>
      <c r="DN21" s="2">
        <v>0</v>
      </c>
      <c r="DO21" s="2">
        <v>15.27</v>
      </c>
      <c r="DP21" s="2">
        <v>0</v>
      </c>
      <c r="DQ21" s="2">
        <v>15.27</v>
      </c>
      <c r="DR21" s="18">
        <v>43834</v>
      </c>
      <c r="DS21" s="18">
        <v>44286</v>
      </c>
      <c r="DT21" s="2">
        <v>14976</v>
      </c>
      <c r="DU21" s="2">
        <v>62639.839999999997</v>
      </c>
      <c r="DV21" s="2">
        <v>93952.92</v>
      </c>
      <c r="DW21" s="2">
        <v>0</v>
      </c>
      <c r="DX21" s="2">
        <v>0</v>
      </c>
      <c r="DY21" s="2">
        <v>4572.66</v>
      </c>
      <c r="DZ21" s="2">
        <v>51.71</v>
      </c>
      <c r="EA21" s="2">
        <v>0</v>
      </c>
      <c r="EB21" s="2">
        <v>1225.1400000000001</v>
      </c>
      <c r="EC21" s="2">
        <v>76</v>
      </c>
      <c r="ED21" s="2">
        <v>0</v>
      </c>
      <c r="EE21" s="2">
        <v>0</v>
      </c>
      <c r="EF21" s="2">
        <v>0</v>
      </c>
      <c r="EG21" s="2">
        <v>1852.99</v>
      </c>
      <c r="EH21" s="2" t="s">
        <v>396</v>
      </c>
      <c r="EI21" s="2">
        <v>1016.19</v>
      </c>
      <c r="EJ21" s="2" t="s">
        <v>397</v>
      </c>
      <c r="EK21" s="2">
        <v>3006.79</v>
      </c>
      <c r="EL21" s="2">
        <v>610.23</v>
      </c>
      <c r="EM21" s="2">
        <v>14016.27</v>
      </c>
      <c r="EN21" s="2">
        <v>525.76</v>
      </c>
      <c r="EO21" s="2">
        <v>33572.28</v>
      </c>
      <c r="EP21" s="2">
        <v>933</v>
      </c>
      <c r="EQ21" s="2">
        <v>499.28</v>
      </c>
      <c r="ER21" s="2">
        <v>0</v>
      </c>
      <c r="ES21" s="2">
        <v>1154.69</v>
      </c>
      <c r="ET21" s="2" t="s">
        <v>398</v>
      </c>
      <c r="EU21" s="2">
        <v>6611.61</v>
      </c>
      <c r="EV21" s="2" t="s">
        <v>324</v>
      </c>
      <c r="EW21" s="2">
        <v>0</v>
      </c>
      <c r="EX21" s="2">
        <v>7966.3711000000003</v>
      </c>
      <c r="EY21" s="2">
        <v>10139.0177</v>
      </c>
      <c r="EZ21" s="2" t="s">
        <v>326</v>
      </c>
      <c r="FA21" s="2">
        <v>0</v>
      </c>
      <c r="FB21" s="2" t="s">
        <v>326</v>
      </c>
      <c r="FC21" s="2">
        <v>0</v>
      </c>
      <c r="FD21" s="2"/>
      <c r="FE21" s="2"/>
      <c r="FF21" s="2"/>
      <c r="FG21" s="2"/>
      <c r="FH21" s="19">
        <v>44480.623668981483</v>
      </c>
      <c r="FI21" s="2" t="s">
        <v>345</v>
      </c>
      <c r="FJ21" s="2">
        <f>SUM(DATA[[#This Row],[Number of Home support clients:]],DATA[[#This Row],[Number of supported living clients:]])</f>
        <v>9</v>
      </c>
      <c r="FK21"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21"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16.9483</v>
      </c>
      <c r="FM21"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16.9483</v>
      </c>
      <c r="FN21"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16.499500000000001</v>
      </c>
      <c r="FO21"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16.499500000000001</v>
      </c>
      <c r="FP21"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12.5739</v>
      </c>
      <c r="FQ21"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12.5739</v>
      </c>
      <c r="FR21"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12.207700000000001</v>
      </c>
      <c r="FS21"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12.207700000000001</v>
      </c>
      <c r="FT21"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21"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21"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21"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21"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21"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21"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21"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21"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21"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21"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21"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21"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9.1</v>
      </c>
      <c r="GG21"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9.1</v>
      </c>
      <c r="GH21"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8.75</v>
      </c>
      <c r="GI21"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8.75</v>
      </c>
      <c r="GJ21"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9.1</v>
      </c>
      <c r="GK21"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9.1</v>
      </c>
      <c r="GL21"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8.75</v>
      </c>
      <c r="GM21"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8.75</v>
      </c>
      <c r="GN21"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9.1</v>
      </c>
      <c r="GO21"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9.1</v>
      </c>
      <c r="GP21"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8.75</v>
      </c>
      <c r="GQ21"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8.75</v>
      </c>
      <c r="GR21"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9.1</v>
      </c>
      <c r="GS21"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9.1</v>
      </c>
      <c r="GT21"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8.75</v>
      </c>
      <c r="GU21"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8.75</v>
      </c>
      <c r="GV21"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21"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21"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21"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21"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21"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21"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21"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21"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21"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21"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21"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21"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9</v>
      </c>
      <c r="HI21"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9</v>
      </c>
      <c r="HJ21"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8.5</v>
      </c>
      <c r="HK21"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8.5</v>
      </c>
      <c r="HL21"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9</v>
      </c>
      <c r="HM21"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9</v>
      </c>
      <c r="HN21" s="2">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8.5</v>
      </c>
      <c r="HO21" s="2">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8.5</v>
      </c>
      <c r="HP21"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1"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1"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1"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1"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16.9483</v>
      </c>
      <c r="HU21"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16.9483</v>
      </c>
      <c r="HV21"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16.499500000000001</v>
      </c>
      <c r="HW21"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16.499500000000001</v>
      </c>
      <c r="HX21"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12.5739</v>
      </c>
      <c r="HY21"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12.5739</v>
      </c>
      <c r="HZ21"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12.207700000000001</v>
      </c>
      <c r="IA21"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12.207700000000001</v>
      </c>
      <c r="IB21"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21"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21"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21"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21"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21"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21"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21"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21"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21"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21"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21"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21"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9.1</v>
      </c>
      <c r="IO21"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9.1</v>
      </c>
      <c r="IP21"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8.75</v>
      </c>
      <c r="IQ21"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8.75</v>
      </c>
      <c r="IR21"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9.1</v>
      </c>
      <c r="IS21"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9.1</v>
      </c>
      <c r="IT21"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8.75</v>
      </c>
      <c r="IU21"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8.75</v>
      </c>
      <c r="IV21"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9.1</v>
      </c>
      <c r="IW21"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9.1</v>
      </c>
      <c r="IX21"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8.75</v>
      </c>
      <c r="IY21"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8.75</v>
      </c>
      <c r="IZ21"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9.1</v>
      </c>
      <c r="JA21"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9.1</v>
      </c>
      <c r="JB21"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8.75</v>
      </c>
      <c r="JC21"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8.75</v>
      </c>
      <c r="JD21"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21"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21"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21"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21"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21"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21"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21"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21"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21"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21"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21"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21"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9</v>
      </c>
      <c r="JQ21"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9</v>
      </c>
      <c r="JR21"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8.5</v>
      </c>
      <c r="JS21"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8.5</v>
      </c>
      <c r="JT21"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9</v>
      </c>
      <c r="JU21"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9</v>
      </c>
      <c r="JV21"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8.5</v>
      </c>
      <c r="JW21"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8.5</v>
      </c>
      <c r="JX21"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1"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1"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1"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1"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21" s="21">
        <f>SUM(DATA[[#This Row],[Care Assistant 1: Numbers employed (Full Time Equivalent)]],DATA[[#This Row],[Care Assistant 2: Numbers employed (Full Time Equivalent)]],DATA[[#This Row],[Care Assistant 3: Numbers employed (Full Time Equivalent)]],DATA[[#This Row],[Care Assistant 4: Numbers employed (Full Time Equivalent)]])</f>
        <v>4</v>
      </c>
      <c r="KD21" s="21">
        <f>SUM(DATA[[#This Row],[Administrative Officer 1: Numbers employed (Full Time Equivalent)]],DATA[[#This Row],[Administrative Officer 2: Numbers employed (Full Time Equivalent)]])</f>
        <v>0</v>
      </c>
      <c r="KE21" s="21">
        <f>SUM(DATA[[#This Row],[Other staff 1: Numbers employed (Full Time Equivalent)]],DATA[[#This Row],[Other staff 2: Numbers employed (Full Time Equivalent)]],DATA[[#This Row],[Other staff 3: Numbers employed (Full Time Equivalent)]])</f>
        <v>2</v>
      </c>
      <c r="KF21" s="21">
        <f>SUM(DATA[[#This Row],[Total FTE Management Employees]:[Total FTE Other Employees]])</f>
        <v>8</v>
      </c>
      <c r="KG21" s="21" t="str">
        <f>IF(SUM(DATA[[#This Row],[Home Support service split percentage (Expenditure):]],DATA[[#This Row],[Supported Living service split percentage (Expenditure):]])&gt;0, IF(DATA[[#This Row],[Home Support service split percentage (Expenditure):]]&gt;0.5,"Home Support","Supported Living"), "Unknown")</f>
        <v>Home Support</v>
      </c>
      <c r="KH21" s="21">
        <f>SUM(DATA[[#This Row],[Home Support: Birmingham City Council]:[Home Support: Self-funded]])</f>
        <v>288</v>
      </c>
      <c r="KI21" s="21">
        <f>SUM(DATA[[#This Row],[Supported Living: Birmingham City Council]:[Supported Living: Self-funded]])</f>
        <v>0</v>
      </c>
      <c r="KJ21"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21"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21"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21"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21" s="21" t="b">
        <f>SUM(DATA[[#This Row],[Number of hours of care charged for in last full accounting year]:[Corporate Overheads: Other  - please specify (category) 1]])&gt;0</f>
        <v>1</v>
      </c>
      <c r="KO21" s="21">
        <f>SUM(DATA[[#This Row],[Total annual expenditure: Management staff]:[Total annual expenditure: Training and development]])</f>
        <v>162442.27000000002</v>
      </c>
      <c r="KP21" s="21">
        <f>SUM(DATA[[#This Row],[Recruitment &amp; advertising (including DBS checks)]:[Non-Staffing Direct Cost: Other  - please specify (amount) 2]])</f>
        <v>5951.97</v>
      </c>
      <c r="KQ21" s="21">
        <f>SUM(DATA[[#This Row],[Insurance ]:[Indirect costs: Other 2 - please specify (amount)]])</f>
        <v>57923.12</v>
      </c>
      <c r="KR21" s="21">
        <f>SUM(DATA[[#This Row],[Central / Regional Management]],DATA[[#This Row],[Support Services (finance / HR / Payroll / legal etc.)]],DATA[[#This Row],[Corporate Overheads: Other  - please specify (amount) 1]],DATA[[#This Row],[Corporate Overheads: Other  - please specify (amount) 2]])</f>
        <v>18105.388800000001</v>
      </c>
      <c r="KS21"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4.1826816239316233</v>
      </c>
      <c r="KT21"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6.2735657051282052</v>
      </c>
      <c r="KU21"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21"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21" s="30">
        <f>IF(OR(NOT(DATA[[#This Row],[Total annual expenditure: Agency staff]]&gt;0),NOT(DATA[[#This Row],[Number of hours of care charged for in last full accounting year]]&gt;0)),0,DATA[[#This Row],[Total annual expenditure: Agency staff]]/DATA[[#This Row],[Number of hours of care charged for in last full accounting year]])</f>
        <v>0.30533253205128202</v>
      </c>
      <c r="KX21" s="30">
        <f>IF(OR(NOT(DATA[[#This Row],[Total annual expenditure: Travel Cost]]&gt;0),NOT(DATA[[#This Row],[Number of hours of care charged for in last full accounting year]]&gt;0)),0,DATA[[#This Row],[Total annual expenditure: Travel Cost]]/DATA[[#This Row],[Number of hours of care charged for in last full accounting year]])</f>
        <v>3.452857905982906E-3</v>
      </c>
      <c r="KY21"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21"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8.1806891025641038E-2</v>
      </c>
      <c r="LA21"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5.074786324786325E-3</v>
      </c>
      <c r="LB21"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21" s="30">
        <f>IF(OR(NOT(DATA[[#This Row],[Care consumables &amp; uniforms]]&gt;0),NOT(DATA[[#This Row],[Number of hours of care charged for in last full accounting year]]&gt;0)),0,DATA[[#This Row],[Care consumables &amp; uniforms]]/DATA[[#This Row],[Number of hours of care charged for in last full accounting year]])</f>
        <v>0</v>
      </c>
      <c r="LD21" s="30">
        <f>IF(OR(NOT(DATA[[#This Row],[Electronic call monitoring]]&gt;0),NOT(DATA[[#This Row],[Number of hours of care charged for in last full accounting year]]&gt;0)),0,DATA[[#This Row],[Electronic call monitoring]]/DATA[[#This Row],[Number of hours of care charged for in last full accounting year]])</f>
        <v>0</v>
      </c>
      <c r="LE21" s="30">
        <f>IF(OR(NOT(DATA[[#This Row],[IT Equipment &amp; Telephoney]]&gt;0),NOT(DATA[[#This Row],[Number of hours of care charged for in last full accounting year]]&gt;0)),0,DATA[[#This Row],[IT Equipment &amp; Telephoney]]/DATA[[#This Row],[Number of hours of care charged for in last full accounting year]])</f>
        <v>0.12373063568376068</v>
      </c>
      <c r="LF21"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6.7854567307692307E-2</v>
      </c>
      <c r="LG21"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0.2007739049145299</v>
      </c>
      <c r="LH21" s="30">
        <f>IF(OR(NOT(DATA[[#This Row],[Insurance ]]&gt;0),NOT(DATA[[#This Row],[Number of hours of care charged for in last full accounting year]]&gt;0)),0,DATA[[#This Row],[Insurance ]]/DATA[[#This Row],[Number of hours of care charged for in last full accounting year]])</f>
        <v>4.0747195512820515E-2</v>
      </c>
      <c r="LI21"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0.93591546474358978</v>
      </c>
      <c r="LJ21" s="30">
        <f>IF(OR(NOT(DATA[[#This Row],[Repairs and maintenance]]&gt;0),NOT(DATA[[#This Row],[Number of hours of care charged for in last full accounting year]]&gt;0)),0,DATA[[#This Row],[Repairs and maintenance]]/DATA[[#This Row],[Number of hours of care charged for in last full accounting year]])</f>
        <v>3.5106837606837603E-2</v>
      </c>
      <c r="LK21"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2.2417387820512822</v>
      </c>
      <c r="LL21" s="30">
        <f>IF(OR(NOT(DATA[[#This Row],[Registration &amp; Inspection fees ]]&gt;0),NOT(DATA[[#This Row],[Number of hours of care charged for in last full accounting year]]&gt;0)),0,DATA[[#This Row],[Registration &amp; Inspection fees ]]/DATA[[#This Row],[Number of hours of care charged for in last full accounting year]])</f>
        <v>6.2299679487179488E-2</v>
      </c>
      <c r="LM21" s="30">
        <f>IF(OR(NOT(DATA[[#This Row],[Subscriptions]]&gt;0),NOT(DATA[[#This Row],[Number of hours of care charged for in last full accounting year]]&gt;0)),0,DATA[[#This Row],[Subscriptions]]/DATA[[#This Row],[Number of hours of care charged for in last full accounting year]])</f>
        <v>3.3338675213675215E-2</v>
      </c>
      <c r="LN21" s="30">
        <f>IF(OR(NOT(DATA[[#This Row],[Cost of finance]]&gt;0),NOT(DATA[[#This Row],[Number of hours of care charged for in last full accounting year]]&gt;0)),0,DATA[[#This Row],[Cost of finance]]/DATA[[#This Row],[Number of hours of care charged for in last full accounting year]])</f>
        <v>0</v>
      </c>
      <c r="LO21" s="30">
        <f>IF(OR(NOT(DATA[[#This Row],[Other non-staff current expenses]]&gt;0),NOT(DATA[[#This Row],[Number of hours of care charged for in last full accounting year]]&gt;0)),0,DATA[[#This Row],[Other non-staff current expenses]]/DATA[[#This Row],[Number of hours of care charged for in last full accounting year]])</f>
        <v>7.7102697649572657E-2</v>
      </c>
      <c r="LP21"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0.44148036858974354</v>
      </c>
      <c r="LQ21"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21" s="30">
        <f>IF(OR(NOT(DATA[[#This Row],[Central / Regional Management]]&gt;0),NOT(DATA[[#This Row],[Number of hours of care charged for in last full accounting year]]&gt;0)),0,DATA[[#This Row],[Central / Regional Management]]/DATA[[#This Row],[Number of hours of care charged for in last full accounting year]])</f>
        <v>0.53194251469017095</v>
      </c>
      <c r="LS21"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0.67701774172008544</v>
      </c>
      <c r="LT21"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1"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1" s="30">
        <f>SUM(DATA[[#This Row],[Management staff HOURLY RATE]:[Corporate Overheads: Other  - please specify (amount) 2 HOURLY RATE]])</f>
        <v>16.320963461538458</v>
      </c>
      <c r="LW21" s="30" t="str">
        <f>IF(OR(NOT(DATA[[#This Row],[Net Operating Profit]]&gt;0),NOT(DATA[[#This Row],[Number of hours of care charged for in last full accounting year]]&gt;0)),"",DATA[[#This Row],[Net Operating Profit]]/DATA[[#This Row],[Number of hours of care charged for in last full accounting year]])</f>
        <v/>
      </c>
      <c r="LX21" s="30">
        <f>IF(OR(NOT(DATA[[#This Row],[Return on Capital employed]]&gt;0),NOT(DATA[[#This Row],[Number of hours of care charged for in last full accounting year]]&gt;0)),0,DATA[[#This Row],[Return on Capital employed]]/DATA[[#This Row],[Number of hours of care charged for in last full accounting year]])</f>
        <v>0</v>
      </c>
      <c r="LY21" s="31">
        <v>15</v>
      </c>
      <c r="LZ21" s="30" t="s">
        <v>345</v>
      </c>
      <c r="MA21" s="30" t="b">
        <f>DATA[[#This Row],[Number of Home support clients:]]&gt;0</f>
        <v>1</v>
      </c>
      <c r="MB21" s="30" t="b">
        <f>DATA[[#This Row],[Number of supported living clients:]]&gt;0</f>
        <v>0</v>
      </c>
      <c r="MC21" s="30" t="b">
        <f>DATA[[#This Row],[Total Home Support Hours]]&gt;0</f>
        <v>1</v>
      </c>
      <c r="MD21" s="30" t="b">
        <f>DATA[[#This Row],[Total Supported Living Hours]]&gt;0</f>
        <v>0</v>
      </c>
      <c r="ME21" s="30" t="b">
        <f>DATA[[#This Row],[Home Support service split percentage (Expenditure):]]&gt;0.5</f>
        <v>1</v>
      </c>
      <c r="MF21" s="30" t="b">
        <f>DATA[[#This Row],[Agency staff HOURLY RATE]]=0</f>
        <v>0</v>
      </c>
      <c r="MG21" s="30">
        <f>IFERROR(IF(AVERAGE(DATA[[#This Row],[Registered manager: Current 2021/22 Minimum hourly pay rate ADJUSTED]],DATA[[#This Row],[Registered manager: Current 2021/22 Maximum hourly pay rate ADJUSTED]])&lt;LIVING_WAGE_22_23,DATA[[#This Row],[Registered manager: Numbers employed (Full Time Equivalent)]],0),"")</f>
        <v>0</v>
      </c>
      <c r="MH21" s="30">
        <f>IFERROR(IF(AVERAGE(DATA[[#This Row],[Deputy manager: Current 2021/22 Minimum hourly pay rate ADJUSTED]],DATA[[#This Row],[Deputy manager: Current 2021/22 Maximum hourly pay rate ADJUSTED]])&lt;LIVING_WAGE_22_23,DATA[[#This Row],[Deputy manager: Numbers employed (Full Time Equivalent)]],0),"")</f>
        <v>0</v>
      </c>
      <c r="MI21" s="30" t="str">
        <f>IFERROR(IF(AVERAGE(DATA[[#This Row],[Other manager 1: Current 2021/22 Minimum hourly pay rate ADJUSTED]],DATA[[#This Row],[Other manager 1: Current 2021/22 Maximum hourly pay rate ADJUSTED]])&lt;LIVING_WAGE_22_23,DATA[[#This Row],[Other manager 1: Numbers employed (Full Time Equivalent)]],0),"")</f>
        <v/>
      </c>
      <c r="MJ21" s="30" t="str">
        <f>IFERROR(IF(AVERAGE(DATA[[#This Row],[Other manager 2: Current 2021/22 Minimum hourly pay rate ADJUSTED]],DATA[[#This Row],[Other manager 2: Current 2021/22 Maximum hourly pay rate ADJUSTED]])&lt;LIVING_WAGE_22_23,DATA[[#This Row],[Other manager 2: Numbers employed (Full Time Equivalent)]],0),"")</f>
        <v/>
      </c>
      <c r="MK21" s="30" t="str">
        <f>IFERROR(IF(AVERAGE(DATA[[#This Row],[Other manager 3: Current 2021/22 Minimum hourly pay rate ADJUSTED]],DATA[[#This Row],[Other manager 3: Current 2021/22 Maximum hourly pay rate ADJUSTED]])&lt;LIVING_WAGE_22_23,DATA[[#This Row],[Other manager 3: Numbers employed (Full Time Equivalent)]],0),"")</f>
        <v/>
      </c>
      <c r="ML21" s="30">
        <f>IFERROR(IF(AVERAGE(DATA[[#This Row],[Care Assistant 1: Current 2021/22 Minimum hourly pay rate ADJUSTED]],DATA[[#This Row],[Care Assistant 1: Current 2021/22 Maximum hourly pay rate ADJUSTED]])&lt;LIVING_WAGE_22_23,DATA[[#This Row],[Care Assistant 1: Numbers employed (Full Time Equivalent)]],0),"")</f>
        <v>1</v>
      </c>
      <c r="MM21" s="30">
        <f>IFERROR(IF(AVERAGE(DATA[[#This Row],[Care Assistant 2: Current 2021/22 Minimum hourly pay rate ADJUSTED]],DATA[[#This Row],[Care Assistant 2: Current 2021/22 Maximum hourly pay rate ADJUSTED]])&lt;LIVING_WAGE_22_23,DATA[[#This Row],[Care Assistant 2: Numbers employed (Full Time Equivalent)]],0),"")</f>
        <v>1</v>
      </c>
      <c r="MN21" s="30">
        <f>IFERROR(IF(AVERAGE(DATA[[#This Row],[Care Assistant 3: Current 2021/22 Minimum hourly pay rate ADJUSTED]],DATA[[#This Row],[Care Assistant 3: Current 2021/22 Maximum hourly pay rate ADJUSTED]])&lt;LIVING_WAGE_22_23,DATA[[#This Row],[Care Assistant 3: Numbers employed (Full Time Equivalent)]],0),"")</f>
        <v>1</v>
      </c>
      <c r="MO21" s="30">
        <f>IFERROR(IF(AVERAGE(DATA[[#This Row],[Care Assistant 4: Current 2021/22 Minimum hourly pay rate ADJUSTED]],DATA[[#This Row],[Care Assistant 4: Current 2021/22 Maximum hourly pay rate ADJUSTED]])&lt;LIVING_WAGE_22_23,DATA[[#This Row],[Care Assistant 4: Numbers employed (Full Time Equivalent)]],0),"")</f>
        <v>1</v>
      </c>
      <c r="MP21"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21"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21" s="30">
        <f>IFERROR(IF(AVERAGE(DATA[[#This Row],[Other staff 1: Current 2021/22 Minimum hourly pay rate ADJUSTED]],DATA[[#This Row],[Other staff 1: Current 2021/22 Maximum hourly pay rate ADJUSTED]])&lt;LIVING_WAGE_22_23,DATA[[#This Row],[Other staff 1: Numbers employed (Full Time Equivalent)]],0),"")</f>
        <v>1</v>
      </c>
      <c r="MS21" s="30">
        <f>IFERROR(IF(AVERAGE(DATA[[#This Row],[Other staff 2: Current 2021/22 Minimum hourly pay rate ADJUSTED]],DATA[[#This Row],[Other staff 2: Current 2021/22 Maximum hourly pay rate ADJUSTED]])&lt;LIVING_WAGE_22_23,DATA[[#This Row],[Other staff 2: Numbers employed (Full Time Equivalent)]],0),"")</f>
        <v>1</v>
      </c>
      <c r="MT21" s="30" t="str">
        <f>IFERROR(IF(AVERAGE(DATA[[#This Row],[Other staff 3: Current 2021/22 Minimum hourly pay rate ADJUSTED]],DATA[[#This Row],[Other staff 3: Current 2021/22 Maximum hourly pay rate ADJUSTED]])&lt;LIVING_WAGE_22_23,DATA[[#This Row],[Other staff 3: Numbers employed (Full Time Equivalent)]],0),"")</f>
        <v/>
      </c>
      <c r="MU21" s="30">
        <f>SUM(DATA[[#This Row],[Registered Manager FTE earning less than NLW 23yrs 2022/23]:[Other staff 3 FTE earning less than NLW 23yrs 2022/23]])</f>
        <v>6</v>
      </c>
      <c r="MV21"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21"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21"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21"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21"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21"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0.40000000000000036</v>
      </c>
      <c r="NB21"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0.40000000000000036</v>
      </c>
      <c r="NC21"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0.40000000000000036</v>
      </c>
      <c r="ND21"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0.40000000000000036</v>
      </c>
      <c r="NE21"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21"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21"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0.5</v>
      </c>
      <c r="NH21"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0.5</v>
      </c>
      <c r="NI21"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1" s="30" t="b">
        <v>0</v>
      </c>
      <c r="NK21" s="30" t="b">
        <v>1</v>
      </c>
      <c r="NL21" s="30" t="s">
        <v>972</v>
      </c>
      <c r="NM21" s="30">
        <f>SUM(DATA[[#This Row],[Management staff HOURLY RATE]:[Training and development HOURLY RATE]])</f>
        <v>10.846839610042732</v>
      </c>
      <c r="NN21" s="30">
        <f>SUM(DATA[[#This Row],[Recruitment &amp; advertising (including DBS checks) HOURLY RATE]:[Non-Staffing Direct Cost: Other  - please specify (amount) 2 HOURLY RATE]])</f>
        <v>0.39743389423076919</v>
      </c>
      <c r="NO21" s="30">
        <f>SUM(DATA[[#This Row],[Insurance  HOURLY RATE]:[Indirect costs: Other  - please specify (amount) 2 HOURLY RATE]])</f>
        <v>3.8677297008547007</v>
      </c>
      <c r="NP21" s="30">
        <f>SUM(DATA[[#This Row],[Central / Regional Management HOURLY RATE]:[Corporate Overheads: Other  - please specify (amount) 2 HOURLY RATE]])</f>
        <v>1.2089602564102564</v>
      </c>
      <c r="NQ21"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21" s="30">
        <f>IFERROR(IF(AVERAGE(DATA[[#This Row],[Deputy manager: Current 2021/22 Minimum hourly pay rate ADJUSTED]],DATA[[#This Row],[Deputy manager: Current 2021/22 Maximum hourly pay rate ADJUSTED]])&lt;REAL_LIVING_WAGE_22_23,DATA[[#This Row],[Deputy manager: Numbers employed (Full Time Equivalent)]],0),"")</f>
        <v>0</v>
      </c>
      <c r="NS21" s="30" t="str">
        <f>IFERROR(IF(AVERAGE(DATA[[#This Row],[Other manager 1: Current 2021/22 Minimum hourly pay rate ADJUSTED]],DATA[[#This Row],[Other manager 1: Current 2021/22 Maximum hourly pay rate ADJUSTED]])&lt;REAL_LIVING_WAGE_22_23,DATA[[#This Row],[Other manager 1: Numbers employed (Full Time Equivalent)]],0),"")</f>
        <v/>
      </c>
      <c r="NT21" s="30" t="str">
        <f>IFERROR(IF(AVERAGE(DATA[[#This Row],[Other manager 2: Current 2021/22 Minimum hourly pay rate ADJUSTED]],DATA[[#This Row],[Other manager 2: Current 2021/22 Maximum hourly pay rate ADJUSTED]])&lt;REAL_LIVING_WAGE_22_23,DATA[[#This Row],[Other manager 2: Numbers employed (Full Time Equivalent)]],0),"")</f>
        <v/>
      </c>
      <c r="NU21" s="30" t="str">
        <f>IFERROR(IF(AVERAGE(DATA[[#This Row],[Other manager 3: Current 2021/22 Minimum hourly pay rate ADJUSTED]],DATA[[#This Row],[Other manager 3: Current 2021/22 Maximum hourly pay rate ADJUSTED]])&lt;REAL_LIVING_WAGE_22_23,DATA[[#This Row],[Other manager 3: Numbers employed (Full Time Equivalent)]],0),"")</f>
        <v/>
      </c>
      <c r="NV21" s="30">
        <f>IFERROR(IF(AVERAGE(DATA[[#This Row],[Care Assistant 1: Current 2021/22 Minimum hourly pay rate ADJUSTED]],DATA[[#This Row],[Care Assistant 1: Current 2021/22 Maximum hourly pay rate ADJUSTED]])&lt;REAL_LIVING_WAGE_22_23,DATA[[#This Row],[Care Assistant 1: Numbers employed (Full Time Equivalent)]],0),"")</f>
        <v>1</v>
      </c>
      <c r="NW21" s="30">
        <f>IFERROR(IF(AVERAGE(DATA[[#This Row],[Care Assistant 2: Current 2021/22 Minimum hourly pay rate ADJUSTED]],DATA[[#This Row],[Care Assistant 2: Current 2021/22 Maximum hourly pay rate ADJUSTED]])&lt;REAL_LIVING_WAGE_22_23,DATA[[#This Row],[Care Assistant 2: Numbers employed (Full Time Equivalent)]],0),"")</f>
        <v>1</v>
      </c>
      <c r="NX21" s="30">
        <f>IFERROR(IF(AVERAGE(DATA[[#This Row],[Care Assistant 3: Current 2021/22 Minimum hourly pay rate ADJUSTED]],DATA[[#This Row],[Care Assistant 3: Current 2021/22 Maximum hourly pay rate ADJUSTED]])&lt;REAL_LIVING_WAGE_22_23,DATA[[#This Row],[Care Assistant 3: Numbers employed (Full Time Equivalent)]],0),"")</f>
        <v>1</v>
      </c>
      <c r="NY21" s="30">
        <f>IFERROR(IF(AVERAGE(DATA[[#This Row],[Care Assistant 4: Current 2021/22 Minimum hourly pay rate ADJUSTED]],DATA[[#This Row],[Care Assistant 4: Current 2021/22 Maximum hourly pay rate ADJUSTED]])&lt;REAL_LIVING_WAGE_22_23,DATA[[#This Row],[Care Assistant 4: Numbers employed (Full Time Equivalent)]],0),"")</f>
        <v>1</v>
      </c>
      <c r="NZ21"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21"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21" s="30">
        <f>IFERROR(IF(AVERAGE(DATA[[#This Row],[Other staff 1: Current 2021/22 Minimum hourly pay rate ADJUSTED]],DATA[[#This Row],[Other staff 1: Current 2021/22 Maximum hourly pay rate ADJUSTED]])&lt;REAL_LIVING_WAGE_22_23,DATA[[#This Row],[Other staff 1: Numbers employed (Full Time Equivalent)]],0),"")</f>
        <v>1</v>
      </c>
      <c r="OC21" s="30">
        <f>IFERROR(IF(AVERAGE(DATA[[#This Row],[Other staff 2: Current 2021/22 Minimum hourly pay rate ADJUSTED]],DATA[[#This Row],[Other staff 2: Current 2021/22 Maximum hourly pay rate ADJUSTED]])&lt;REAL_LIVING_WAGE_22_23,DATA[[#This Row],[Other staff 2: Numbers employed (Full Time Equivalent)]],0),"")</f>
        <v>1</v>
      </c>
      <c r="OD21" s="30" t="str">
        <f>IFERROR(IF(AVERAGE(DATA[[#This Row],[Other staff 3: Current 2021/22 Minimum hourly pay rate ADJUSTED]],DATA[[#This Row],[Other staff 3: Current 2021/22 Maximum hourly pay rate ADJUSTED]])&lt;REAL_LIVING_WAGE_22_23,DATA[[#This Row],[Other staff 3: Numbers employed (Full Time Equivalent)]],0),"")</f>
        <v/>
      </c>
      <c r="OE21" s="30">
        <f>SUM(DATA[[#This Row],[Registered Manager FTE earning less than RLW 23yrs 2022/23]:[Other staff 3 FTE earning less than RLW 23yrs 2022/23]])</f>
        <v>6</v>
      </c>
      <c r="OF21"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21"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21"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21"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21"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21"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0.80000000000000071</v>
      </c>
      <c r="OL21"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0.80000000000000071</v>
      </c>
      <c r="OM21"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0.80000000000000071</v>
      </c>
      <c r="ON21"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0.80000000000000071</v>
      </c>
      <c r="OO21"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21"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21"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0.90000000000000036</v>
      </c>
      <c r="OR21"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0.90000000000000036</v>
      </c>
      <c r="OS21"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1" s="30">
        <f>IFERROR(IF(DATA[[#This Row],[Registered manager: Numbers employed (Full Time Equivalent)]]=0,"",DATA[[#This Row],[Registered manager: Current 2021/22 Minimum hourly pay rate ADJUSTED 2]]*DATA[[#This Row],[Registered manager: Numbers employed (Full Time Equivalent)]]),"")</f>
        <v>16.9483</v>
      </c>
      <c r="OU21" s="30">
        <f>IFERROR(IF(DATA[[#This Row],[Registered manager: Numbers employed (Full Time Equivalent)]]=0,"",DATA[[#This Row],[Registered manager: Current 2021/22 Maximum hourly pay rate ADJUSTED 2]]*DATA[[#This Row],[Registered manager: Numbers employed (Full Time Equivalent)]]),"")</f>
        <v>16.9483</v>
      </c>
      <c r="OV21" s="30">
        <f>IFERROR(IF(DATA[[#This Row],[Registered manager: Numbers employed (Full Time Equivalent)]]=0,"",DATA[[#This Row],[Registered manager: Previous 2020/21 Minimum hourly pay rate ADJUSTED 2]]*DATA[[#This Row],[Registered manager: Numbers employed (Full Time Equivalent)]]),"")</f>
        <v>16.499500000000001</v>
      </c>
      <c r="OW21" s="30">
        <f>IFERROR(IF(DATA[[#This Row],[Registered manager: Numbers employed (Full Time Equivalent)]]=0,"",DATA[[#This Row],[Registered manager: Previous 2020/21 Maximum hourly pay rate ADJUSTED 2]]*DATA[[#This Row],[Registered manager: Numbers employed (Full Time Equivalent)]]),"")</f>
        <v>16.499500000000001</v>
      </c>
      <c r="OX21" s="30">
        <f>IFERROR(IF(DATA[[#This Row],[Deputy manager: Numbers employed (Full Time Equivalent)]]=0,"",DATA[[#This Row],[Deputy manager: Current 2021/22 Minimum hourly pay rate ADJUSTED 2]]*DATA[[#This Row],[Deputy manager: Numbers employed (Full Time Equivalent)]]),"")</f>
        <v>12.5739</v>
      </c>
      <c r="OY21" s="30">
        <f>IFERROR(IF(DATA[[#This Row],[Deputy manager: Numbers employed (Full Time Equivalent)]]=0,"",DATA[[#This Row],[Deputy manager: Current 2021/22 Maximum hourly pay rate ADJUSTED 2]]*DATA[[#This Row],[Deputy manager: Numbers employed (Full Time Equivalent)]]),"")</f>
        <v>12.5739</v>
      </c>
      <c r="OZ21" s="30">
        <f>IFERROR(IF(DATA[[#This Row],[Deputy manager: Numbers employed (Full Time Equivalent)]]=0,"",DATA[[#This Row],[Deputy manager: Previous 2020/21 Minimum hourly pay rate ADJUSTED 2]]*DATA[[#This Row],[Deputy manager: Numbers employed (Full Time Equivalent)]]),"")</f>
        <v>12.207700000000001</v>
      </c>
      <c r="PA21" s="30">
        <f>IFERROR(IF(DATA[[#This Row],[Deputy manager: Numbers employed (Full Time Equivalent)]]=0,"",DATA[[#This Row],[Deputy manager: Previous 2020/21 Maximum hourly pay rate ADJUSTED 2]]*DATA[[#This Row],[Deputy manager: Numbers employed (Full Time Equivalent)]]),"")</f>
        <v>12.207700000000001</v>
      </c>
      <c r="PB21" s="30" t="str">
        <f>IFERROR(IF(DATA[[#This Row],[Other manager 1: Numbers employed (Full Time Equivalent)]]=0,"",DATA[[#This Row],[Other manager 1: Current 2021/22 Minimum hourly pay rate ADJUSTED 2]]*DATA[[#This Row],[Other manager 1: Numbers employed (Full Time Equivalent)]]),"")</f>
        <v/>
      </c>
      <c r="PC21" s="30" t="str">
        <f>IFERROR(IF(DATA[[#This Row],[Other manager 1: Numbers employed (Full Time Equivalent)]]=0,"",DATA[[#This Row],[Other manager 1: Current 2021/22 Maximum hourly pay rate ADJUSTED 2]]*DATA[[#This Row],[Other manager 1: Numbers employed (Full Time Equivalent)]]),"")</f>
        <v/>
      </c>
      <c r="PD21" s="30" t="str">
        <f>IFERROR(IF(DATA[[#This Row],[Other manager 1: Numbers employed (Full Time Equivalent)]]=0,"",DATA[[#This Row],[Other manager 1: Previous 2020/21 Minimum hourly pay rate ADJUSTED 2]]*DATA[[#This Row],[Other manager 1: Numbers employed (Full Time Equivalent)]]),"")</f>
        <v/>
      </c>
      <c r="PE21" s="30" t="str">
        <f>IFERROR(IF(DATA[[#This Row],[Other manager 1: Numbers employed (Full Time Equivalent)]]=0,"",DATA[[#This Row],[Other manager 1: Previous 2020/21 Maximum hourly pay rate ADJUSTED 2]]*DATA[[#This Row],[Other manager 1: Numbers employed (Full Time Equivalent)]]),"")</f>
        <v/>
      </c>
      <c r="PF21" s="30" t="str">
        <f>IFERROR(IF(DATA[[#This Row],[Other manager 2: Numbers employed (Full Time Equivalent)]]=0,"",DATA[[#This Row],[Other manager 2: Current 2021/22 Minimum hourly pay rate ADJUSTED 2]]*DATA[[#This Row],[Other manager 2: Numbers employed (Full Time Equivalent)]]),"")</f>
        <v/>
      </c>
      <c r="PG21" s="30" t="str">
        <f>IFERROR(IF(DATA[[#This Row],[Other manager 2: Numbers employed (Full Time Equivalent)]]=0,"",DATA[[#This Row],[Other manager 2: Current 2021/22 Maximum hourly pay rate ADJUSTED 2]]*DATA[[#This Row],[Other manager 2: Numbers employed (Full Time Equivalent)]]),"")</f>
        <v/>
      </c>
      <c r="PH21" s="30" t="str">
        <f>IFERROR(IF(DATA[[#This Row],[Other manager 2: Numbers employed (Full Time Equivalent)]]=0,"",DATA[[#This Row],[Other manager 2: Previous 2020/21 Minimum hourly pay rate ADJUSTED 2]]*DATA[[#This Row],[Other manager 2: Numbers employed (Full Time Equivalent)]]),"")</f>
        <v/>
      </c>
      <c r="PI21" s="30" t="str">
        <f>IFERROR(IF(DATA[[#This Row],[Other manager 2: Numbers employed (Full Time Equivalent)]]=0,"",DATA[[#This Row],[Other manager 2: Previous 2020/21 Maximum hourly pay rate ADJUSTED 2]]*DATA[[#This Row],[Other manager 2: Numbers employed (Full Time Equivalent)]]),"")</f>
        <v/>
      </c>
      <c r="PJ21" s="30" t="str">
        <f>IFERROR(IF(DATA[[#This Row],[Other manager 3: Numbers employed (Full Time Equivalent)]]=0,"",DATA[[#This Row],[Other manager 3: Current 2021/22 Minimum hourly pay rate ADJUSTED 2]]*DATA[[#This Row],[Other manager 3: Numbers employed (Full Time Equivalent)]]),"")</f>
        <v/>
      </c>
      <c r="PK21" s="30" t="str">
        <f>IFERROR(IF(DATA[[#This Row],[Other manager 3: Numbers employed (Full Time Equivalent)]]=0,"",DATA[[#This Row],[Other manager 3: Current 2021/22 Maximum hourly pay rate ADJUSTED 2]]*DATA[[#This Row],[Other manager 3: Numbers employed (Full Time Equivalent)]]),"")</f>
        <v/>
      </c>
      <c r="PL21" s="30" t="str">
        <f>IFERROR(IF(DATA[[#This Row],[Other manager 3: Numbers employed (Full Time Equivalent)]]=0,"",DATA[[#This Row],[Other manager 3: Previous 2020/21 Minimum hourly pay rate ADJUSTED 2]]*DATA[[#This Row],[Other manager 3: Numbers employed (Full Time Equivalent)]]),"")</f>
        <v/>
      </c>
      <c r="PM21" s="30" t="str">
        <f>IFERROR(IF(DATA[[#This Row],[Other manager 3: Numbers employed (Full Time Equivalent)]]=0,"",DATA[[#This Row],[Other manager 3: Previous 2020/21 Maximum hourly pay rate ADJUSTED 2]]*DATA[[#This Row],[Other manager 3: Numbers employed (Full Time Equivalent)]]),"")</f>
        <v/>
      </c>
      <c r="PN21" s="30">
        <f>IFERROR(IF(DATA[[#This Row],[Care Assistant 1: Numbers employed (Full Time Equivalent)]]=0,"",DATA[[#This Row],[Care Assistant 1: Current 2021/22 Minimum hourly pay rate ADJUSTED 2]]*DATA[[#This Row],[Care Assistant 1: Numbers employed (Full Time Equivalent)]]),"")</f>
        <v>9.1</v>
      </c>
      <c r="PO21" s="30">
        <f>IFERROR(IF(DATA[[#This Row],[Care Assistant 1: Numbers employed (Full Time Equivalent)]]=0,"",DATA[[#This Row],[Care Assistant 1: Current 2021/22 Maximum hourly pay rate ADJUSTED 2]]*DATA[[#This Row],[Care Assistant 1: Numbers employed (Full Time Equivalent)]]),"")</f>
        <v>9.1</v>
      </c>
      <c r="PP21" s="30">
        <f>IFERROR(IF(DATA[[#This Row],[Care Assistant 1: Numbers employed (Full Time Equivalent)]]=0,"",DATA[[#This Row],[Care Assistant 1: Previous 2020/21 Minimum hourly pay rate ADJUSTED 2]]*DATA[[#This Row],[Care Assistant 1: Numbers employed (Full Time Equivalent)]]),"")</f>
        <v>8.75</v>
      </c>
      <c r="PQ21" s="30">
        <f>IFERROR(IF(DATA[[#This Row],[Care Assistant 1: Numbers employed (Full Time Equivalent)]]=0,"",DATA[[#This Row],[Care Assistant 1: Previous 2020/21 Maximum hourly pay rate ADJUSTED 2]]*DATA[[#This Row],[Care Assistant 1: Numbers employed (Full Time Equivalent)]]),"")</f>
        <v>8.75</v>
      </c>
      <c r="PR21" s="30">
        <f>IFERROR(IF(DATA[[#This Row],[Care Assistant 2: Numbers employed (Full Time Equivalent)]]=0,"",DATA[[#This Row],[Care Assistant 2: Current 2021/22 Minimum hourly pay rate ADJUSTED 2]]*DATA[[#This Row],[Care Assistant 2: Numbers employed (Full Time Equivalent)]]),"")</f>
        <v>9.1</v>
      </c>
      <c r="PS21" s="30">
        <f>IFERROR(IF(DATA[[#This Row],[Care Assistant 2: Numbers employed (Full Time Equivalent)]]=0,"",DATA[[#This Row],[Care Assistant 2: Current 2021/22 Maximum hourly pay rate ADJUSTED 2]]*DATA[[#This Row],[Care Assistant 2: Numbers employed (Full Time Equivalent)]]),"")</f>
        <v>9.1</v>
      </c>
      <c r="PT21" s="30">
        <f>IFERROR(IF(DATA[[#This Row],[Care Assistant 2: Numbers employed (Full Time Equivalent)]]=0,"",DATA[[#This Row],[Care Assistant 2: Previous 2020/21 Minimum hourly pay rate ADJUSTED 2]]*DATA[[#This Row],[Care Assistant 2: Numbers employed (Full Time Equivalent)]]),"")</f>
        <v>8.75</v>
      </c>
      <c r="PU21" s="30">
        <f>IFERROR(IF(DATA[[#This Row],[Care Assistant 2: Numbers employed (Full Time Equivalent)]]=0,"",DATA[[#This Row],[Care Assistant 2: Previous 2020/21 Maximum hourly pay rate ADJUSTED 2]]*DATA[[#This Row],[Care Assistant 2: Numbers employed (Full Time Equivalent)]]),"")</f>
        <v>8.75</v>
      </c>
      <c r="PV21" s="30">
        <f>IFERROR(IF(DATA[[#This Row],[Care Assistant 3: Numbers employed (Full Time Equivalent)]]=0,"",DATA[[#This Row],[Care Assistant 3: Current 2021/22 Minimum hourly pay rate ADJUSTED 2]]*DATA[[#This Row],[Care Assistant 3: Numbers employed (Full Time Equivalent)]]),"")</f>
        <v>9.1</v>
      </c>
      <c r="PW21" s="30">
        <f>IFERROR(IF(DATA[[#This Row],[Care Assistant 3: Numbers employed (Full Time Equivalent)]]=0,"",DATA[[#This Row],[Care Assistant 3: Current 2021/22 Maximum hourly pay rate ADJUSTED 2]]*DATA[[#This Row],[Care Assistant 3: Numbers employed (Full Time Equivalent)]]),"")</f>
        <v>9.1</v>
      </c>
      <c r="PX21" s="30">
        <f>IFERROR(IF(DATA[[#This Row],[Care Assistant 3: Numbers employed (Full Time Equivalent)]]=0,"",DATA[[#This Row],[Care Assistant 3: Previous 2020/21 Minimum hourly pay rate ADJUSTED 2]]*DATA[[#This Row],[Care Assistant 3: Numbers employed (Full Time Equivalent)]]),"")</f>
        <v>8.75</v>
      </c>
      <c r="PY21" s="30">
        <f>IFERROR(IF(DATA[[#This Row],[Care Assistant 3: Numbers employed (Full Time Equivalent)]]=0,"",DATA[[#This Row],[Care Assistant 3: Previous 2020/21 Maximum hourly pay rate ADJUSTED 2]]*DATA[[#This Row],[Care Assistant 3: Numbers employed (Full Time Equivalent)]]),"")</f>
        <v>8.75</v>
      </c>
      <c r="PZ21" s="30">
        <f>IFERROR(IF(DATA[[#This Row],[Care Assistant 4: Numbers employed (Full Time Equivalent)]]=0,"",DATA[[#This Row],[Care Assistant 4: Current 2021/22 Minimum hourly pay rate ADJUSTED 2]]*DATA[[#This Row],[Care Assistant 4: Numbers employed (Full Time Equivalent)]]),"")</f>
        <v>9.1</v>
      </c>
      <c r="QA21" s="30">
        <f>IFERROR(IF(DATA[[#This Row],[Care Assistant 4: Numbers employed (Full Time Equivalent)]]=0,"",DATA[[#This Row],[Care Assistant 4: Current 2021/22 Maximum hourly pay rate ADJUSTED 2]]*DATA[[#This Row],[Care Assistant 4: Numbers employed (Full Time Equivalent)]]),"")</f>
        <v>9.1</v>
      </c>
      <c r="QB21" s="30">
        <f>IFERROR(IF(DATA[[#This Row],[Care Assistant 4: Numbers employed (Full Time Equivalent)]]=0,"",DATA[[#This Row],[Care Assistant 4: Previous 2020/21 Minimum hourly pay rate ADJUSTED 2]]*DATA[[#This Row],[Care Assistant 4: Numbers employed (Full Time Equivalent)]]),"")</f>
        <v>8.75</v>
      </c>
      <c r="QC21" s="30">
        <f>IFERROR(IF(DATA[[#This Row],[Care Assistant 4: Numbers employed (Full Time Equivalent)]]=0,"",DATA[[#This Row],[Care Assistant 4: Previous 2020/21 Maximum hourly pay rate ADJUSTED 2]]*DATA[[#This Row],[Care Assistant 4: Numbers employed (Full Time Equivalent)]]),"")</f>
        <v>8.75</v>
      </c>
      <c r="QD21" s="30" t="str">
        <f>IFERROR(IF(DATA[[#This Row],[Administrative Officer 1: Numbers employed (Full Time Equivalent)]]=0,"",DATA[[#This Row],[Administrative Officer 1: Current 2021/22 Minimum hourly pay rate ADJUSTED 2]]*DATA[[#This Row],[Administrative Officer 1: Numbers employed (Full Time Equivalent)]]),"")</f>
        <v/>
      </c>
      <c r="QE21" s="30" t="str">
        <f>IFERROR(IF(DATA[[#This Row],[Administrative Officer 1: Numbers employed (Full Time Equivalent)]]=0,"",DATA[[#This Row],[Administrative Officer 1: Current 2021/22 Maximum hourly pay rate ADJUSTED 2]]*DATA[[#This Row],[Administrative Officer 1: Numbers employed (Full Time Equivalent)]]),"")</f>
        <v/>
      </c>
      <c r="QF21" s="30" t="str">
        <f>IFERROR(IF(DATA[[#This Row],[Administrative Officer 1: Numbers employed (Full Time Equivalent)]]=0,"",DATA[[#This Row],[Administrative Officer 1: Previous 2020/21 Minimum hourly pay rate ADJUSTED 2]]*DATA[[#This Row],[Administrative Officer 1: Numbers employed (Full Time Equivalent)]]),"")</f>
        <v/>
      </c>
      <c r="QG21" s="30" t="str">
        <f>IFERROR(IF(DATA[[#This Row],[Administrative Officer 1: Numbers employed (Full Time Equivalent)]]=0,"",DATA[[#This Row],[Administrative Officer 1: Previous 2020/21 Maximum hourly pay rate ADJUSTED 2]]*DATA[[#This Row],[Administrative Officer 1: Numbers employed (Full Time Equivalent)]]),"")</f>
        <v/>
      </c>
      <c r="QH21" s="30" t="str">
        <f>IFERROR(IF(DATA[[#This Row],[Administrative Officer 2: Numbers employed (Full Time Equivalent)]]=0,"",DATA[[#This Row],[Administrative Officer 2: Current 2021/22 Minimum hourly pay rate ADJUSTED 2]]*DATA[[#This Row],[Administrative Officer 2: Numbers employed (Full Time Equivalent)]]),"")</f>
        <v/>
      </c>
      <c r="QI21" s="30" t="str">
        <f>IFERROR(IF(DATA[[#This Row],[Administrative Officer 2: Numbers employed (Full Time Equivalent)]]=0,"",DATA[[#This Row],[Administrative Officer 2: Current 2021/22 Maximum hourly pay rate ADJUSTED 2]]*DATA[[#This Row],[Administrative Officer 2: Numbers employed (Full Time Equivalent)]]),"")</f>
        <v/>
      </c>
      <c r="QJ21" s="30" t="str">
        <f>IFERROR(IF(DATA[[#This Row],[Administrative Officer 2: Numbers employed (Full Time Equivalent)]]=0,"",DATA[[#This Row],[Administrative Officer 2: Previous 2020/21 Minimum hourly pay rate ADJUSTED 2]]*DATA[[#This Row],[Administrative Officer 2: Numbers employed (Full Time Equivalent)]]),"")</f>
        <v/>
      </c>
      <c r="QK21" s="30" t="str">
        <f>IFERROR(IF(DATA[[#This Row],[Administrative Officer 2: Numbers employed (Full Time Equivalent)]]=0,"",DATA[[#This Row],[Administrative Officer 2: Previous 2020/21 Maximum hourly pay rate ADJUSTED 2]]*DATA[[#This Row],[Administrative Officer 2: Numbers employed (Full Time Equivalent)]]),"")</f>
        <v/>
      </c>
      <c r="QL21" s="30" t="str">
        <f>IFERROR(IF(DATA[[#This Row],[Administrative Officer 3: Numbers employed (Full Time Equivalent)]]=0,"",DATA[[#This Row],[Administrative Officer 3: Current 2021/22 Minimum hourly pay rate ADJUSTED 2]]*DATA[[#This Row],[Administrative Officer 3: Numbers employed (Full Time Equivalent)]]),"")</f>
        <v/>
      </c>
      <c r="QM21" s="30" t="str">
        <f>IFERROR(IF(DATA[[#This Row],[Administrative Officer 3: Numbers employed (Full Time Equivalent)]]=0,"",DATA[[#This Row],[Administrative Officer 3: Current 2021/22 Maximum hourly pay rate ADJUSTED 2]]*DATA[[#This Row],[Administrative Officer 3: Numbers employed (Full Time Equivalent)]]),"")</f>
        <v/>
      </c>
      <c r="QN21" s="30" t="str">
        <f>IFERROR(IF(DATA[[#This Row],[Administrative Officer 3: Numbers employed (Full Time Equivalent)]]=0,"",DATA[[#This Row],[Administrative Officer 3: Previous 2020/21 Minimum hourly pay rate ADJUSTED 2]]*DATA[[#This Row],[Administrative Officer 3: Numbers employed (Full Time Equivalent)]]),"")</f>
        <v/>
      </c>
      <c r="QO21" s="30" t="str">
        <f>IFERROR(IF(DATA[[#This Row],[Administrative Officer 3: Numbers employed (Full Time Equivalent)]]=0,"",DATA[[#This Row],[Administrative Officer 3: Previous 2020/21 Maximum hourly pay rate ADJUSTED 2]]*DATA[[#This Row],[Administrative Officer 3: Numbers employed (Full Time Equivalent)]]),"")</f>
        <v/>
      </c>
      <c r="QP21" s="28">
        <f>IFERROR(IF(DATA[[#This Row],[Other staff 1: Numbers employed (Full Time Equivalent)]]=0,"",DATA[[#This Row],[Other staff 1: Current 2021/22 Minimum hourly pay rate ADJUSTED 2]]*DATA[[#This Row],[Other staff 1: Numbers employed (Full Time Equivalent)]]),"")</f>
        <v>9</v>
      </c>
      <c r="QQ21" s="28">
        <f>IFERROR(IF(DATA[[#This Row],[Other staff 1: Numbers employed (Full Time Equivalent)]]=0,"",DATA[[#This Row],[Other staff 1: Current 2021/22 Maximum hourly pay rate ADJUSTED 2]]*DATA[[#This Row],[Other staff 1: Numbers employed (Full Time Equivalent)]]),"")</f>
        <v>9</v>
      </c>
      <c r="QR21" s="28">
        <f>IFERROR(IF(DATA[[#This Row],[Other staff 1: Numbers employed (Full Time Equivalent)]]=0,"",DATA[[#This Row],[Other staff 1: Previous 2020/21 Minimum hourly pay rate ADJUSTED 2]]*DATA[[#This Row],[Other staff 1: Numbers employed (Full Time Equivalent)]]),"")</f>
        <v>8.5</v>
      </c>
      <c r="QS21" s="28">
        <f>IFERROR(IF(DATA[[#This Row],[Other staff 1: Numbers employed (Full Time Equivalent)]]=0,"",DATA[[#This Row],[Other staff 1: Previous 2020/21 Maximum hourly pay rate ADJUSTED 2]]*DATA[[#This Row],[Other staff 1: Numbers employed (Full Time Equivalent)]]),"")</f>
        <v>8.5</v>
      </c>
      <c r="QT21" s="28">
        <f>IFERROR(IF(DATA[[#This Row],[Other staff 2: Numbers employed (Full Time Equivalent)]]=0,"",DATA[[#This Row],[Other staff 2: Current 2021/22 Minimum hourly pay rate ADJUSTED 2]]*DATA[[#This Row],[Other staff 2: Numbers employed (Full Time Equivalent)]]),"")</f>
        <v>9</v>
      </c>
      <c r="QU21" s="28">
        <f>IFERROR(IF(DATA[[#This Row],[Other staff 2: Numbers employed (Full Time Equivalent)]]=0,"",DATA[[#This Row],[Other staff 2: Current 2021/22 Maximum hourly pay rate ADJUSTED 2]]*DATA[[#This Row],[Other staff 2: Numbers employed (Full Time Equivalent)]]),"")</f>
        <v>9</v>
      </c>
      <c r="QV21" s="28">
        <f>IFERROR(IF(DATA[[#This Row],[Other staff 2: Numbers employed (Full Time Equivalent)]]=0,"",DATA[[#This Row],[Other staff 2: Previous 2020/21 Minimum hourly pay rate ADJUSTED 2]]*DATA[[#This Row],[Other staff 2: Numbers employed (Full Time Equivalent)]]),"")</f>
        <v>8.5</v>
      </c>
      <c r="QW21" s="28">
        <f>IFERROR(IF(DATA[[#This Row],[Other staff 2: Numbers employed (Full Time Equivalent)]]=0,"",DATA[[#This Row],[Other staff 2: Previous 2020/21 Maximum hourly pay rate ADJUSTED 2]]*DATA[[#This Row],[Other staff 2: Numbers employed (Full Time Equivalent)]]),"")</f>
        <v>8.5</v>
      </c>
      <c r="QX21" s="28" t="str">
        <f>IFERROR(IF(DATA[[#This Row],[Other staff 3: Numbers employed (Full Time Equivalent)]]=0,"",DATA[[#This Row],[Other staff 3: Current 2021/22 Minimum hourly pay rate ADJUSTED 2]]*DATA[[#This Row],[Other staff 3: Numbers employed (Full Time Equivalent)]]),"")</f>
        <v/>
      </c>
      <c r="QY21" s="28" t="str">
        <f>IFERROR(IF(DATA[[#This Row],[Other staff 3: Numbers employed (Full Time Equivalent)]]=0,"",DATA[[#This Row],[Other staff 3: Current 2021/22 Maximum hourly pay rate ADJUSTED 2]]*DATA[[#This Row],[Other staff 3: Numbers employed (Full Time Equivalent)]]),"")</f>
        <v/>
      </c>
      <c r="QZ21" s="28" t="str">
        <f>IFERROR(IF(DATA[[#This Row],[Other staff 3: Numbers employed (Full Time Equivalent)]]=0,"",DATA[[#This Row],[Other staff 3: Previous 2020/21 Minimum hourly pay rate ADJUSTED 2]]*DATA[[#This Row],[Other staff 3: Numbers employed (Full Time Equivalent)]]),"")</f>
        <v/>
      </c>
      <c r="RA21" s="28" t="str">
        <f>IFERROR(IF(DATA[[#This Row],[Other staff 3: Numbers employed (Full Time Equivalent)]]=0,"",DATA[[#This Row],[Other staff 3: Previous 2020/21 Maximum hourly pay rate ADJUSTED 2]]*DATA[[#This Row],[Other staff 3: Numbers employed (Full Time Equivalent)]]),"")</f>
        <v/>
      </c>
      <c r="RB21"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21"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21"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21"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21"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21"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v>
      </c>
      <c r="RH21"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v>
      </c>
      <c r="RI21"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1</v>
      </c>
      <c r="RJ21"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1</v>
      </c>
      <c r="RK21"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21"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21"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21"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21"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1</v>
      </c>
      <c r="RP21"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2" spans="7:484" x14ac:dyDescent="0.25">
      <c r="G22" s="2">
        <v>16</v>
      </c>
      <c r="H22" s="2">
        <v>6</v>
      </c>
      <c r="I22" s="2">
        <v>9</v>
      </c>
      <c r="L22" s="2" t="s">
        <v>328</v>
      </c>
      <c r="M22" s="2" t="s">
        <v>328</v>
      </c>
      <c r="R22" s="2">
        <v>15.38</v>
      </c>
      <c r="S22" s="2">
        <v>20.51</v>
      </c>
      <c r="T22" s="2">
        <v>0</v>
      </c>
      <c r="U22" s="2">
        <v>0</v>
      </c>
      <c r="V22" s="2">
        <v>1</v>
      </c>
      <c r="W22" s="2">
        <v>11.28</v>
      </c>
      <c r="X22" s="2">
        <v>15.38</v>
      </c>
      <c r="Y22" s="2">
        <v>0</v>
      </c>
      <c r="Z22" s="2">
        <v>0</v>
      </c>
      <c r="AA22" s="2">
        <v>1</v>
      </c>
      <c r="AB22" s="2" t="s">
        <v>315</v>
      </c>
      <c r="AC22" s="2">
        <v>0</v>
      </c>
      <c r="AD22" s="2">
        <v>0</v>
      </c>
      <c r="AE22" s="2">
        <v>0</v>
      </c>
      <c r="AF22" s="2">
        <v>0</v>
      </c>
      <c r="AG22" s="2">
        <v>0</v>
      </c>
      <c r="AH22" s="2" t="s">
        <v>315</v>
      </c>
      <c r="AI22" s="2">
        <v>0</v>
      </c>
      <c r="AJ22" s="2">
        <v>0</v>
      </c>
      <c r="AK22" s="2">
        <v>0</v>
      </c>
      <c r="AL22" s="2">
        <v>0</v>
      </c>
      <c r="AM22" s="2">
        <v>0</v>
      </c>
      <c r="AN22" s="2" t="s">
        <v>315</v>
      </c>
      <c r="AO22" s="2">
        <v>0</v>
      </c>
      <c r="AP22" s="2">
        <v>0</v>
      </c>
      <c r="AQ22" s="2">
        <v>0</v>
      </c>
      <c r="AR22" s="2">
        <v>0</v>
      </c>
      <c r="AS22" s="2">
        <v>0</v>
      </c>
      <c r="AT22" s="2" t="s">
        <v>399</v>
      </c>
      <c r="AU22" s="2">
        <v>8.91</v>
      </c>
      <c r="AV22" s="2">
        <v>9</v>
      </c>
      <c r="AW22" s="2">
        <v>8.7200000000000006</v>
      </c>
      <c r="AX22" s="2">
        <v>9</v>
      </c>
      <c r="AY22" s="2">
        <v>19</v>
      </c>
      <c r="AZ22" s="2" t="s">
        <v>400</v>
      </c>
      <c r="BA22" s="2">
        <v>9</v>
      </c>
      <c r="BB22" s="2">
        <v>9</v>
      </c>
      <c r="BC22" s="2">
        <v>9</v>
      </c>
      <c r="BD22" s="2">
        <v>9</v>
      </c>
      <c r="BE22" s="2">
        <v>36</v>
      </c>
      <c r="BF22" s="2" t="s">
        <v>376</v>
      </c>
      <c r="BG22" s="2">
        <v>10</v>
      </c>
      <c r="BH22" s="2">
        <v>11.28</v>
      </c>
      <c r="BI22" s="2">
        <v>10</v>
      </c>
      <c r="BJ22" s="2">
        <v>10</v>
      </c>
      <c r="BK22" s="2">
        <v>3</v>
      </c>
      <c r="BL22" s="2"/>
      <c r="BM22" s="2"/>
      <c r="BN22" s="2"/>
      <c r="BO22" s="2"/>
      <c r="BP22" s="2"/>
      <c r="BQ22" s="2"/>
      <c r="BR22" s="2" t="s">
        <v>401</v>
      </c>
      <c r="BS22" s="2">
        <v>10.26</v>
      </c>
      <c r="BT22" s="2">
        <v>11.28</v>
      </c>
      <c r="BU22" s="2">
        <v>10.26</v>
      </c>
      <c r="BV22" s="2">
        <v>11.28</v>
      </c>
      <c r="BW22" s="2">
        <v>3</v>
      </c>
      <c r="BX22" s="2" t="s">
        <v>402</v>
      </c>
      <c r="BY22" s="2">
        <v>9.23</v>
      </c>
      <c r="BZ22" s="2">
        <v>10.26</v>
      </c>
      <c r="CA22" s="2">
        <v>9.23</v>
      </c>
      <c r="CB22" s="2">
        <v>10.26</v>
      </c>
      <c r="CC22" s="2">
        <v>1</v>
      </c>
      <c r="CD22" s="2" t="s">
        <v>403</v>
      </c>
      <c r="CE22" s="2">
        <v>8.91</v>
      </c>
      <c r="CF22" s="2">
        <v>8.91</v>
      </c>
      <c r="CG22" s="2">
        <v>8.7200000000000006</v>
      </c>
      <c r="CH22" s="2">
        <v>8.7200000000000006</v>
      </c>
      <c r="CI22" s="2">
        <v>1</v>
      </c>
      <c r="CJ22" s="2" t="s">
        <v>404</v>
      </c>
      <c r="CK22" s="2">
        <v>20.51</v>
      </c>
      <c r="CL22" s="2">
        <v>20.51</v>
      </c>
      <c r="CM22" s="2">
        <v>19.48</v>
      </c>
      <c r="CN22" s="2">
        <v>19.48</v>
      </c>
      <c r="CO22" s="2">
        <v>1</v>
      </c>
      <c r="CP22" s="2" t="s">
        <v>318</v>
      </c>
      <c r="CQ22" s="2">
        <v>0</v>
      </c>
      <c r="CR22" s="2">
        <v>0</v>
      </c>
      <c r="CS22" s="2">
        <v>0</v>
      </c>
      <c r="CT22" s="2">
        <v>0</v>
      </c>
      <c r="CU22" s="2">
        <v>0</v>
      </c>
      <c r="CV22" s="2" t="s">
        <v>318</v>
      </c>
      <c r="CW22" s="2">
        <v>0</v>
      </c>
      <c r="CX22" s="2">
        <v>0</v>
      </c>
      <c r="CY22" s="2">
        <v>0</v>
      </c>
      <c r="CZ22" s="2">
        <v>0</v>
      </c>
      <c r="DA22" s="2">
        <v>0</v>
      </c>
      <c r="DB22" s="2">
        <v>0.03</v>
      </c>
      <c r="DC22" s="2">
        <v>0</v>
      </c>
      <c r="DD22" s="2">
        <v>0</v>
      </c>
      <c r="DE22" s="2">
        <v>540</v>
      </c>
      <c r="DF22" s="2">
        <v>0</v>
      </c>
      <c r="DG22" s="2">
        <v>50</v>
      </c>
      <c r="DH22" s="2">
        <v>10.75</v>
      </c>
      <c r="DI22" s="2">
        <v>0</v>
      </c>
      <c r="DJ22" s="2">
        <v>16</v>
      </c>
      <c r="DK22" s="2">
        <v>833.5</v>
      </c>
      <c r="DL22" s="2">
        <v>0</v>
      </c>
      <c r="DM22" s="2">
        <v>290</v>
      </c>
      <c r="DN22" s="2">
        <v>0</v>
      </c>
      <c r="DO22" s="2">
        <v>14</v>
      </c>
      <c r="DP22" s="2">
        <v>18.75</v>
      </c>
      <c r="DQ22" s="2">
        <v>14.95</v>
      </c>
      <c r="DR22" s="18">
        <v>43891</v>
      </c>
      <c r="DS22" s="18">
        <v>44255</v>
      </c>
      <c r="DT22" s="2">
        <v>45703</v>
      </c>
      <c r="DU22" s="2">
        <v>35000</v>
      </c>
      <c r="DV22" s="2">
        <v>505601</v>
      </c>
      <c r="DW22" s="2">
        <v>26999.98</v>
      </c>
      <c r="DX22" s="2">
        <v>41000</v>
      </c>
      <c r="DY22" s="2">
        <v>0</v>
      </c>
      <c r="DZ22" s="2">
        <v>1560.72</v>
      </c>
      <c r="EA22" s="2">
        <v>3879</v>
      </c>
      <c r="EB22" s="2">
        <v>17030.25</v>
      </c>
      <c r="EC22" s="2">
        <v>2704.79</v>
      </c>
      <c r="ED22" s="2">
        <v>2598.33</v>
      </c>
      <c r="EE22" s="2">
        <v>5128.6099999999997</v>
      </c>
      <c r="EF22" s="2">
        <v>0</v>
      </c>
      <c r="EG22" s="2">
        <v>0</v>
      </c>
      <c r="EH22" s="2" t="s">
        <v>324</v>
      </c>
      <c r="EI22" s="2">
        <v>0</v>
      </c>
      <c r="EJ22" s="2" t="s">
        <v>324</v>
      </c>
      <c r="EK22" s="2">
        <v>0</v>
      </c>
      <c r="EL22" s="2">
        <v>0</v>
      </c>
      <c r="EM22" s="2">
        <v>8193.07</v>
      </c>
      <c r="EN22" s="2">
        <v>0</v>
      </c>
      <c r="EO22" s="2">
        <v>11529</v>
      </c>
      <c r="EP22" s="2">
        <v>825.6</v>
      </c>
      <c r="EQ22" s="2">
        <v>0</v>
      </c>
      <c r="ER22" s="2">
        <v>0</v>
      </c>
      <c r="ES22" s="2">
        <v>2058.87</v>
      </c>
      <c r="ET22" s="2" t="s">
        <v>324</v>
      </c>
      <c r="EU22" s="2">
        <v>0</v>
      </c>
      <c r="EV22" s="2" t="s">
        <v>324</v>
      </c>
      <c r="EW22" s="2">
        <v>0</v>
      </c>
      <c r="EX22" s="2">
        <v>0</v>
      </c>
      <c r="EY22" s="2">
        <v>10000</v>
      </c>
      <c r="EZ22" s="2" t="s">
        <v>326</v>
      </c>
      <c r="FA22" s="2">
        <v>0</v>
      </c>
      <c r="FB22" s="2" t="s">
        <v>326</v>
      </c>
      <c r="FC22" s="2">
        <v>0</v>
      </c>
      <c r="FD22" s="2"/>
      <c r="FE22" s="2">
        <v>0</v>
      </c>
      <c r="FF22" s="2">
        <v>0</v>
      </c>
      <c r="FG22" s="2"/>
      <c r="FH22" s="19">
        <v>44480.623692129629</v>
      </c>
      <c r="FI22" s="2" t="s">
        <v>345</v>
      </c>
      <c r="FJ22" s="2">
        <f>SUM(DATA[[#This Row],[Number of Home support clients:]],DATA[[#This Row],[Number of supported living clients:]])</f>
        <v>15</v>
      </c>
      <c r="FK22"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22"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15.38</v>
      </c>
      <c r="FM22"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20.51</v>
      </c>
      <c r="FN22"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22"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22"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11.28</v>
      </c>
      <c r="FQ22"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15.38</v>
      </c>
      <c r="FR22"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22"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22"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22"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22"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22"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22"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22"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22"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22"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22"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22"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22"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22"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22"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22"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v>
      </c>
      <c r="GH22"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22"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v>
      </c>
      <c r="GJ22"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v>
      </c>
      <c r="GK22"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v>
      </c>
      <c r="GL22"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v>
      </c>
      <c r="GM22"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v>
      </c>
      <c r="GN22"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10</v>
      </c>
      <c r="GO22"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11.28</v>
      </c>
      <c r="GP22"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10</v>
      </c>
      <c r="GQ22"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10</v>
      </c>
      <c r="GR22"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22"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22"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22"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22"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10.26</v>
      </c>
      <c r="GW22"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11.28</v>
      </c>
      <c r="GX22"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10.26</v>
      </c>
      <c r="GY22"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11.28</v>
      </c>
      <c r="GZ22"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9.23</v>
      </c>
      <c r="HA22"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10.26</v>
      </c>
      <c r="HB22"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9.23</v>
      </c>
      <c r="HC22"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10.26</v>
      </c>
      <c r="HD22"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8.91</v>
      </c>
      <c r="HE22"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8.91</v>
      </c>
      <c r="HF22" s="2">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8.7200000000000006</v>
      </c>
      <c r="HG22" s="2">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8.7200000000000006</v>
      </c>
      <c r="HH22"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20.51</v>
      </c>
      <c r="HI22"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20.51</v>
      </c>
      <c r="HJ22"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19.48</v>
      </c>
      <c r="HK22"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19.48</v>
      </c>
      <c r="HL22"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22"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22"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22"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22"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2"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2"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2"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2"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15.38</v>
      </c>
      <c r="HU22"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20.51</v>
      </c>
      <c r="HV22"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15.38</v>
      </c>
      <c r="HW22"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20.51</v>
      </c>
      <c r="HX22"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11.28</v>
      </c>
      <c r="HY22"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15.38</v>
      </c>
      <c r="HZ22"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11.28</v>
      </c>
      <c r="IA22"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15.38</v>
      </c>
      <c r="IB22"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22"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22"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22"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22"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22"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22"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22"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22"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22"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22"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22"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22"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22"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v>
      </c>
      <c r="IP22"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22"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v>
      </c>
      <c r="IR22"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v>
      </c>
      <c r="IS22"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v>
      </c>
      <c r="IT22"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v>
      </c>
      <c r="IU22"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v>
      </c>
      <c r="IV22"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10</v>
      </c>
      <c r="IW22"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11.28</v>
      </c>
      <c r="IX22"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10</v>
      </c>
      <c r="IY22"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10</v>
      </c>
      <c r="IZ22"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22"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22"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22"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22"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10.26</v>
      </c>
      <c r="JE22"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11.28</v>
      </c>
      <c r="JF22"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10.26</v>
      </c>
      <c r="JG22"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11.28</v>
      </c>
      <c r="JH22"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9.23</v>
      </c>
      <c r="JI22"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10.26</v>
      </c>
      <c r="JJ22"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9.23</v>
      </c>
      <c r="JK22"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10.26</v>
      </c>
      <c r="JL22"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8.91</v>
      </c>
      <c r="JM22"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8.91</v>
      </c>
      <c r="JN22"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8.7200000000000006</v>
      </c>
      <c r="JO22"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8.7200000000000006</v>
      </c>
      <c r="JP22"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20.51</v>
      </c>
      <c r="JQ22"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20.51</v>
      </c>
      <c r="JR22"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19.48</v>
      </c>
      <c r="JS22"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19.48</v>
      </c>
      <c r="JT22"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22"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22"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22"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22"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2"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2"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2"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2"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22" s="21">
        <f>SUM(DATA[[#This Row],[Care Assistant 1: Numbers employed (Full Time Equivalent)]],DATA[[#This Row],[Care Assistant 2: Numbers employed (Full Time Equivalent)]],DATA[[#This Row],[Care Assistant 3: Numbers employed (Full Time Equivalent)]],DATA[[#This Row],[Care Assistant 4: Numbers employed (Full Time Equivalent)]])</f>
        <v>58</v>
      </c>
      <c r="KD22" s="21">
        <f>SUM(DATA[[#This Row],[Administrative Officer 1: Numbers employed (Full Time Equivalent)]],DATA[[#This Row],[Administrative Officer 2: Numbers employed (Full Time Equivalent)]])</f>
        <v>4</v>
      </c>
      <c r="KE22" s="21">
        <f>SUM(DATA[[#This Row],[Other staff 1: Numbers employed (Full Time Equivalent)]],DATA[[#This Row],[Other staff 2: Numbers employed (Full Time Equivalent)]],DATA[[#This Row],[Other staff 3: Numbers employed (Full Time Equivalent)]])</f>
        <v>1</v>
      </c>
      <c r="KF22" s="21">
        <f>SUM(DATA[[#This Row],[Total FTE Management Employees]:[Total FTE Other Employees]])</f>
        <v>65</v>
      </c>
      <c r="KG22" s="21" t="str">
        <f>IF(SUM(DATA[[#This Row],[Home Support service split percentage (Expenditure):]],DATA[[#This Row],[Supported Living service split percentage (Expenditure):]])&gt;0, IF(DATA[[#This Row],[Home Support service split percentage (Expenditure):]]&gt;0.5,"Home Support","Supported Living"), "Unknown")</f>
        <v>Unknown</v>
      </c>
      <c r="KH22" s="21">
        <f>SUM(DATA[[#This Row],[Home Support: Birmingham City Council]:[Home Support: Self-funded]])</f>
        <v>600.75</v>
      </c>
      <c r="KI22" s="21">
        <f>SUM(DATA[[#This Row],[Supported Living: Birmingham City Council]:[Supported Living: Self-funded]])</f>
        <v>1139.5</v>
      </c>
      <c r="KJ22"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22"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22"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22"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22" s="21" t="b">
        <f>SUM(DATA[[#This Row],[Number of hours of care charged for in last full accounting year]:[Corporate Overheads: Other  - please specify (category) 1]])&gt;0</f>
        <v>1</v>
      </c>
      <c r="KO22" s="21">
        <f>SUM(DATA[[#This Row],[Total annual expenditure: Management staff]:[Total annual expenditure: Training and development]])</f>
        <v>631070.94999999995</v>
      </c>
      <c r="KP22" s="21">
        <f>SUM(DATA[[#This Row],[Recruitment &amp; advertising (including DBS checks)]:[Non-Staffing Direct Cost: Other  - please specify (amount) 2]])</f>
        <v>10431.73</v>
      </c>
      <c r="KQ22" s="21">
        <f>SUM(DATA[[#This Row],[Insurance ]:[Indirect costs: Other 2 - please specify (amount)]])</f>
        <v>22606.539999999997</v>
      </c>
      <c r="KR22" s="21">
        <f>SUM(DATA[[#This Row],[Central / Regional Management]],DATA[[#This Row],[Support Services (finance / HR / Payroll / legal etc.)]],DATA[[#This Row],[Corporate Overheads: Other  - please specify (amount) 1]],DATA[[#This Row],[Corporate Overheads: Other  - please specify (amount) 2]])</f>
        <v>10000</v>
      </c>
      <c r="KS22"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0.76581406034614796</v>
      </c>
      <c r="KT22"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11.062752992144937</v>
      </c>
      <c r="KU22"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0.59077040894470823</v>
      </c>
      <c r="KV22" s="30">
        <f>IF(OR(NOT(DATA[[#This Row],[Total annual expenditure: Other staff]]&gt;0),NOT(DATA[[#This Row],[Number of hours of care charged for in last full accounting year]]&gt;0)),0,DATA[[#This Row],[Total annual expenditure: Other staff]]/DATA[[#This Row],[Number of hours of care charged for in last full accounting year]])</f>
        <v>0.89709647069120191</v>
      </c>
      <c r="KW22"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22" s="30">
        <f>IF(OR(NOT(DATA[[#This Row],[Total annual expenditure: Travel Cost]]&gt;0),NOT(DATA[[#This Row],[Number of hours of care charged for in last full accounting year]]&gt;0)),0,DATA[[#This Row],[Total annual expenditure: Travel Cost]]/DATA[[#This Row],[Number of hours of care charged for in last full accounting year]])</f>
        <v>3.4149180578955433E-2</v>
      </c>
      <c r="KY22" s="30">
        <f>IF(OR(NOT(DATA[[#This Row],[Total annual expenditure: Travel Time]]&gt;0),NOT(DATA[[#This Row],[Number of hours of care charged for in last full accounting year]]&gt;0)),0,DATA[[#This Row],[Total annual expenditure: Travel Time]]/DATA[[#This Row],[Number of hours of care charged for in last full accounting year]])</f>
        <v>8.4874078288077373E-2</v>
      </c>
      <c r="KZ22"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0.37262871146314247</v>
      </c>
      <c r="LA22"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5.918189177953307E-2</v>
      </c>
      <c r="LB22"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5.685250421197733E-2</v>
      </c>
      <c r="LC22" s="30">
        <f>IF(OR(NOT(DATA[[#This Row],[Care consumables &amp; uniforms]]&gt;0),NOT(DATA[[#This Row],[Number of hours of care charged for in last full accounting year]]&gt;0)),0,DATA[[#This Row],[Care consumables &amp; uniforms]]/DATA[[#This Row],[Number of hours of care charged for in last full accounting year]])</f>
        <v>0.1122160470866245</v>
      </c>
      <c r="LD22" s="30">
        <f>IF(OR(NOT(DATA[[#This Row],[Electronic call monitoring]]&gt;0),NOT(DATA[[#This Row],[Number of hours of care charged for in last full accounting year]]&gt;0)),0,DATA[[#This Row],[Electronic call monitoring]]/DATA[[#This Row],[Number of hours of care charged for in last full accounting year]])</f>
        <v>0</v>
      </c>
      <c r="LE22" s="30">
        <f>IF(OR(NOT(DATA[[#This Row],[IT Equipment &amp; Telephoney]]&gt;0),NOT(DATA[[#This Row],[Number of hours of care charged for in last full accounting year]]&gt;0)),0,DATA[[#This Row],[IT Equipment &amp; Telephoney]]/DATA[[#This Row],[Number of hours of care charged for in last full accounting year]])</f>
        <v>0</v>
      </c>
      <c r="LF22"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22"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22" s="30">
        <f>IF(OR(NOT(DATA[[#This Row],[Insurance ]]&gt;0),NOT(DATA[[#This Row],[Number of hours of care charged for in last full accounting year]]&gt;0)),0,DATA[[#This Row],[Insurance ]]/DATA[[#This Row],[Number of hours of care charged for in last full accounting year]])</f>
        <v>0</v>
      </c>
      <c r="LI22"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0.17926766295429183</v>
      </c>
      <c r="LJ22" s="30">
        <f>IF(OR(NOT(DATA[[#This Row],[Repairs and maintenance]]&gt;0),NOT(DATA[[#This Row],[Number of hours of care charged for in last full accounting year]]&gt;0)),0,DATA[[#This Row],[Repairs and maintenance]]/DATA[[#This Row],[Number of hours of care charged for in last full accounting year]])</f>
        <v>0</v>
      </c>
      <c r="LK22"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0.25225915147802114</v>
      </c>
      <c r="LL22" s="30">
        <f>IF(OR(NOT(DATA[[#This Row],[Registration &amp; Inspection fees ]]&gt;0),NOT(DATA[[#This Row],[Number of hours of care charged for in last full accounting year]]&gt;0)),0,DATA[[#This Row],[Registration &amp; Inspection fees ]]/DATA[[#This Row],[Number of hours of care charged for in last full accounting year]])</f>
        <v>1.8064459663479422E-2</v>
      </c>
      <c r="LM22" s="30">
        <f>IF(OR(NOT(DATA[[#This Row],[Subscriptions]]&gt;0),NOT(DATA[[#This Row],[Number of hours of care charged for in last full accounting year]]&gt;0)),0,DATA[[#This Row],[Subscriptions]]/DATA[[#This Row],[Number of hours of care charged for in last full accounting year]])</f>
        <v>0</v>
      </c>
      <c r="LN22" s="30">
        <f>IF(OR(NOT(DATA[[#This Row],[Cost of finance]]&gt;0),NOT(DATA[[#This Row],[Number of hours of care charged for in last full accounting year]]&gt;0)),0,DATA[[#This Row],[Cost of finance]]/DATA[[#This Row],[Number of hours of care charged for in last full accounting year]])</f>
        <v>0</v>
      </c>
      <c r="LO22" s="30">
        <f>IF(OR(NOT(DATA[[#This Row],[Other non-staff current expenses]]&gt;0),NOT(DATA[[#This Row],[Number of hours of care charged for in last full accounting year]]&gt;0)),0,DATA[[#This Row],[Other non-staff current expenses]]/DATA[[#This Row],[Number of hours of care charged for in last full accounting year]])</f>
        <v>4.5048902697853527E-2</v>
      </c>
      <c r="LP22"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22"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22" s="30">
        <f>IF(OR(NOT(DATA[[#This Row],[Central / Regional Management]]&gt;0),NOT(DATA[[#This Row],[Number of hours of care charged for in last full accounting year]]&gt;0)),0,DATA[[#This Row],[Central / Regional Management]]/DATA[[#This Row],[Number of hours of care charged for in last full accounting year]])</f>
        <v>0</v>
      </c>
      <c r="LS22"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0.21880401724175655</v>
      </c>
      <c r="LT22"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2"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2" s="30">
        <f>SUM(DATA[[#This Row],[Management staff HOURLY RATE]:[Corporate Overheads: Other  - please specify (amount) 2 HOURLY RATE]])</f>
        <v>14.749780539570709</v>
      </c>
      <c r="LW22" s="30" t="str">
        <f>IF(OR(NOT(DATA[[#This Row],[Net Operating Profit]]&gt;0),NOT(DATA[[#This Row],[Number of hours of care charged for in last full accounting year]]&gt;0)),"",DATA[[#This Row],[Net Operating Profit]]/DATA[[#This Row],[Number of hours of care charged for in last full accounting year]])</f>
        <v/>
      </c>
      <c r="LX22" s="30">
        <f>IF(OR(NOT(DATA[[#This Row],[Return on Capital employed]]&gt;0),NOT(DATA[[#This Row],[Number of hours of care charged for in last full accounting year]]&gt;0)),0,DATA[[#This Row],[Return on Capital employed]]/DATA[[#This Row],[Number of hours of care charged for in last full accounting year]])</f>
        <v>0</v>
      </c>
      <c r="LY22" s="31">
        <v>16</v>
      </c>
      <c r="LZ22" s="30" t="s">
        <v>345</v>
      </c>
      <c r="MA22" s="30" t="b">
        <f>DATA[[#This Row],[Number of Home support clients:]]&gt;0</f>
        <v>1</v>
      </c>
      <c r="MB22" s="30" t="b">
        <f>DATA[[#This Row],[Number of supported living clients:]]&gt;0</f>
        <v>1</v>
      </c>
      <c r="MC22" s="30" t="b">
        <f>DATA[[#This Row],[Total Home Support Hours]]&gt;0</f>
        <v>1</v>
      </c>
      <c r="MD22" s="30" t="b">
        <f>DATA[[#This Row],[Total Supported Living Hours]]&gt;0</f>
        <v>1</v>
      </c>
      <c r="ME22" s="30" t="b">
        <f>DATA[[#This Row],[Home Support service split percentage (Expenditure):]]&gt;0.5</f>
        <v>0</v>
      </c>
      <c r="MF22" s="30" t="b">
        <f>DATA[[#This Row],[Agency staff HOURLY RATE]]=0</f>
        <v>1</v>
      </c>
      <c r="MG22" s="30">
        <f>IFERROR(IF(AVERAGE(DATA[[#This Row],[Registered manager: Current 2021/22 Minimum hourly pay rate ADJUSTED]],DATA[[#This Row],[Registered manager: Current 2021/22 Maximum hourly pay rate ADJUSTED]])&lt;LIVING_WAGE_22_23,DATA[[#This Row],[Registered manager: Numbers employed (Full Time Equivalent)]],0),"")</f>
        <v>0</v>
      </c>
      <c r="MH22" s="30">
        <f>IFERROR(IF(AVERAGE(DATA[[#This Row],[Deputy manager: Current 2021/22 Minimum hourly pay rate ADJUSTED]],DATA[[#This Row],[Deputy manager: Current 2021/22 Maximum hourly pay rate ADJUSTED]])&lt;LIVING_WAGE_22_23,DATA[[#This Row],[Deputy manager: Numbers employed (Full Time Equivalent)]],0),"")</f>
        <v>0</v>
      </c>
      <c r="MI22" s="30" t="str">
        <f>IFERROR(IF(AVERAGE(DATA[[#This Row],[Other manager 1: Current 2021/22 Minimum hourly pay rate ADJUSTED]],DATA[[#This Row],[Other manager 1: Current 2021/22 Maximum hourly pay rate ADJUSTED]])&lt;LIVING_WAGE_22_23,DATA[[#This Row],[Other manager 1: Numbers employed (Full Time Equivalent)]],0),"")</f>
        <v/>
      </c>
      <c r="MJ22" s="30" t="str">
        <f>IFERROR(IF(AVERAGE(DATA[[#This Row],[Other manager 2: Current 2021/22 Minimum hourly pay rate ADJUSTED]],DATA[[#This Row],[Other manager 2: Current 2021/22 Maximum hourly pay rate ADJUSTED]])&lt;LIVING_WAGE_22_23,DATA[[#This Row],[Other manager 2: Numbers employed (Full Time Equivalent)]],0),"")</f>
        <v/>
      </c>
      <c r="MK22" s="30" t="str">
        <f>IFERROR(IF(AVERAGE(DATA[[#This Row],[Other manager 3: Current 2021/22 Minimum hourly pay rate ADJUSTED]],DATA[[#This Row],[Other manager 3: Current 2021/22 Maximum hourly pay rate ADJUSTED]])&lt;LIVING_WAGE_22_23,DATA[[#This Row],[Other manager 3: Numbers employed (Full Time Equivalent)]],0),"")</f>
        <v/>
      </c>
      <c r="ML22" s="30">
        <f>IFERROR(IF(AVERAGE(DATA[[#This Row],[Care Assistant 1: Current 2021/22 Minimum hourly pay rate ADJUSTED]],DATA[[#This Row],[Care Assistant 1: Current 2021/22 Maximum hourly pay rate ADJUSTED]])&lt;LIVING_WAGE_22_23,DATA[[#This Row],[Care Assistant 1: Numbers employed (Full Time Equivalent)]],0),"")</f>
        <v>19</v>
      </c>
      <c r="MM22" s="30">
        <f>IFERROR(IF(AVERAGE(DATA[[#This Row],[Care Assistant 2: Current 2021/22 Minimum hourly pay rate ADJUSTED]],DATA[[#This Row],[Care Assistant 2: Current 2021/22 Maximum hourly pay rate ADJUSTED]])&lt;LIVING_WAGE_22_23,DATA[[#This Row],[Care Assistant 2: Numbers employed (Full Time Equivalent)]],0),"")</f>
        <v>36</v>
      </c>
      <c r="MN22" s="30">
        <f>IFERROR(IF(AVERAGE(DATA[[#This Row],[Care Assistant 3: Current 2021/22 Minimum hourly pay rate ADJUSTED]],DATA[[#This Row],[Care Assistant 3: Current 2021/22 Maximum hourly pay rate ADJUSTED]])&lt;LIVING_WAGE_22_23,DATA[[#This Row],[Care Assistant 3: Numbers employed (Full Time Equivalent)]],0),"")</f>
        <v>0</v>
      </c>
      <c r="MO22" s="30" t="str">
        <f>IFERROR(IF(AVERAGE(DATA[[#This Row],[Care Assistant 4: Current 2021/22 Minimum hourly pay rate ADJUSTED]],DATA[[#This Row],[Care Assistant 4: Current 2021/22 Maximum hourly pay rate ADJUSTED]])&lt;LIVING_WAGE_22_23,DATA[[#This Row],[Care Assistant 4: Numbers employed (Full Time Equivalent)]],0),"")</f>
        <v/>
      </c>
      <c r="MP22"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22"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22" s="30">
        <f>IFERROR(IF(AVERAGE(DATA[[#This Row],[Other staff 1: Current 2021/22 Minimum hourly pay rate ADJUSTED]],DATA[[#This Row],[Other staff 1: Current 2021/22 Maximum hourly pay rate ADJUSTED]])&lt;LIVING_WAGE_22_23,DATA[[#This Row],[Other staff 1: Numbers employed (Full Time Equivalent)]],0),"")</f>
        <v>0</v>
      </c>
      <c r="MS22" s="30" t="str">
        <f>IFERROR(IF(AVERAGE(DATA[[#This Row],[Other staff 2: Current 2021/22 Minimum hourly pay rate ADJUSTED]],DATA[[#This Row],[Other staff 2: Current 2021/22 Maximum hourly pay rate ADJUSTED]])&lt;LIVING_WAGE_22_23,DATA[[#This Row],[Other staff 2: Numbers employed (Full Time Equivalent)]],0),"")</f>
        <v/>
      </c>
      <c r="MT22" s="30" t="str">
        <f>IFERROR(IF(AVERAGE(DATA[[#This Row],[Other staff 3: Current 2021/22 Minimum hourly pay rate ADJUSTED]],DATA[[#This Row],[Other staff 3: Current 2021/22 Maximum hourly pay rate ADJUSTED]])&lt;LIVING_WAGE_22_23,DATA[[#This Row],[Other staff 3: Numbers employed (Full Time Equivalent)]],0),"")</f>
        <v/>
      </c>
      <c r="MU22" s="30">
        <f>SUM(DATA[[#This Row],[Registered Manager FTE earning less than NLW 23yrs 2022/23]:[Other staff 3 FTE earning less than NLW 23yrs 2022/23]])</f>
        <v>55</v>
      </c>
      <c r="MV22"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22"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22"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22"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22"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22"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10.354999999999999</v>
      </c>
      <c r="NB22"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18</v>
      </c>
      <c r="NC22"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22"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22"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22"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22"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22"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22"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2" s="30" t="b">
        <v>1</v>
      </c>
      <c r="NK22" s="30" t="b">
        <v>1</v>
      </c>
      <c r="NL22" s="30" t="s">
        <v>505</v>
      </c>
      <c r="NM22" s="30">
        <f>SUM(DATA[[#This Row],[Management staff HOURLY RATE]:[Training and development HOURLY RATE]])</f>
        <v>13.80808590245717</v>
      </c>
      <c r="NN22" s="30">
        <f>SUM(DATA[[#This Row],[Recruitment &amp; advertising (including DBS checks) HOURLY RATE]:[Non-Staffing Direct Cost: Other  - please specify (amount) 2 HOURLY RATE]])</f>
        <v>0.22825044307813491</v>
      </c>
      <c r="NO22" s="30">
        <f>SUM(DATA[[#This Row],[Insurance  HOURLY RATE]:[Indirect costs: Other  - please specify (amount) 2 HOURLY RATE]])</f>
        <v>0.49464017679364591</v>
      </c>
      <c r="NP22" s="30">
        <f>SUM(DATA[[#This Row],[Central / Regional Management HOURLY RATE]:[Corporate Overheads: Other  - please specify (amount) 2 HOURLY RATE]])</f>
        <v>0.21880401724175655</v>
      </c>
      <c r="NQ22"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22" s="30">
        <f>IFERROR(IF(AVERAGE(DATA[[#This Row],[Deputy manager: Current 2021/22 Minimum hourly pay rate ADJUSTED]],DATA[[#This Row],[Deputy manager: Current 2021/22 Maximum hourly pay rate ADJUSTED]])&lt;REAL_LIVING_WAGE_22_23,DATA[[#This Row],[Deputy manager: Numbers employed (Full Time Equivalent)]],0),"")</f>
        <v>0</v>
      </c>
      <c r="NS22" s="30" t="str">
        <f>IFERROR(IF(AVERAGE(DATA[[#This Row],[Other manager 1: Current 2021/22 Minimum hourly pay rate ADJUSTED]],DATA[[#This Row],[Other manager 1: Current 2021/22 Maximum hourly pay rate ADJUSTED]])&lt;REAL_LIVING_WAGE_22_23,DATA[[#This Row],[Other manager 1: Numbers employed (Full Time Equivalent)]],0),"")</f>
        <v/>
      </c>
      <c r="NT22" s="30" t="str">
        <f>IFERROR(IF(AVERAGE(DATA[[#This Row],[Other manager 2: Current 2021/22 Minimum hourly pay rate ADJUSTED]],DATA[[#This Row],[Other manager 2: Current 2021/22 Maximum hourly pay rate ADJUSTED]])&lt;REAL_LIVING_WAGE_22_23,DATA[[#This Row],[Other manager 2: Numbers employed (Full Time Equivalent)]],0),"")</f>
        <v/>
      </c>
      <c r="NU22" s="30" t="str">
        <f>IFERROR(IF(AVERAGE(DATA[[#This Row],[Other manager 3: Current 2021/22 Minimum hourly pay rate ADJUSTED]],DATA[[#This Row],[Other manager 3: Current 2021/22 Maximum hourly pay rate ADJUSTED]])&lt;REAL_LIVING_WAGE_22_23,DATA[[#This Row],[Other manager 3: Numbers employed (Full Time Equivalent)]],0),"")</f>
        <v/>
      </c>
      <c r="NV22" s="30">
        <f>IFERROR(IF(AVERAGE(DATA[[#This Row],[Care Assistant 1: Current 2021/22 Minimum hourly pay rate ADJUSTED]],DATA[[#This Row],[Care Assistant 1: Current 2021/22 Maximum hourly pay rate ADJUSTED]])&lt;REAL_LIVING_WAGE_22_23,DATA[[#This Row],[Care Assistant 1: Numbers employed (Full Time Equivalent)]],0),"")</f>
        <v>19</v>
      </c>
      <c r="NW22" s="30">
        <f>IFERROR(IF(AVERAGE(DATA[[#This Row],[Care Assistant 2: Current 2021/22 Minimum hourly pay rate ADJUSTED]],DATA[[#This Row],[Care Assistant 2: Current 2021/22 Maximum hourly pay rate ADJUSTED]])&lt;REAL_LIVING_WAGE_22_23,DATA[[#This Row],[Care Assistant 2: Numbers employed (Full Time Equivalent)]],0),"")</f>
        <v>36</v>
      </c>
      <c r="NX22" s="30">
        <f>IFERROR(IF(AVERAGE(DATA[[#This Row],[Care Assistant 3: Current 2021/22 Minimum hourly pay rate ADJUSTED]],DATA[[#This Row],[Care Assistant 3: Current 2021/22 Maximum hourly pay rate ADJUSTED]])&lt;REAL_LIVING_WAGE_22_23,DATA[[#This Row],[Care Assistant 3: Numbers employed (Full Time Equivalent)]],0),"")</f>
        <v>0</v>
      </c>
      <c r="NY22"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22"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22"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1</v>
      </c>
      <c r="OB22" s="30">
        <f>IFERROR(IF(AVERAGE(DATA[[#This Row],[Other staff 1: Current 2021/22 Minimum hourly pay rate ADJUSTED]],DATA[[#This Row],[Other staff 1: Current 2021/22 Maximum hourly pay rate ADJUSTED]])&lt;REAL_LIVING_WAGE_22_23,DATA[[#This Row],[Other staff 1: Numbers employed (Full Time Equivalent)]],0),"")</f>
        <v>0</v>
      </c>
      <c r="OC22" s="30" t="str">
        <f>IFERROR(IF(AVERAGE(DATA[[#This Row],[Other staff 2: Current 2021/22 Minimum hourly pay rate ADJUSTED]],DATA[[#This Row],[Other staff 2: Current 2021/22 Maximum hourly pay rate ADJUSTED]])&lt;REAL_LIVING_WAGE_22_23,DATA[[#This Row],[Other staff 2: Numbers employed (Full Time Equivalent)]],0),"")</f>
        <v/>
      </c>
      <c r="OD22" s="30" t="str">
        <f>IFERROR(IF(AVERAGE(DATA[[#This Row],[Other staff 3: Current 2021/22 Minimum hourly pay rate ADJUSTED]],DATA[[#This Row],[Other staff 3: Current 2021/22 Maximum hourly pay rate ADJUSTED]])&lt;REAL_LIVING_WAGE_22_23,DATA[[#This Row],[Other staff 3: Numbers employed (Full Time Equivalent)]],0),"")</f>
        <v/>
      </c>
      <c r="OE22" s="30">
        <f>SUM(DATA[[#This Row],[Registered Manager FTE earning less than RLW 23yrs 2022/23]:[Other staff 3 FTE earning less than RLW 23yrs 2022/23]])</f>
        <v>56</v>
      </c>
      <c r="OF22"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22"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22"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22"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22"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22"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17.955000000000005</v>
      </c>
      <c r="OL22"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32.400000000000013</v>
      </c>
      <c r="OM22"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v>
      </c>
      <c r="ON22"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22"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22"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0.15499999999999936</v>
      </c>
      <c r="OQ22"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22"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22"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2" s="30">
        <f>IFERROR(IF(DATA[[#This Row],[Registered manager: Numbers employed (Full Time Equivalent)]]=0,"",DATA[[#This Row],[Registered manager: Current 2021/22 Minimum hourly pay rate ADJUSTED 2]]*DATA[[#This Row],[Registered manager: Numbers employed (Full Time Equivalent)]]),"")</f>
        <v>15.38</v>
      </c>
      <c r="OU22" s="30">
        <f>IFERROR(IF(DATA[[#This Row],[Registered manager: Numbers employed (Full Time Equivalent)]]=0,"",DATA[[#This Row],[Registered manager: Current 2021/22 Maximum hourly pay rate ADJUSTED 2]]*DATA[[#This Row],[Registered manager: Numbers employed (Full Time Equivalent)]]),"")</f>
        <v>20.51</v>
      </c>
      <c r="OV22" s="30">
        <f>IFERROR(IF(DATA[[#This Row],[Registered manager: Numbers employed (Full Time Equivalent)]]=0,"",DATA[[#This Row],[Registered manager: Previous 2020/21 Minimum hourly pay rate ADJUSTED 2]]*DATA[[#This Row],[Registered manager: Numbers employed (Full Time Equivalent)]]),"")</f>
        <v>15.38</v>
      </c>
      <c r="OW22" s="30">
        <f>IFERROR(IF(DATA[[#This Row],[Registered manager: Numbers employed (Full Time Equivalent)]]=0,"",DATA[[#This Row],[Registered manager: Previous 2020/21 Maximum hourly pay rate ADJUSTED 2]]*DATA[[#This Row],[Registered manager: Numbers employed (Full Time Equivalent)]]),"")</f>
        <v>20.51</v>
      </c>
      <c r="OX22" s="30">
        <f>IFERROR(IF(DATA[[#This Row],[Deputy manager: Numbers employed (Full Time Equivalent)]]=0,"",DATA[[#This Row],[Deputy manager: Current 2021/22 Minimum hourly pay rate ADJUSTED 2]]*DATA[[#This Row],[Deputy manager: Numbers employed (Full Time Equivalent)]]),"")</f>
        <v>11.28</v>
      </c>
      <c r="OY22" s="30">
        <f>IFERROR(IF(DATA[[#This Row],[Deputy manager: Numbers employed (Full Time Equivalent)]]=0,"",DATA[[#This Row],[Deputy manager: Current 2021/22 Maximum hourly pay rate ADJUSTED 2]]*DATA[[#This Row],[Deputy manager: Numbers employed (Full Time Equivalent)]]),"")</f>
        <v>15.38</v>
      </c>
      <c r="OZ22" s="30">
        <f>IFERROR(IF(DATA[[#This Row],[Deputy manager: Numbers employed (Full Time Equivalent)]]=0,"",DATA[[#This Row],[Deputy manager: Previous 2020/21 Minimum hourly pay rate ADJUSTED 2]]*DATA[[#This Row],[Deputy manager: Numbers employed (Full Time Equivalent)]]),"")</f>
        <v>11.28</v>
      </c>
      <c r="PA22" s="30">
        <f>IFERROR(IF(DATA[[#This Row],[Deputy manager: Numbers employed (Full Time Equivalent)]]=0,"",DATA[[#This Row],[Deputy manager: Previous 2020/21 Maximum hourly pay rate ADJUSTED 2]]*DATA[[#This Row],[Deputy manager: Numbers employed (Full Time Equivalent)]]),"")</f>
        <v>15.38</v>
      </c>
      <c r="PB22" s="30" t="str">
        <f>IFERROR(IF(DATA[[#This Row],[Other manager 1: Numbers employed (Full Time Equivalent)]]=0,"",DATA[[#This Row],[Other manager 1: Current 2021/22 Minimum hourly pay rate ADJUSTED 2]]*DATA[[#This Row],[Other manager 1: Numbers employed (Full Time Equivalent)]]),"")</f>
        <v/>
      </c>
      <c r="PC22" s="30" t="str">
        <f>IFERROR(IF(DATA[[#This Row],[Other manager 1: Numbers employed (Full Time Equivalent)]]=0,"",DATA[[#This Row],[Other manager 1: Current 2021/22 Maximum hourly pay rate ADJUSTED 2]]*DATA[[#This Row],[Other manager 1: Numbers employed (Full Time Equivalent)]]),"")</f>
        <v/>
      </c>
      <c r="PD22" s="30" t="str">
        <f>IFERROR(IF(DATA[[#This Row],[Other manager 1: Numbers employed (Full Time Equivalent)]]=0,"",DATA[[#This Row],[Other manager 1: Previous 2020/21 Minimum hourly pay rate ADJUSTED 2]]*DATA[[#This Row],[Other manager 1: Numbers employed (Full Time Equivalent)]]),"")</f>
        <v/>
      </c>
      <c r="PE22" s="30" t="str">
        <f>IFERROR(IF(DATA[[#This Row],[Other manager 1: Numbers employed (Full Time Equivalent)]]=0,"",DATA[[#This Row],[Other manager 1: Previous 2020/21 Maximum hourly pay rate ADJUSTED 2]]*DATA[[#This Row],[Other manager 1: Numbers employed (Full Time Equivalent)]]),"")</f>
        <v/>
      </c>
      <c r="PF22" s="30" t="str">
        <f>IFERROR(IF(DATA[[#This Row],[Other manager 2: Numbers employed (Full Time Equivalent)]]=0,"",DATA[[#This Row],[Other manager 2: Current 2021/22 Minimum hourly pay rate ADJUSTED 2]]*DATA[[#This Row],[Other manager 2: Numbers employed (Full Time Equivalent)]]),"")</f>
        <v/>
      </c>
      <c r="PG22" s="30" t="str">
        <f>IFERROR(IF(DATA[[#This Row],[Other manager 2: Numbers employed (Full Time Equivalent)]]=0,"",DATA[[#This Row],[Other manager 2: Current 2021/22 Maximum hourly pay rate ADJUSTED 2]]*DATA[[#This Row],[Other manager 2: Numbers employed (Full Time Equivalent)]]),"")</f>
        <v/>
      </c>
      <c r="PH22" s="30" t="str">
        <f>IFERROR(IF(DATA[[#This Row],[Other manager 2: Numbers employed (Full Time Equivalent)]]=0,"",DATA[[#This Row],[Other manager 2: Previous 2020/21 Minimum hourly pay rate ADJUSTED 2]]*DATA[[#This Row],[Other manager 2: Numbers employed (Full Time Equivalent)]]),"")</f>
        <v/>
      </c>
      <c r="PI22" s="30" t="str">
        <f>IFERROR(IF(DATA[[#This Row],[Other manager 2: Numbers employed (Full Time Equivalent)]]=0,"",DATA[[#This Row],[Other manager 2: Previous 2020/21 Maximum hourly pay rate ADJUSTED 2]]*DATA[[#This Row],[Other manager 2: Numbers employed (Full Time Equivalent)]]),"")</f>
        <v/>
      </c>
      <c r="PJ22" s="30" t="str">
        <f>IFERROR(IF(DATA[[#This Row],[Other manager 3: Numbers employed (Full Time Equivalent)]]=0,"",DATA[[#This Row],[Other manager 3: Current 2021/22 Minimum hourly pay rate ADJUSTED 2]]*DATA[[#This Row],[Other manager 3: Numbers employed (Full Time Equivalent)]]),"")</f>
        <v/>
      </c>
      <c r="PK22" s="30" t="str">
        <f>IFERROR(IF(DATA[[#This Row],[Other manager 3: Numbers employed (Full Time Equivalent)]]=0,"",DATA[[#This Row],[Other manager 3: Current 2021/22 Maximum hourly pay rate ADJUSTED 2]]*DATA[[#This Row],[Other manager 3: Numbers employed (Full Time Equivalent)]]),"")</f>
        <v/>
      </c>
      <c r="PL22" s="30" t="str">
        <f>IFERROR(IF(DATA[[#This Row],[Other manager 3: Numbers employed (Full Time Equivalent)]]=0,"",DATA[[#This Row],[Other manager 3: Previous 2020/21 Minimum hourly pay rate ADJUSTED 2]]*DATA[[#This Row],[Other manager 3: Numbers employed (Full Time Equivalent)]]),"")</f>
        <v/>
      </c>
      <c r="PM22" s="30" t="str">
        <f>IFERROR(IF(DATA[[#This Row],[Other manager 3: Numbers employed (Full Time Equivalent)]]=0,"",DATA[[#This Row],[Other manager 3: Previous 2020/21 Maximum hourly pay rate ADJUSTED 2]]*DATA[[#This Row],[Other manager 3: Numbers employed (Full Time Equivalent)]]),"")</f>
        <v/>
      </c>
      <c r="PN22" s="30">
        <f>IFERROR(IF(DATA[[#This Row],[Care Assistant 1: Numbers employed (Full Time Equivalent)]]=0,"",DATA[[#This Row],[Care Assistant 1: Current 2021/22 Minimum hourly pay rate ADJUSTED 2]]*DATA[[#This Row],[Care Assistant 1: Numbers employed (Full Time Equivalent)]]),"")</f>
        <v>169.29</v>
      </c>
      <c r="PO22" s="30">
        <f>IFERROR(IF(DATA[[#This Row],[Care Assistant 1: Numbers employed (Full Time Equivalent)]]=0,"",DATA[[#This Row],[Care Assistant 1: Current 2021/22 Maximum hourly pay rate ADJUSTED 2]]*DATA[[#This Row],[Care Assistant 1: Numbers employed (Full Time Equivalent)]]),"")</f>
        <v>171</v>
      </c>
      <c r="PP22" s="30">
        <f>IFERROR(IF(DATA[[#This Row],[Care Assistant 1: Numbers employed (Full Time Equivalent)]]=0,"",DATA[[#This Row],[Care Assistant 1: Previous 2020/21 Minimum hourly pay rate ADJUSTED 2]]*DATA[[#This Row],[Care Assistant 1: Numbers employed (Full Time Equivalent)]]),"")</f>
        <v>165.68</v>
      </c>
      <c r="PQ22" s="30">
        <f>IFERROR(IF(DATA[[#This Row],[Care Assistant 1: Numbers employed (Full Time Equivalent)]]=0,"",DATA[[#This Row],[Care Assistant 1: Previous 2020/21 Maximum hourly pay rate ADJUSTED 2]]*DATA[[#This Row],[Care Assistant 1: Numbers employed (Full Time Equivalent)]]),"")</f>
        <v>171</v>
      </c>
      <c r="PR22" s="30">
        <f>IFERROR(IF(DATA[[#This Row],[Care Assistant 2: Numbers employed (Full Time Equivalent)]]=0,"",DATA[[#This Row],[Care Assistant 2: Current 2021/22 Minimum hourly pay rate ADJUSTED 2]]*DATA[[#This Row],[Care Assistant 2: Numbers employed (Full Time Equivalent)]]),"")</f>
        <v>324</v>
      </c>
      <c r="PS22" s="30">
        <f>IFERROR(IF(DATA[[#This Row],[Care Assistant 2: Numbers employed (Full Time Equivalent)]]=0,"",DATA[[#This Row],[Care Assistant 2: Current 2021/22 Maximum hourly pay rate ADJUSTED 2]]*DATA[[#This Row],[Care Assistant 2: Numbers employed (Full Time Equivalent)]]),"")</f>
        <v>324</v>
      </c>
      <c r="PT22" s="30">
        <f>IFERROR(IF(DATA[[#This Row],[Care Assistant 2: Numbers employed (Full Time Equivalent)]]=0,"",DATA[[#This Row],[Care Assistant 2: Previous 2020/21 Minimum hourly pay rate ADJUSTED 2]]*DATA[[#This Row],[Care Assistant 2: Numbers employed (Full Time Equivalent)]]),"")</f>
        <v>324</v>
      </c>
      <c r="PU22" s="30">
        <f>IFERROR(IF(DATA[[#This Row],[Care Assistant 2: Numbers employed (Full Time Equivalent)]]=0,"",DATA[[#This Row],[Care Assistant 2: Previous 2020/21 Maximum hourly pay rate ADJUSTED 2]]*DATA[[#This Row],[Care Assistant 2: Numbers employed (Full Time Equivalent)]]),"")</f>
        <v>324</v>
      </c>
      <c r="PV22" s="30">
        <f>IFERROR(IF(DATA[[#This Row],[Care Assistant 3: Numbers employed (Full Time Equivalent)]]=0,"",DATA[[#This Row],[Care Assistant 3: Current 2021/22 Minimum hourly pay rate ADJUSTED 2]]*DATA[[#This Row],[Care Assistant 3: Numbers employed (Full Time Equivalent)]]),"")</f>
        <v>30</v>
      </c>
      <c r="PW22" s="30">
        <f>IFERROR(IF(DATA[[#This Row],[Care Assistant 3: Numbers employed (Full Time Equivalent)]]=0,"",DATA[[#This Row],[Care Assistant 3: Current 2021/22 Maximum hourly pay rate ADJUSTED 2]]*DATA[[#This Row],[Care Assistant 3: Numbers employed (Full Time Equivalent)]]),"")</f>
        <v>33.839999999999996</v>
      </c>
      <c r="PX22" s="30">
        <f>IFERROR(IF(DATA[[#This Row],[Care Assistant 3: Numbers employed (Full Time Equivalent)]]=0,"",DATA[[#This Row],[Care Assistant 3: Previous 2020/21 Minimum hourly pay rate ADJUSTED 2]]*DATA[[#This Row],[Care Assistant 3: Numbers employed (Full Time Equivalent)]]),"")</f>
        <v>30</v>
      </c>
      <c r="PY22" s="30">
        <f>IFERROR(IF(DATA[[#This Row],[Care Assistant 3: Numbers employed (Full Time Equivalent)]]=0,"",DATA[[#This Row],[Care Assistant 3: Previous 2020/21 Maximum hourly pay rate ADJUSTED 2]]*DATA[[#This Row],[Care Assistant 3: Numbers employed (Full Time Equivalent)]]),"")</f>
        <v>30</v>
      </c>
      <c r="PZ22" s="30" t="str">
        <f>IFERROR(IF(DATA[[#This Row],[Care Assistant 4: Numbers employed (Full Time Equivalent)]]=0,"",DATA[[#This Row],[Care Assistant 4: Current 2021/22 Minimum hourly pay rate ADJUSTED 2]]*DATA[[#This Row],[Care Assistant 4: Numbers employed (Full Time Equivalent)]]),"")</f>
        <v/>
      </c>
      <c r="QA22" s="30" t="str">
        <f>IFERROR(IF(DATA[[#This Row],[Care Assistant 4: Numbers employed (Full Time Equivalent)]]=0,"",DATA[[#This Row],[Care Assistant 4: Current 2021/22 Maximum hourly pay rate ADJUSTED 2]]*DATA[[#This Row],[Care Assistant 4: Numbers employed (Full Time Equivalent)]]),"")</f>
        <v/>
      </c>
      <c r="QB22" s="30" t="str">
        <f>IFERROR(IF(DATA[[#This Row],[Care Assistant 4: Numbers employed (Full Time Equivalent)]]=0,"",DATA[[#This Row],[Care Assistant 4: Previous 2020/21 Minimum hourly pay rate ADJUSTED 2]]*DATA[[#This Row],[Care Assistant 4: Numbers employed (Full Time Equivalent)]]),"")</f>
        <v/>
      </c>
      <c r="QC22" s="30" t="str">
        <f>IFERROR(IF(DATA[[#This Row],[Care Assistant 4: Numbers employed (Full Time Equivalent)]]=0,"",DATA[[#This Row],[Care Assistant 4: Previous 2020/21 Maximum hourly pay rate ADJUSTED 2]]*DATA[[#This Row],[Care Assistant 4: Numbers employed (Full Time Equivalent)]]),"")</f>
        <v/>
      </c>
      <c r="QD22" s="30">
        <f>IFERROR(IF(DATA[[#This Row],[Administrative Officer 1: Numbers employed (Full Time Equivalent)]]=0,"",DATA[[#This Row],[Administrative Officer 1: Current 2021/22 Minimum hourly pay rate ADJUSTED 2]]*DATA[[#This Row],[Administrative Officer 1: Numbers employed (Full Time Equivalent)]]),"")</f>
        <v>30.78</v>
      </c>
      <c r="QE22" s="30">
        <f>IFERROR(IF(DATA[[#This Row],[Administrative Officer 1: Numbers employed (Full Time Equivalent)]]=0,"",DATA[[#This Row],[Administrative Officer 1: Current 2021/22 Maximum hourly pay rate ADJUSTED 2]]*DATA[[#This Row],[Administrative Officer 1: Numbers employed (Full Time Equivalent)]]),"")</f>
        <v>33.839999999999996</v>
      </c>
      <c r="QF22" s="30">
        <f>IFERROR(IF(DATA[[#This Row],[Administrative Officer 1: Numbers employed (Full Time Equivalent)]]=0,"",DATA[[#This Row],[Administrative Officer 1: Previous 2020/21 Minimum hourly pay rate ADJUSTED 2]]*DATA[[#This Row],[Administrative Officer 1: Numbers employed (Full Time Equivalent)]]),"")</f>
        <v>30.78</v>
      </c>
      <c r="QG22" s="30">
        <f>IFERROR(IF(DATA[[#This Row],[Administrative Officer 1: Numbers employed (Full Time Equivalent)]]=0,"",DATA[[#This Row],[Administrative Officer 1: Previous 2020/21 Maximum hourly pay rate ADJUSTED 2]]*DATA[[#This Row],[Administrative Officer 1: Numbers employed (Full Time Equivalent)]]),"")</f>
        <v>33.839999999999996</v>
      </c>
      <c r="QH22" s="30">
        <f>IFERROR(IF(DATA[[#This Row],[Administrative Officer 2: Numbers employed (Full Time Equivalent)]]=0,"",DATA[[#This Row],[Administrative Officer 2: Current 2021/22 Minimum hourly pay rate ADJUSTED 2]]*DATA[[#This Row],[Administrative Officer 2: Numbers employed (Full Time Equivalent)]]),"")</f>
        <v>9.23</v>
      </c>
      <c r="QI22" s="30">
        <f>IFERROR(IF(DATA[[#This Row],[Administrative Officer 2: Numbers employed (Full Time Equivalent)]]=0,"",DATA[[#This Row],[Administrative Officer 2: Current 2021/22 Maximum hourly pay rate ADJUSTED 2]]*DATA[[#This Row],[Administrative Officer 2: Numbers employed (Full Time Equivalent)]]),"")</f>
        <v>10.26</v>
      </c>
      <c r="QJ22" s="30">
        <f>IFERROR(IF(DATA[[#This Row],[Administrative Officer 2: Numbers employed (Full Time Equivalent)]]=0,"",DATA[[#This Row],[Administrative Officer 2: Previous 2020/21 Minimum hourly pay rate ADJUSTED 2]]*DATA[[#This Row],[Administrative Officer 2: Numbers employed (Full Time Equivalent)]]),"")</f>
        <v>9.23</v>
      </c>
      <c r="QK22" s="30">
        <f>IFERROR(IF(DATA[[#This Row],[Administrative Officer 2: Numbers employed (Full Time Equivalent)]]=0,"",DATA[[#This Row],[Administrative Officer 2: Previous 2020/21 Maximum hourly pay rate ADJUSTED 2]]*DATA[[#This Row],[Administrative Officer 2: Numbers employed (Full Time Equivalent)]]),"")</f>
        <v>10.26</v>
      </c>
      <c r="QL22" s="30">
        <f>IFERROR(IF(DATA[[#This Row],[Administrative Officer 3: Numbers employed (Full Time Equivalent)]]=0,"",DATA[[#This Row],[Administrative Officer 3: Current 2021/22 Minimum hourly pay rate ADJUSTED 2]]*DATA[[#This Row],[Administrative Officer 3: Numbers employed (Full Time Equivalent)]]),"")</f>
        <v>8.91</v>
      </c>
      <c r="QM22" s="30">
        <f>IFERROR(IF(DATA[[#This Row],[Administrative Officer 3: Numbers employed (Full Time Equivalent)]]=0,"",DATA[[#This Row],[Administrative Officer 3: Current 2021/22 Maximum hourly pay rate ADJUSTED 2]]*DATA[[#This Row],[Administrative Officer 3: Numbers employed (Full Time Equivalent)]]),"")</f>
        <v>8.91</v>
      </c>
      <c r="QN22" s="30">
        <f>IFERROR(IF(DATA[[#This Row],[Administrative Officer 3: Numbers employed (Full Time Equivalent)]]=0,"",DATA[[#This Row],[Administrative Officer 3: Previous 2020/21 Minimum hourly pay rate ADJUSTED 2]]*DATA[[#This Row],[Administrative Officer 3: Numbers employed (Full Time Equivalent)]]),"")</f>
        <v>8.7200000000000006</v>
      </c>
      <c r="QO22" s="30">
        <f>IFERROR(IF(DATA[[#This Row],[Administrative Officer 3: Numbers employed (Full Time Equivalent)]]=0,"",DATA[[#This Row],[Administrative Officer 3: Previous 2020/21 Maximum hourly pay rate ADJUSTED 2]]*DATA[[#This Row],[Administrative Officer 3: Numbers employed (Full Time Equivalent)]]),"")</f>
        <v>8.7200000000000006</v>
      </c>
      <c r="QP22" s="28">
        <f>IFERROR(IF(DATA[[#This Row],[Other staff 1: Numbers employed (Full Time Equivalent)]]=0,"",DATA[[#This Row],[Other staff 1: Current 2021/22 Minimum hourly pay rate ADJUSTED 2]]*DATA[[#This Row],[Other staff 1: Numbers employed (Full Time Equivalent)]]),"")</f>
        <v>20.51</v>
      </c>
      <c r="QQ22" s="28">
        <f>IFERROR(IF(DATA[[#This Row],[Other staff 1: Numbers employed (Full Time Equivalent)]]=0,"",DATA[[#This Row],[Other staff 1: Current 2021/22 Maximum hourly pay rate ADJUSTED 2]]*DATA[[#This Row],[Other staff 1: Numbers employed (Full Time Equivalent)]]),"")</f>
        <v>20.51</v>
      </c>
      <c r="QR22" s="28">
        <f>IFERROR(IF(DATA[[#This Row],[Other staff 1: Numbers employed (Full Time Equivalent)]]=0,"",DATA[[#This Row],[Other staff 1: Previous 2020/21 Minimum hourly pay rate ADJUSTED 2]]*DATA[[#This Row],[Other staff 1: Numbers employed (Full Time Equivalent)]]),"")</f>
        <v>19.48</v>
      </c>
      <c r="QS22" s="28">
        <f>IFERROR(IF(DATA[[#This Row],[Other staff 1: Numbers employed (Full Time Equivalent)]]=0,"",DATA[[#This Row],[Other staff 1: Previous 2020/21 Maximum hourly pay rate ADJUSTED 2]]*DATA[[#This Row],[Other staff 1: Numbers employed (Full Time Equivalent)]]),"")</f>
        <v>19.48</v>
      </c>
      <c r="QT22" s="28" t="str">
        <f>IFERROR(IF(DATA[[#This Row],[Other staff 2: Numbers employed (Full Time Equivalent)]]=0,"",DATA[[#This Row],[Other staff 2: Current 2021/22 Minimum hourly pay rate ADJUSTED 2]]*DATA[[#This Row],[Other staff 2: Numbers employed (Full Time Equivalent)]]),"")</f>
        <v/>
      </c>
      <c r="QU22" s="28" t="str">
        <f>IFERROR(IF(DATA[[#This Row],[Other staff 2: Numbers employed (Full Time Equivalent)]]=0,"",DATA[[#This Row],[Other staff 2: Current 2021/22 Maximum hourly pay rate ADJUSTED 2]]*DATA[[#This Row],[Other staff 2: Numbers employed (Full Time Equivalent)]]),"")</f>
        <v/>
      </c>
      <c r="QV22" s="28" t="str">
        <f>IFERROR(IF(DATA[[#This Row],[Other staff 2: Numbers employed (Full Time Equivalent)]]=0,"",DATA[[#This Row],[Other staff 2: Previous 2020/21 Minimum hourly pay rate ADJUSTED 2]]*DATA[[#This Row],[Other staff 2: Numbers employed (Full Time Equivalent)]]),"")</f>
        <v/>
      </c>
      <c r="QW22" s="28" t="str">
        <f>IFERROR(IF(DATA[[#This Row],[Other staff 2: Numbers employed (Full Time Equivalent)]]=0,"",DATA[[#This Row],[Other staff 2: Previous 2020/21 Maximum hourly pay rate ADJUSTED 2]]*DATA[[#This Row],[Other staff 2: Numbers employed (Full Time Equivalent)]]),"")</f>
        <v/>
      </c>
      <c r="QX22" s="28" t="str">
        <f>IFERROR(IF(DATA[[#This Row],[Other staff 3: Numbers employed (Full Time Equivalent)]]=0,"",DATA[[#This Row],[Other staff 3: Current 2021/22 Minimum hourly pay rate ADJUSTED 2]]*DATA[[#This Row],[Other staff 3: Numbers employed (Full Time Equivalent)]]),"")</f>
        <v/>
      </c>
      <c r="QY22" s="28" t="str">
        <f>IFERROR(IF(DATA[[#This Row],[Other staff 3: Numbers employed (Full Time Equivalent)]]=0,"",DATA[[#This Row],[Other staff 3: Current 2021/22 Maximum hourly pay rate ADJUSTED 2]]*DATA[[#This Row],[Other staff 3: Numbers employed (Full Time Equivalent)]]),"")</f>
        <v/>
      </c>
      <c r="QZ22" s="28" t="str">
        <f>IFERROR(IF(DATA[[#This Row],[Other staff 3: Numbers employed (Full Time Equivalent)]]=0,"",DATA[[#This Row],[Other staff 3: Previous 2020/21 Minimum hourly pay rate ADJUSTED 2]]*DATA[[#This Row],[Other staff 3: Numbers employed (Full Time Equivalent)]]),"")</f>
        <v/>
      </c>
      <c r="RA22" s="28" t="str">
        <f>IFERROR(IF(DATA[[#This Row],[Other staff 3: Numbers employed (Full Time Equivalent)]]=0,"",DATA[[#This Row],[Other staff 3: Previous 2020/21 Maximum hourly pay rate ADJUSTED 2]]*DATA[[#This Row],[Other staff 3: Numbers employed (Full Time Equivalent)]]),"")</f>
        <v/>
      </c>
      <c r="RB22"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22"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22"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22"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22"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22"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19</v>
      </c>
      <c r="RH22"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36</v>
      </c>
      <c r="RI22"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3</v>
      </c>
      <c r="RJ22"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22"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3</v>
      </c>
      <c r="RL22"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22"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1</v>
      </c>
      <c r="RN22"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22"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22"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3" spans="7:484" x14ac:dyDescent="0.25">
      <c r="G23" s="2">
        <v>17</v>
      </c>
      <c r="H23" s="2">
        <v>22</v>
      </c>
      <c r="I23" s="2">
        <v>0</v>
      </c>
      <c r="J23" s="2">
        <v>1</v>
      </c>
      <c r="K23" s="2">
        <v>0</v>
      </c>
      <c r="L23" s="2" t="s">
        <v>328</v>
      </c>
      <c r="M23" s="2" t="s">
        <v>365</v>
      </c>
      <c r="R23" s="2">
        <v>12.73</v>
      </c>
      <c r="S23" s="2">
        <v>12.73</v>
      </c>
      <c r="T23" s="2">
        <v>12.73</v>
      </c>
      <c r="U23" s="2">
        <v>12.73</v>
      </c>
      <c r="V23" s="2">
        <v>1</v>
      </c>
      <c r="W23" s="2">
        <v>0</v>
      </c>
      <c r="X23" s="2">
        <v>0</v>
      </c>
      <c r="Y23" s="2">
        <v>0</v>
      </c>
      <c r="Z23" s="2">
        <v>0</v>
      </c>
      <c r="AA23" s="2">
        <v>0</v>
      </c>
      <c r="AB23" s="2" t="s">
        <v>405</v>
      </c>
      <c r="AC23" s="2">
        <v>9.1999999999999993</v>
      </c>
      <c r="AD23" s="2">
        <v>9.1999999999999993</v>
      </c>
      <c r="AE23" s="2">
        <v>9</v>
      </c>
      <c r="AF23" s="2">
        <v>9</v>
      </c>
      <c r="AG23" s="2">
        <v>1</v>
      </c>
      <c r="AH23" s="2" t="s">
        <v>315</v>
      </c>
      <c r="AI23" s="2">
        <v>0</v>
      </c>
      <c r="AJ23" s="2">
        <v>0</v>
      </c>
      <c r="AK23" s="2">
        <v>0</v>
      </c>
      <c r="AL23" s="2">
        <v>0</v>
      </c>
      <c r="AM23" s="2">
        <v>0</v>
      </c>
      <c r="AN23" s="2" t="s">
        <v>315</v>
      </c>
      <c r="AO23" s="2">
        <v>0</v>
      </c>
      <c r="AP23" s="2">
        <v>0</v>
      </c>
      <c r="AQ23" s="2">
        <v>0</v>
      </c>
      <c r="AR23" s="2">
        <v>0</v>
      </c>
      <c r="AS23" s="2">
        <v>0</v>
      </c>
      <c r="AT23" s="2" t="s">
        <v>406</v>
      </c>
      <c r="AU23" s="2">
        <v>9.11</v>
      </c>
      <c r="AV23" s="2">
        <v>9.11</v>
      </c>
      <c r="AW23" s="2">
        <v>8.91</v>
      </c>
      <c r="AX23" s="2">
        <v>8.91</v>
      </c>
      <c r="AY23" s="2">
        <v>2</v>
      </c>
      <c r="AZ23" s="2" t="s">
        <v>407</v>
      </c>
      <c r="BA23" s="2">
        <v>9.01</v>
      </c>
      <c r="BB23" s="2">
        <v>9.01</v>
      </c>
      <c r="BC23" s="2">
        <v>8.82</v>
      </c>
      <c r="BD23" s="2">
        <v>8.82</v>
      </c>
      <c r="BE23" s="2">
        <v>2</v>
      </c>
      <c r="BF23" s="2" t="s">
        <v>408</v>
      </c>
      <c r="BG23" s="2">
        <v>8.91</v>
      </c>
      <c r="BH23" s="2">
        <v>8.91</v>
      </c>
      <c r="BI23" s="2">
        <v>8.7200000000000006</v>
      </c>
      <c r="BJ23" s="2">
        <v>8.7200000000000006</v>
      </c>
      <c r="BK23" s="2">
        <v>31</v>
      </c>
      <c r="BL23" s="2" t="s">
        <v>409</v>
      </c>
      <c r="BM23" s="2">
        <v>8.91</v>
      </c>
      <c r="BN23" s="2">
        <v>8.91</v>
      </c>
      <c r="BO23" s="2">
        <v>8.7200000000000006</v>
      </c>
      <c r="BP23" s="2">
        <v>8.7200000000000006</v>
      </c>
      <c r="BQ23" s="2">
        <v>2</v>
      </c>
      <c r="BR23" s="2" t="s">
        <v>317</v>
      </c>
      <c r="BS23" s="2">
        <v>0</v>
      </c>
      <c r="BT23" s="2">
        <v>0</v>
      </c>
      <c r="BU23" s="2">
        <v>0</v>
      </c>
      <c r="BV23" s="2">
        <v>0</v>
      </c>
      <c r="BW23" s="2">
        <v>0</v>
      </c>
      <c r="BX23" s="2" t="s">
        <v>317</v>
      </c>
      <c r="BY23" s="2">
        <v>0</v>
      </c>
      <c r="BZ23" s="2">
        <v>0</v>
      </c>
      <c r="CA23" s="2">
        <v>0</v>
      </c>
      <c r="CB23" s="2">
        <v>0</v>
      </c>
      <c r="CC23" s="2">
        <v>0</v>
      </c>
      <c r="CD23" s="2" t="s">
        <v>317</v>
      </c>
      <c r="CE23" s="2">
        <v>0</v>
      </c>
      <c r="CF23" s="2">
        <v>0</v>
      </c>
      <c r="CG23" s="2">
        <v>0</v>
      </c>
      <c r="CH23" s="2">
        <v>0</v>
      </c>
      <c r="CI23" s="2">
        <v>0</v>
      </c>
      <c r="CJ23" s="2" t="s">
        <v>318</v>
      </c>
      <c r="CK23" s="2">
        <v>0</v>
      </c>
      <c r="CL23" s="2">
        <v>0</v>
      </c>
      <c r="CM23" s="2">
        <v>0</v>
      </c>
      <c r="CN23" s="2">
        <v>0</v>
      </c>
      <c r="CO23" s="2">
        <v>0</v>
      </c>
      <c r="CP23" s="2" t="s">
        <v>318</v>
      </c>
      <c r="CQ23" s="2">
        <v>0</v>
      </c>
      <c r="CR23" s="2">
        <v>0</v>
      </c>
      <c r="CS23" s="2">
        <v>0</v>
      </c>
      <c r="CT23" s="2">
        <v>0</v>
      </c>
      <c r="CU23" s="2">
        <v>0</v>
      </c>
      <c r="CV23" s="2" t="s">
        <v>318</v>
      </c>
      <c r="CW23" s="2">
        <v>0</v>
      </c>
      <c r="CX23" s="2">
        <v>0</v>
      </c>
      <c r="CY23" s="2">
        <v>0</v>
      </c>
      <c r="CZ23" s="2">
        <v>0</v>
      </c>
      <c r="DA23" s="2">
        <v>0</v>
      </c>
      <c r="DB23" s="2">
        <v>0.03</v>
      </c>
      <c r="DC23" s="2">
        <v>38</v>
      </c>
      <c r="DD23" s="2">
        <v>32</v>
      </c>
      <c r="DE23" s="2">
        <v>0.1</v>
      </c>
      <c r="DF23" s="2">
        <v>0</v>
      </c>
      <c r="DG23" s="2">
        <v>27.9</v>
      </c>
      <c r="DH23" s="2">
        <v>2</v>
      </c>
      <c r="DI23" s="2">
        <v>0</v>
      </c>
      <c r="DJ23" s="2">
        <v>0</v>
      </c>
      <c r="DK23" s="2">
        <v>0</v>
      </c>
      <c r="DL23" s="2">
        <v>0</v>
      </c>
      <c r="DM23" s="2">
        <v>0</v>
      </c>
      <c r="DN23" s="2">
        <v>0</v>
      </c>
      <c r="DO23" s="2">
        <v>18.32</v>
      </c>
      <c r="DP23" s="2">
        <v>18.32</v>
      </c>
      <c r="DQ23" s="2">
        <v>15.87</v>
      </c>
      <c r="DR23" s="18">
        <v>43800</v>
      </c>
      <c r="DS23" s="18">
        <v>44165</v>
      </c>
      <c r="DT23" s="2">
        <v>47847</v>
      </c>
      <c r="DU23" s="2">
        <v>55564</v>
      </c>
      <c r="DV23" s="2">
        <v>601173</v>
      </c>
      <c r="DW23" s="2">
        <v>18448</v>
      </c>
      <c r="DX23" s="2">
        <v>0</v>
      </c>
      <c r="DY23" s="2">
        <v>0</v>
      </c>
      <c r="DZ23" s="2">
        <v>9426</v>
      </c>
      <c r="EA23" s="2">
        <v>26158</v>
      </c>
      <c r="EB23" s="2">
        <v>5325</v>
      </c>
      <c r="EC23" s="2">
        <v>6097</v>
      </c>
      <c r="ED23" s="2">
        <v>0</v>
      </c>
      <c r="EE23" s="2">
        <v>11978</v>
      </c>
      <c r="EF23" s="2">
        <v>0</v>
      </c>
      <c r="EG23" s="2">
        <v>7072</v>
      </c>
      <c r="EH23" s="2" t="s">
        <v>410</v>
      </c>
      <c r="EI23" s="2">
        <v>13833</v>
      </c>
      <c r="EJ23" s="2" t="s">
        <v>324</v>
      </c>
      <c r="EK23" s="2">
        <v>0</v>
      </c>
      <c r="EL23" s="2">
        <v>6206</v>
      </c>
      <c r="EM23" s="2">
        <v>8247</v>
      </c>
      <c r="EN23" s="2">
        <v>2603</v>
      </c>
      <c r="EO23" s="2">
        <v>35961</v>
      </c>
      <c r="EP23" s="2">
        <v>4289</v>
      </c>
      <c r="EQ23" s="2">
        <v>0</v>
      </c>
      <c r="ER23" s="2">
        <v>2328</v>
      </c>
      <c r="ES23" s="2">
        <v>23205</v>
      </c>
      <c r="ET23" s="2" t="s">
        <v>411</v>
      </c>
      <c r="EU23" s="2">
        <v>4644</v>
      </c>
      <c r="EV23" s="2" t="s">
        <v>324</v>
      </c>
      <c r="EW23" s="2">
        <v>0</v>
      </c>
      <c r="EX23" s="2">
        <v>0</v>
      </c>
      <c r="EY23" s="2">
        <v>20967</v>
      </c>
      <c r="EZ23" s="2" t="s">
        <v>326</v>
      </c>
      <c r="FA23" s="2">
        <v>0</v>
      </c>
      <c r="FB23" s="2" t="s">
        <v>326</v>
      </c>
      <c r="FC23" s="2">
        <v>0</v>
      </c>
      <c r="FD23" s="2">
        <v>13362</v>
      </c>
      <c r="FE23" s="2">
        <v>0.85</v>
      </c>
      <c r="FF23" s="2">
        <v>15681</v>
      </c>
      <c r="FG23" s="2"/>
      <c r="FH23" s="19">
        <v>44480.623738425929</v>
      </c>
      <c r="FI23" s="2" t="s">
        <v>364</v>
      </c>
      <c r="FJ23" s="2">
        <f>SUM(DATA[[#This Row],[Number of Home support clients:]],DATA[[#This Row],[Number of supported living clients:]])</f>
        <v>22</v>
      </c>
      <c r="FK23"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23"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12.73</v>
      </c>
      <c r="FM23"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12.73</v>
      </c>
      <c r="FN23"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12.73</v>
      </c>
      <c r="FO23"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12.73</v>
      </c>
      <c r="FP23"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23"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23"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23"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23"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9.1999999999999993</v>
      </c>
      <c r="FU23"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9.1999999999999993</v>
      </c>
      <c r="FV23"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9</v>
      </c>
      <c r="FW23"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9</v>
      </c>
      <c r="FX23"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23"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23"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23"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23"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23"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23"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23"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23"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9.11</v>
      </c>
      <c r="GG23"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9.11</v>
      </c>
      <c r="GH23"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8.91</v>
      </c>
      <c r="GI23"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8.91</v>
      </c>
      <c r="GJ23"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9.01</v>
      </c>
      <c r="GK23"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9.01</v>
      </c>
      <c r="GL23"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8.82</v>
      </c>
      <c r="GM23"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8.82</v>
      </c>
      <c r="GN23"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8.91</v>
      </c>
      <c r="GO23"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8.91</v>
      </c>
      <c r="GP23"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8.7200000000000006</v>
      </c>
      <c r="GQ23"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8.7200000000000006</v>
      </c>
      <c r="GR23"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8.91</v>
      </c>
      <c r="GS23"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8.91</v>
      </c>
      <c r="GT23"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8.7200000000000006</v>
      </c>
      <c r="GU23"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8.7200000000000006</v>
      </c>
      <c r="GV23"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23"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23"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23"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23"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23"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23"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23"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23"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23"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23"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23"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23"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23"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23"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23"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23"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23"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23"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23"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23"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3"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3"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3"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3"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12.73</v>
      </c>
      <c r="HU23"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12.73</v>
      </c>
      <c r="HV23"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12.73</v>
      </c>
      <c r="HW23"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12.73</v>
      </c>
      <c r="HX23"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23"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23"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23"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23"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9.1999999999999993</v>
      </c>
      <c r="IC23"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9.1999999999999993</v>
      </c>
      <c r="ID23"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9</v>
      </c>
      <c r="IE23"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9</v>
      </c>
      <c r="IF23"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23"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23"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23"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23"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23"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23"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23"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23"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9.11</v>
      </c>
      <c r="IO23"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9.11</v>
      </c>
      <c r="IP23"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8.91</v>
      </c>
      <c r="IQ23"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8.91</v>
      </c>
      <c r="IR23"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9.01</v>
      </c>
      <c r="IS23"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9.01</v>
      </c>
      <c r="IT23"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8.82</v>
      </c>
      <c r="IU23"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8.82</v>
      </c>
      <c r="IV23"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8.91</v>
      </c>
      <c r="IW23"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8.91</v>
      </c>
      <c r="IX23"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8.7200000000000006</v>
      </c>
      <c r="IY23"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8.7200000000000006</v>
      </c>
      <c r="IZ23"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8.91</v>
      </c>
      <c r="JA23"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8.91</v>
      </c>
      <c r="JB23"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8.7200000000000006</v>
      </c>
      <c r="JC23"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8.7200000000000006</v>
      </c>
      <c r="JD23"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23"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23"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23"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23"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23"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23"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23"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23"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23"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23"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23"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23"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23"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23"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23"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23"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23"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23"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23"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23"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3"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3"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3"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3"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23" s="21">
        <f>SUM(DATA[[#This Row],[Care Assistant 1: Numbers employed (Full Time Equivalent)]],DATA[[#This Row],[Care Assistant 2: Numbers employed (Full Time Equivalent)]],DATA[[#This Row],[Care Assistant 3: Numbers employed (Full Time Equivalent)]],DATA[[#This Row],[Care Assistant 4: Numbers employed (Full Time Equivalent)]])</f>
        <v>37</v>
      </c>
      <c r="KD23" s="21">
        <f>SUM(DATA[[#This Row],[Administrative Officer 1: Numbers employed (Full Time Equivalent)]],DATA[[#This Row],[Administrative Officer 2: Numbers employed (Full Time Equivalent)]])</f>
        <v>0</v>
      </c>
      <c r="KE23" s="21">
        <f>SUM(DATA[[#This Row],[Other staff 1: Numbers employed (Full Time Equivalent)]],DATA[[#This Row],[Other staff 2: Numbers employed (Full Time Equivalent)]],DATA[[#This Row],[Other staff 3: Numbers employed (Full Time Equivalent)]])</f>
        <v>0</v>
      </c>
      <c r="KF23" s="21">
        <f>SUM(DATA[[#This Row],[Total FTE Management Employees]:[Total FTE Other Employees]])</f>
        <v>39</v>
      </c>
      <c r="KG23" s="21" t="str">
        <f>IF(SUM(DATA[[#This Row],[Home Support service split percentage (Expenditure):]],DATA[[#This Row],[Supported Living service split percentage (Expenditure):]])&gt;0, IF(DATA[[#This Row],[Home Support service split percentage (Expenditure):]]&gt;0.5,"Home Support","Supported Living"), "Unknown")</f>
        <v>Home Support</v>
      </c>
      <c r="KH23" s="21">
        <f>SUM(DATA[[#This Row],[Home Support: Birmingham City Council]:[Home Support: Self-funded]])</f>
        <v>100</v>
      </c>
      <c r="KI23" s="21">
        <f>SUM(DATA[[#This Row],[Supported Living: Birmingham City Council]:[Supported Living: Self-funded]])</f>
        <v>0</v>
      </c>
      <c r="KJ23"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23"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23"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23"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23" s="21" t="b">
        <f>SUM(DATA[[#This Row],[Number of hours of care charged for in last full accounting year]:[Corporate Overheads: Other  - please specify (category) 1]])&gt;0</f>
        <v>1</v>
      </c>
      <c r="KO23" s="21">
        <f>SUM(DATA[[#This Row],[Total annual expenditure: Management staff]:[Total annual expenditure: Training and development]])</f>
        <v>716094</v>
      </c>
      <c r="KP23" s="21">
        <f>SUM(DATA[[#This Row],[Recruitment &amp; advertising (including DBS checks)]:[Non-Staffing Direct Cost: Other  - please specify (amount) 2]])</f>
        <v>38980</v>
      </c>
      <c r="KQ23" s="21">
        <f>SUM(DATA[[#This Row],[Insurance ]:[Indirect costs: Other 2 - please specify (amount)]])</f>
        <v>87483</v>
      </c>
      <c r="KR23" s="21">
        <f>SUM(DATA[[#This Row],[Central / Regional Management]],DATA[[#This Row],[Support Services (finance / HR / Payroll / legal etc.)]],DATA[[#This Row],[Corporate Overheads: Other  - please specify (amount) 1]],DATA[[#This Row],[Corporate Overheads: Other  - please specify (amount) 2]])</f>
        <v>20967</v>
      </c>
      <c r="KS23"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1.1612849290446632</v>
      </c>
      <c r="KT23"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12.564486801680356</v>
      </c>
      <c r="KU23"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0.38556231320667961</v>
      </c>
      <c r="KV23"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23"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23" s="30">
        <f>IF(OR(NOT(DATA[[#This Row],[Total annual expenditure: Travel Cost]]&gt;0),NOT(DATA[[#This Row],[Number of hours of care charged for in last full accounting year]]&gt;0)),0,DATA[[#This Row],[Total annual expenditure: Travel Cost]]/DATA[[#This Row],[Number of hours of care charged for in last full accounting year]])</f>
        <v>0.19700294689322215</v>
      </c>
      <c r="KY23" s="30">
        <f>IF(OR(NOT(DATA[[#This Row],[Total annual expenditure: Travel Time]]&gt;0),NOT(DATA[[#This Row],[Number of hours of care charged for in last full accounting year]]&gt;0)),0,DATA[[#This Row],[Total annual expenditure: Travel Time]]/DATA[[#This Row],[Number of hours of care charged for in last full accounting year]])</f>
        <v>0.54670094258783208</v>
      </c>
      <c r="KZ23"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0.11129224402783873</v>
      </c>
      <c r="LA23"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0.12742700691788408</v>
      </c>
      <c r="LB23"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23" s="30">
        <f>IF(OR(NOT(DATA[[#This Row],[Care consumables &amp; uniforms]]&gt;0),NOT(DATA[[#This Row],[Number of hours of care charged for in last full accounting year]]&gt;0)),0,DATA[[#This Row],[Care consumables &amp; uniforms]]/DATA[[#This Row],[Number of hours of care charged for in last full accounting year]])</f>
        <v>0.2503396242188643</v>
      </c>
      <c r="LD23" s="30">
        <f>IF(OR(NOT(DATA[[#This Row],[Electronic call monitoring]]&gt;0),NOT(DATA[[#This Row],[Number of hours of care charged for in last full accounting year]]&gt;0)),0,DATA[[#This Row],[Electronic call monitoring]]/DATA[[#This Row],[Number of hours of care charged for in last full accounting year]])</f>
        <v>0</v>
      </c>
      <c r="LE23" s="30">
        <f>IF(OR(NOT(DATA[[#This Row],[IT Equipment &amp; Telephoney]]&gt;0),NOT(DATA[[#This Row],[Number of hours of care charged for in last full accounting year]]&gt;0)),0,DATA[[#This Row],[IT Equipment &amp; Telephoney]]/DATA[[#This Row],[Number of hours of care charged for in last full accounting year]])</f>
        <v>0.14780446004974188</v>
      </c>
      <c r="LF23"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0.28910903504921937</v>
      </c>
      <c r="LG23"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23" s="30">
        <f>IF(OR(NOT(DATA[[#This Row],[Insurance ]]&gt;0),NOT(DATA[[#This Row],[Number of hours of care charged for in last full accounting year]]&gt;0)),0,DATA[[#This Row],[Insurance ]]/DATA[[#This Row],[Number of hours of care charged for in last full accounting year]])</f>
        <v>0.12970510167826613</v>
      </c>
      <c r="LI23"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0.17236190356762179</v>
      </c>
      <c r="LJ23" s="30">
        <f>IF(OR(NOT(DATA[[#This Row],[Repairs and maintenance]]&gt;0),NOT(DATA[[#This Row],[Number of hours of care charged for in last full accounting year]]&gt;0)),0,DATA[[#This Row],[Repairs and maintenance]]/DATA[[#This Row],[Number of hours of care charged for in last full accounting year]])</f>
        <v>5.4402574874077791E-2</v>
      </c>
      <c r="LK23"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0.75158317135870589</v>
      </c>
      <c r="LL23" s="30">
        <f>IF(OR(NOT(DATA[[#This Row],[Registration &amp; Inspection fees ]]&gt;0),NOT(DATA[[#This Row],[Number of hours of care charged for in last full accounting year]]&gt;0)),0,DATA[[#This Row],[Registration &amp; Inspection fees ]]/DATA[[#This Row],[Number of hours of care charged for in last full accounting year]])</f>
        <v>8.9639893828244194E-2</v>
      </c>
      <c r="LM23" s="30">
        <f>IF(OR(NOT(DATA[[#This Row],[Subscriptions]]&gt;0),NOT(DATA[[#This Row],[Number of hours of care charged for in last full accounting year]]&gt;0)),0,DATA[[#This Row],[Subscriptions]]/DATA[[#This Row],[Number of hours of care charged for in last full accounting year]])</f>
        <v>0</v>
      </c>
      <c r="LN23" s="30">
        <f>IF(OR(NOT(DATA[[#This Row],[Cost of finance]]&gt;0),NOT(DATA[[#This Row],[Number of hours of care charged for in last full accounting year]]&gt;0)),0,DATA[[#This Row],[Cost of finance]]/DATA[[#This Row],[Number of hours of care charged for in last full accounting year]])</f>
        <v>4.8655088093297383E-2</v>
      </c>
      <c r="LO23" s="30">
        <f>IF(OR(NOT(DATA[[#This Row],[Other non-staff current expenses]]&gt;0),NOT(DATA[[#This Row],[Number of hours of care charged for in last full accounting year]]&gt;0)),0,DATA[[#This Row],[Other non-staff current expenses]]/DATA[[#This Row],[Number of hours of care charged for in last full accounting year]])</f>
        <v>0.48498338453821555</v>
      </c>
      <c r="LP23"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9.7059376763433444E-2</v>
      </c>
      <c r="LQ23"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23" s="30">
        <f>IF(OR(NOT(DATA[[#This Row],[Central / Regional Management]]&gt;0),NOT(DATA[[#This Row],[Number of hours of care charged for in last full accounting year]]&gt;0)),0,DATA[[#This Row],[Central / Regional Management]]/DATA[[#This Row],[Number of hours of care charged for in last full accounting year]])</f>
        <v>0</v>
      </c>
      <c r="LS23"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0.43820929211862814</v>
      </c>
      <c r="LT23"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3"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3" s="30">
        <f>SUM(DATA[[#This Row],[Management staff HOURLY RATE]:[Corporate Overheads: Other  - please specify (amount) 2 HOURLY RATE]])</f>
        <v>18.047610090496793</v>
      </c>
      <c r="LW23" s="30">
        <f>IF(OR(NOT(DATA[[#This Row],[Net Operating Profit]]&gt;0),NOT(DATA[[#This Row],[Number of hours of care charged for in last full accounting year]]&gt;0)),"",DATA[[#This Row],[Net Operating Profit]]/DATA[[#This Row],[Number of hours of care charged for in last full accounting year]])</f>
        <v>0.27926515769013732</v>
      </c>
      <c r="LX23" s="30">
        <f>IF(OR(NOT(DATA[[#This Row],[Return on Capital employed]]&gt;0),NOT(DATA[[#This Row],[Number of hours of care charged for in last full accounting year]]&gt;0)),0,DATA[[#This Row],[Return on Capital employed]]/DATA[[#This Row],[Number of hours of care charged for in last full accounting year]])</f>
        <v>1.7764959140593976E-5</v>
      </c>
      <c r="LY23" s="31">
        <v>17</v>
      </c>
      <c r="LZ23" s="30" t="s">
        <v>345</v>
      </c>
      <c r="MA23" s="30" t="b">
        <f>DATA[[#This Row],[Number of Home support clients:]]&gt;0</f>
        <v>1</v>
      </c>
      <c r="MB23" s="30" t="b">
        <f>DATA[[#This Row],[Number of supported living clients:]]&gt;0</f>
        <v>0</v>
      </c>
      <c r="MC23" s="30" t="b">
        <f>DATA[[#This Row],[Total Home Support Hours]]&gt;0</f>
        <v>1</v>
      </c>
      <c r="MD23" s="30" t="b">
        <f>DATA[[#This Row],[Total Supported Living Hours]]&gt;0</f>
        <v>0</v>
      </c>
      <c r="ME23" s="30" t="b">
        <f>DATA[[#This Row],[Home Support service split percentage (Expenditure):]]&gt;0.5</f>
        <v>1</v>
      </c>
      <c r="MF23" s="30" t="b">
        <f>DATA[[#This Row],[Agency staff HOURLY RATE]]=0</f>
        <v>1</v>
      </c>
      <c r="MG23" s="30">
        <f>IFERROR(IF(AVERAGE(DATA[[#This Row],[Registered manager: Current 2021/22 Minimum hourly pay rate ADJUSTED]],DATA[[#This Row],[Registered manager: Current 2021/22 Maximum hourly pay rate ADJUSTED]])&lt;LIVING_WAGE_22_23,DATA[[#This Row],[Registered manager: Numbers employed (Full Time Equivalent)]],0),"")</f>
        <v>0</v>
      </c>
      <c r="MH23" s="30" t="str">
        <f>IFERROR(IF(AVERAGE(DATA[[#This Row],[Deputy manager: Current 2021/22 Minimum hourly pay rate ADJUSTED]],DATA[[#This Row],[Deputy manager: Current 2021/22 Maximum hourly pay rate ADJUSTED]])&lt;LIVING_WAGE_22_23,DATA[[#This Row],[Deputy manager: Numbers employed (Full Time Equivalent)]],0),"")</f>
        <v/>
      </c>
      <c r="MI23" s="30">
        <f>IFERROR(IF(AVERAGE(DATA[[#This Row],[Other manager 1: Current 2021/22 Minimum hourly pay rate ADJUSTED]],DATA[[#This Row],[Other manager 1: Current 2021/22 Maximum hourly pay rate ADJUSTED]])&lt;LIVING_WAGE_22_23,DATA[[#This Row],[Other manager 1: Numbers employed (Full Time Equivalent)]],0),"")</f>
        <v>1</v>
      </c>
      <c r="MJ23" s="30" t="str">
        <f>IFERROR(IF(AVERAGE(DATA[[#This Row],[Other manager 2: Current 2021/22 Minimum hourly pay rate ADJUSTED]],DATA[[#This Row],[Other manager 2: Current 2021/22 Maximum hourly pay rate ADJUSTED]])&lt;LIVING_WAGE_22_23,DATA[[#This Row],[Other manager 2: Numbers employed (Full Time Equivalent)]],0),"")</f>
        <v/>
      </c>
      <c r="MK23" s="30" t="str">
        <f>IFERROR(IF(AVERAGE(DATA[[#This Row],[Other manager 3: Current 2021/22 Minimum hourly pay rate ADJUSTED]],DATA[[#This Row],[Other manager 3: Current 2021/22 Maximum hourly pay rate ADJUSTED]])&lt;LIVING_WAGE_22_23,DATA[[#This Row],[Other manager 3: Numbers employed (Full Time Equivalent)]],0),"")</f>
        <v/>
      </c>
      <c r="ML23" s="30">
        <f>IFERROR(IF(AVERAGE(DATA[[#This Row],[Care Assistant 1: Current 2021/22 Minimum hourly pay rate ADJUSTED]],DATA[[#This Row],[Care Assistant 1: Current 2021/22 Maximum hourly pay rate ADJUSTED]])&lt;LIVING_WAGE_22_23,DATA[[#This Row],[Care Assistant 1: Numbers employed (Full Time Equivalent)]],0),"")</f>
        <v>2</v>
      </c>
      <c r="MM23" s="30">
        <f>IFERROR(IF(AVERAGE(DATA[[#This Row],[Care Assistant 2: Current 2021/22 Minimum hourly pay rate ADJUSTED]],DATA[[#This Row],[Care Assistant 2: Current 2021/22 Maximum hourly pay rate ADJUSTED]])&lt;LIVING_WAGE_22_23,DATA[[#This Row],[Care Assistant 2: Numbers employed (Full Time Equivalent)]],0),"")</f>
        <v>2</v>
      </c>
      <c r="MN23" s="30">
        <f>IFERROR(IF(AVERAGE(DATA[[#This Row],[Care Assistant 3: Current 2021/22 Minimum hourly pay rate ADJUSTED]],DATA[[#This Row],[Care Assistant 3: Current 2021/22 Maximum hourly pay rate ADJUSTED]])&lt;LIVING_WAGE_22_23,DATA[[#This Row],[Care Assistant 3: Numbers employed (Full Time Equivalent)]],0),"")</f>
        <v>31</v>
      </c>
      <c r="MO23" s="30">
        <f>IFERROR(IF(AVERAGE(DATA[[#This Row],[Care Assistant 4: Current 2021/22 Minimum hourly pay rate ADJUSTED]],DATA[[#This Row],[Care Assistant 4: Current 2021/22 Maximum hourly pay rate ADJUSTED]])&lt;LIVING_WAGE_22_23,DATA[[#This Row],[Care Assistant 4: Numbers employed (Full Time Equivalent)]],0),"")</f>
        <v>2</v>
      </c>
      <c r="MP23"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23"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23" s="30" t="str">
        <f>IFERROR(IF(AVERAGE(DATA[[#This Row],[Other staff 1: Current 2021/22 Minimum hourly pay rate ADJUSTED]],DATA[[#This Row],[Other staff 1: Current 2021/22 Maximum hourly pay rate ADJUSTED]])&lt;LIVING_WAGE_22_23,DATA[[#This Row],[Other staff 1: Numbers employed (Full Time Equivalent)]],0),"")</f>
        <v/>
      </c>
      <c r="MS23" s="30" t="str">
        <f>IFERROR(IF(AVERAGE(DATA[[#This Row],[Other staff 2: Current 2021/22 Minimum hourly pay rate ADJUSTED]],DATA[[#This Row],[Other staff 2: Current 2021/22 Maximum hourly pay rate ADJUSTED]])&lt;LIVING_WAGE_22_23,DATA[[#This Row],[Other staff 2: Numbers employed (Full Time Equivalent)]],0),"")</f>
        <v/>
      </c>
      <c r="MT23" s="30" t="str">
        <f>IFERROR(IF(AVERAGE(DATA[[#This Row],[Other staff 3: Current 2021/22 Minimum hourly pay rate ADJUSTED]],DATA[[#This Row],[Other staff 3: Current 2021/22 Maximum hourly pay rate ADJUSTED]])&lt;LIVING_WAGE_22_23,DATA[[#This Row],[Other staff 3: Numbers employed (Full Time Equivalent)]],0),"")</f>
        <v/>
      </c>
      <c r="MU23" s="30">
        <f>SUM(DATA[[#This Row],[Registered Manager FTE earning less than NLW 23yrs 2022/23]:[Other staff 3 FTE earning less than NLW 23yrs 2022/23]])</f>
        <v>38</v>
      </c>
      <c r="MV23"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23"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23"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0.30000000000000071</v>
      </c>
      <c r="MY23"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23"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23"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0.78000000000000114</v>
      </c>
      <c r="NB23"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0.98000000000000043</v>
      </c>
      <c r="NC23"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18.289999999999996</v>
      </c>
      <c r="ND23"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1.1799999999999997</v>
      </c>
      <c r="NE23"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23"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23"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23"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23"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3" s="30" t="b">
        <v>0</v>
      </c>
      <c r="NK23" s="30" t="b">
        <v>1</v>
      </c>
      <c r="NL23" s="30" t="s">
        <v>972</v>
      </c>
      <c r="NM23" s="30">
        <f>SUM(DATA[[#This Row],[Management staff HOURLY RATE]:[Training and development HOURLY RATE]])</f>
        <v>14.966330177440593</v>
      </c>
      <c r="NN23" s="30">
        <f>SUM(DATA[[#This Row],[Recruitment &amp; advertising (including DBS checks) HOURLY RATE]:[Non-Staffing Direct Cost: Other  - please specify (amount) 2 HOURLY RATE]])</f>
        <v>0.81468012623570962</v>
      </c>
      <c r="NO23" s="30">
        <f>SUM(DATA[[#This Row],[Insurance  HOURLY RATE]:[Indirect costs: Other  - please specify (amount) 2 HOURLY RATE]])</f>
        <v>1.8283904947018621</v>
      </c>
      <c r="NP23" s="30">
        <f>SUM(DATA[[#This Row],[Central / Regional Management HOURLY RATE]:[Corporate Overheads: Other  - please specify (amount) 2 HOURLY RATE]])</f>
        <v>0.43820929211862814</v>
      </c>
      <c r="NQ23"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23" s="30" t="str">
        <f>IFERROR(IF(AVERAGE(DATA[[#This Row],[Deputy manager: Current 2021/22 Minimum hourly pay rate ADJUSTED]],DATA[[#This Row],[Deputy manager: Current 2021/22 Maximum hourly pay rate ADJUSTED]])&lt;REAL_LIVING_WAGE_22_23,DATA[[#This Row],[Deputy manager: Numbers employed (Full Time Equivalent)]],0),"")</f>
        <v/>
      </c>
      <c r="NS23" s="30">
        <f>IFERROR(IF(AVERAGE(DATA[[#This Row],[Other manager 1: Current 2021/22 Minimum hourly pay rate ADJUSTED]],DATA[[#This Row],[Other manager 1: Current 2021/22 Maximum hourly pay rate ADJUSTED]])&lt;REAL_LIVING_WAGE_22_23,DATA[[#This Row],[Other manager 1: Numbers employed (Full Time Equivalent)]],0),"")</f>
        <v>1</v>
      </c>
      <c r="NT23" s="30" t="str">
        <f>IFERROR(IF(AVERAGE(DATA[[#This Row],[Other manager 2: Current 2021/22 Minimum hourly pay rate ADJUSTED]],DATA[[#This Row],[Other manager 2: Current 2021/22 Maximum hourly pay rate ADJUSTED]])&lt;REAL_LIVING_WAGE_22_23,DATA[[#This Row],[Other manager 2: Numbers employed (Full Time Equivalent)]],0),"")</f>
        <v/>
      </c>
      <c r="NU23" s="30" t="str">
        <f>IFERROR(IF(AVERAGE(DATA[[#This Row],[Other manager 3: Current 2021/22 Minimum hourly pay rate ADJUSTED]],DATA[[#This Row],[Other manager 3: Current 2021/22 Maximum hourly pay rate ADJUSTED]])&lt;REAL_LIVING_WAGE_22_23,DATA[[#This Row],[Other manager 3: Numbers employed (Full Time Equivalent)]],0),"")</f>
        <v/>
      </c>
      <c r="NV23" s="30">
        <f>IFERROR(IF(AVERAGE(DATA[[#This Row],[Care Assistant 1: Current 2021/22 Minimum hourly pay rate ADJUSTED]],DATA[[#This Row],[Care Assistant 1: Current 2021/22 Maximum hourly pay rate ADJUSTED]])&lt;REAL_LIVING_WAGE_22_23,DATA[[#This Row],[Care Assistant 1: Numbers employed (Full Time Equivalent)]],0),"")</f>
        <v>2</v>
      </c>
      <c r="NW23" s="30">
        <f>IFERROR(IF(AVERAGE(DATA[[#This Row],[Care Assistant 2: Current 2021/22 Minimum hourly pay rate ADJUSTED]],DATA[[#This Row],[Care Assistant 2: Current 2021/22 Maximum hourly pay rate ADJUSTED]])&lt;REAL_LIVING_WAGE_22_23,DATA[[#This Row],[Care Assistant 2: Numbers employed (Full Time Equivalent)]],0),"")</f>
        <v>2</v>
      </c>
      <c r="NX23" s="30">
        <f>IFERROR(IF(AVERAGE(DATA[[#This Row],[Care Assistant 3: Current 2021/22 Minimum hourly pay rate ADJUSTED]],DATA[[#This Row],[Care Assistant 3: Current 2021/22 Maximum hourly pay rate ADJUSTED]])&lt;REAL_LIVING_WAGE_22_23,DATA[[#This Row],[Care Assistant 3: Numbers employed (Full Time Equivalent)]],0),"")</f>
        <v>31</v>
      </c>
      <c r="NY23" s="30">
        <f>IFERROR(IF(AVERAGE(DATA[[#This Row],[Care Assistant 4: Current 2021/22 Minimum hourly pay rate ADJUSTED]],DATA[[#This Row],[Care Assistant 4: Current 2021/22 Maximum hourly pay rate ADJUSTED]])&lt;REAL_LIVING_WAGE_22_23,DATA[[#This Row],[Care Assistant 4: Numbers employed (Full Time Equivalent)]],0),"")</f>
        <v>2</v>
      </c>
      <c r="NZ23"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23"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23" s="30" t="str">
        <f>IFERROR(IF(AVERAGE(DATA[[#This Row],[Other staff 1: Current 2021/22 Minimum hourly pay rate ADJUSTED]],DATA[[#This Row],[Other staff 1: Current 2021/22 Maximum hourly pay rate ADJUSTED]])&lt;REAL_LIVING_WAGE_22_23,DATA[[#This Row],[Other staff 1: Numbers employed (Full Time Equivalent)]],0),"")</f>
        <v/>
      </c>
      <c r="OC23" s="30" t="str">
        <f>IFERROR(IF(AVERAGE(DATA[[#This Row],[Other staff 2: Current 2021/22 Minimum hourly pay rate ADJUSTED]],DATA[[#This Row],[Other staff 2: Current 2021/22 Maximum hourly pay rate ADJUSTED]])&lt;REAL_LIVING_WAGE_22_23,DATA[[#This Row],[Other staff 2: Numbers employed (Full Time Equivalent)]],0),"")</f>
        <v/>
      </c>
      <c r="OD23" s="30" t="str">
        <f>IFERROR(IF(AVERAGE(DATA[[#This Row],[Other staff 3: Current 2021/22 Minimum hourly pay rate ADJUSTED]],DATA[[#This Row],[Other staff 3: Current 2021/22 Maximum hourly pay rate ADJUSTED]])&lt;REAL_LIVING_WAGE_22_23,DATA[[#This Row],[Other staff 3: Numbers employed (Full Time Equivalent)]],0),"")</f>
        <v/>
      </c>
      <c r="OE23" s="30">
        <f>SUM(DATA[[#This Row],[Registered Manager FTE earning less than RLW 23yrs 2022/23]:[Other staff 3 FTE earning less than RLW 23yrs 2022/23]])</f>
        <v>38</v>
      </c>
      <c r="OF23"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23"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23"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0.70000000000000107</v>
      </c>
      <c r="OI23"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23"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23"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1.5800000000000018</v>
      </c>
      <c r="OL23"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1.7800000000000011</v>
      </c>
      <c r="OM23"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30.690000000000005</v>
      </c>
      <c r="ON23"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1.9800000000000004</v>
      </c>
      <c r="OO23"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23"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23"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23"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23"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3" s="30">
        <f>IFERROR(IF(DATA[[#This Row],[Registered manager: Numbers employed (Full Time Equivalent)]]=0,"",DATA[[#This Row],[Registered manager: Current 2021/22 Minimum hourly pay rate ADJUSTED 2]]*DATA[[#This Row],[Registered manager: Numbers employed (Full Time Equivalent)]]),"")</f>
        <v>12.73</v>
      </c>
      <c r="OU23" s="30">
        <f>IFERROR(IF(DATA[[#This Row],[Registered manager: Numbers employed (Full Time Equivalent)]]=0,"",DATA[[#This Row],[Registered manager: Current 2021/22 Maximum hourly pay rate ADJUSTED 2]]*DATA[[#This Row],[Registered manager: Numbers employed (Full Time Equivalent)]]),"")</f>
        <v>12.73</v>
      </c>
      <c r="OV23" s="30">
        <f>IFERROR(IF(DATA[[#This Row],[Registered manager: Numbers employed (Full Time Equivalent)]]=0,"",DATA[[#This Row],[Registered manager: Previous 2020/21 Minimum hourly pay rate ADJUSTED 2]]*DATA[[#This Row],[Registered manager: Numbers employed (Full Time Equivalent)]]),"")</f>
        <v>12.73</v>
      </c>
      <c r="OW23" s="30">
        <f>IFERROR(IF(DATA[[#This Row],[Registered manager: Numbers employed (Full Time Equivalent)]]=0,"",DATA[[#This Row],[Registered manager: Previous 2020/21 Maximum hourly pay rate ADJUSTED 2]]*DATA[[#This Row],[Registered manager: Numbers employed (Full Time Equivalent)]]),"")</f>
        <v>12.73</v>
      </c>
      <c r="OX23" s="30" t="str">
        <f>IFERROR(IF(DATA[[#This Row],[Deputy manager: Numbers employed (Full Time Equivalent)]]=0,"",DATA[[#This Row],[Deputy manager: Current 2021/22 Minimum hourly pay rate ADJUSTED 2]]*DATA[[#This Row],[Deputy manager: Numbers employed (Full Time Equivalent)]]),"")</f>
        <v/>
      </c>
      <c r="OY23" s="30" t="str">
        <f>IFERROR(IF(DATA[[#This Row],[Deputy manager: Numbers employed (Full Time Equivalent)]]=0,"",DATA[[#This Row],[Deputy manager: Current 2021/22 Maximum hourly pay rate ADJUSTED 2]]*DATA[[#This Row],[Deputy manager: Numbers employed (Full Time Equivalent)]]),"")</f>
        <v/>
      </c>
      <c r="OZ23" s="30" t="str">
        <f>IFERROR(IF(DATA[[#This Row],[Deputy manager: Numbers employed (Full Time Equivalent)]]=0,"",DATA[[#This Row],[Deputy manager: Previous 2020/21 Minimum hourly pay rate ADJUSTED 2]]*DATA[[#This Row],[Deputy manager: Numbers employed (Full Time Equivalent)]]),"")</f>
        <v/>
      </c>
      <c r="PA23" s="30" t="str">
        <f>IFERROR(IF(DATA[[#This Row],[Deputy manager: Numbers employed (Full Time Equivalent)]]=0,"",DATA[[#This Row],[Deputy manager: Previous 2020/21 Maximum hourly pay rate ADJUSTED 2]]*DATA[[#This Row],[Deputy manager: Numbers employed (Full Time Equivalent)]]),"")</f>
        <v/>
      </c>
      <c r="PB23" s="30">
        <f>IFERROR(IF(DATA[[#This Row],[Other manager 1: Numbers employed (Full Time Equivalent)]]=0,"",DATA[[#This Row],[Other manager 1: Current 2021/22 Minimum hourly pay rate ADJUSTED 2]]*DATA[[#This Row],[Other manager 1: Numbers employed (Full Time Equivalent)]]),"")</f>
        <v>9.1999999999999993</v>
      </c>
      <c r="PC23" s="30">
        <f>IFERROR(IF(DATA[[#This Row],[Other manager 1: Numbers employed (Full Time Equivalent)]]=0,"",DATA[[#This Row],[Other manager 1: Current 2021/22 Maximum hourly pay rate ADJUSTED 2]]*DATA[[#This Row],[Other manager 1: Numbers employed (Full Time Equivalent)]]),"")</f>
        <v>9.1999999999999993</v>
      </c>
      <c r="PD23" s="30">
        <f>IFERROR(IF(DATA[[#This Row],[Other manager 1: Numbers employed (Full Time Equivalent)]]=0,"",DATA[[#This Row],[Other manager 1: Previous 2020/21 Minimum hourly pay rate ADJUSTED 2]]*DATA[[#This Row],[Other manager 1: Numbers employed (Full Time Equivalent)]]),"")</f>
        <v>9</v>
      </c>
      <c r="PE23" s="30">
        <f>IFERROR(IF(DATA[[#This Row],[Other manager 1: Numbers employed (Full Time Equivalent)]]=0,"",DATA[[#This Row],[Other manager 1: Previous 2020/21 Maximum hourly pay rate ADJUSTED 2]]*DATA[[#This Row],[Other manager 1: Numbers employed (Full Time Equivalent)]]),"")</f>
        <v>9</v>
      </c>
      <c r="PF23" s="30" t="str">
        <f>IFERROR(IF(DATA[[#This Row],[Other manager 2: Numbers employed (Full Time Equivalent)]]=0,"",DATA[[#This Row],[Other manager 2: Current 2021/22 Minimum hourly pay rate ADJUSTED 2]]*DATA[[#This Row],[Other manager 2: Numbers employed (Full Time Equivalent)]]),"")</f>
        <v/>
      </c>
      <c r="PG23" s="30" t="str">
        <f>IFERROR(IF(DATA[[#This Row],[Other manager 2: Numbers employed (Full Time Equivalent)]]=0,"",DATA[[#This Row],[Other manager 2: Current 2021/22 Maximum hourly pay rate ADJUSTED 2]]*DATA[[#This Row],[Other manager 2: Numbers employed (Full Time Equivalent)]]),"")</f>
        <v/>
      </c>
      <c r="PH23" s="30" t="str">
        <f>IFERROR(IF(DATA[[#This Row],[Other manager 2: Numbers employed (Full Time Equivalent)]]=0,"",DATA[[#This Row],[Other manager 2: Previous 2020/21 Minimum hourly pay rate ADJUSTED 2]]*DATA[[#This Row],[Other manager 2: Numbers employed (Full Time Equivalent)]]),"")</f>
        <v/>
      </c>
      <c r="PI23" s="30" t="str">
        <f>IFERROR(IF(DATA[[#This Row],[Other manager 2: Numbers employed (Full Time Equivalent)]]=0,"",DATA[[#This Row],[Other manager 2: Previous 2020/21 Maximum hourly pay rate ADJUSTED 2]]*DATA[[#This Row],[Other manager 2: Numbers employed (Full Time Equivalent)]]),"")</f>
        <v/>
      </c>
      <c r="PJ23" s="30" t="str">
        <f>IFERROR(IF(DATA[[#This Row],[Other manager 3: Numbers employed (Full Time Equivalent)]]=0,"",DATA[[#This Row],[Other manager 3: Current 2021/22 Minimum hourly pay rate ADJUSTED 2]]*DATA[[#This Row],[Other manager 3: Numbers employed (Full Time Equivalent)]]),"")</f>
        <v/>
      </c>
      <c r="PK23" s="30" t="str">
        <f>IFERROR(IF(DATA[[#This Row],[Other manager 3: Numbers employed (Full Time Equivalent)]]=0,"",DATA[[#This Row],[Other manager 3: Current 2021/22 Maximum hourly pay rate ADJUSTED 2]]*DATA[[#This Row],[Other manager 3: Numbers employed (Full Time Equivalent)]]),"")</f>
        <v/>
      </c>
      <c r="PL23" s="30" t="str">
        <f>IFERROR(IF(DATA[[#This Row],[Other manager 3: Numbers employed (Full Time Equivalent)]]=0,"",DATA[[#This Row],[Other manager 3: Previous 2020/21 Minimum hourly pay rate ADJUSTED 2]]*DATA[[#This Row],[Other manager 3: Numbers employed (Full Time Equivalent)]]),"")</f>
        <v/>
      </c>
      <c r="PM23" s="30" t="str">
        <f>IFERROR(IF(DATA[[#This Row],[Other manager 3: Numbers employed (Full Time Equivalent)]]=0,"",DATA[[#This Row],[Other manager 3: Previous 2020/21 Maximum hourly pay rate ADJUSTED 2]]*DATA[[#This Row],[Other manager 3: Numbers employed (Full Time Equivalent)]]),"")</f>
        <v/>
      </c>
      <c r="PN23" s="30">
        <f>IFERROR(IF(DATA[[#This Row],[Care Assistant 1: Numbers employed (Full Time Equivalent)]]=0,"",DATA[[#This Row],[Care Assistant 1: Current 2021/22 Minimum hourly pay rate ADJUSTED 2]]*DATA[[#This Row],[Care Assistant 1: Numbers employed (Full Time Equivalent)]]),"")</f>
        <v>18.22</v>
      </c>
      <c r="PO23" s="30">
        <f>IFERROR(IF(DATA[[#This Row],[Care Assistant 1: Numbers employed (Full Time Equivalent)]]=0,"",DATA[[#This Row],[Care Assistant 1: Current 2021/22 Maximum hourly pay rate ADJUSTED 2]]*DATA[[#This Row],[Care Assistant 1: Numbers employed (Full Time Equivalent)]]),"")</f>
        <v>18.22</v>
      </c>
      <c r="PP23" s="30">
        <f>IFERROR(IF(DATA[[#This Row],[Care Assistant 1: Numbers employed (Full Time Equivalent)]]=0,"",DATA[[#This Row],[Care Assistant 1: Previous 2020/21 Minimum hourly pay rate ADJUSTED 2]]*DATA[[#This Row],[Care Assistant 1: Numbers employed (Full Time Equivalent)]]),"")</f>
        <v>17.82</v>
      </c>
      <c r="PQ23" s="30">
        <f>IFERROR(IF(DATA[[#This Row],[Care Assistant 1: Numbers employed (Full Time Equivalent)]]=0,"",DATA[[#This Row],[Care Assistant 1: Previous 2020/21 Maximum hourly pay rate ADJUSTED 2]]*DATA[[#This Row],[Care Assistant 1: Numbers employed (Full Time Equivalent)]]),"")</f>
        <v>17.82</v>
      </c>
      <c r="PR23" s="30">
        <f>IFERROR(IF(DATA[[#This Row],[Care Assistant 2: Numbers employed (Full Time Equivalent)]]=0,"",DATA[[#This Row],[Care Assistant 2: Current 2021/22 Minimum hourly pay rate ADJUSTED 2]]*DATA[[#This Row],[Care Assistant 2: Numbers employed (Full Time Equivalent)]]),"")</f>
        <v>18.02</v>
      </c>
      <c r="PS23" s="30">
        <f>IFERROR(IF(DATA[[#This Row],[Care Assistant 2: Numbers employed (Full Time Equivalent)]]=0,"",DATA[[#This Row],[Care Assistant 2: Current 2021/22 Maximum hourly pay rate ADJUSTED 2]]*DATA[[#This Row],[Care Assistant 2: Numbers employed (Full Time Equivalent)]]),"")</f>
        <v>18.02</v>
      </c>
      <c r="PT23" s="30">
        <f>IFERROR(IF(DATA[[#This Row],[Care Assistant 2: Numbers employed (Full Time Equivalent)]]=0,"",DATA[[#This Row],[Care Assistant 2: Previous 2020/21 Minimum hourly pay rate ADJUSTED 2]]*DATA[[#This Row],[Care Assistant 2: Numbers employed (Full Time Equivalent)]]),"")</f>
        <v>17.64</v>
      </c>
      <c r="PU23" s="30">
        <f>IFERROR(IF(DATA[[#This Row],[Care Assistant 2: Numbers employed (Full Time Equivalent)]]=0,"",DATA[[#This Row],[Care Assistant 2: Previous 2020/21 Maximum hourly pay rate ADJUSTED 2]]*DATA[[#This Row],[Care Assistant 2: Numbers employed (Full Time Equivalent)]]),"")</f>
        <v>17.64</v>
      </c>
      <c r="PV23" s="30">
        <f>IFERROR(IF(DATA[[#This Row],[Care Assistant 3: Numbers employed (Full Time Equivalent)]]=0,"",DATA[[#This Row],[Care Assistant 3: Current 2021/22 Minimum hourly pay rate ADJUSTED 2]]*DATA[[#This Row],[Care Assistant 3: Numbers employed (Full Time Equivalent)]]),"")</f>
        <v>276.20999999999998</v>
      </c>
      <c r="PW23" s="30">
        <f>IFERROR(IF(DATA[[#This Row],[Care Assistant 3: Numbers employed (Full Time Equivalent)]]=0,"",DATA[[#This Row],[Care Assistant 3: Current 2021/22 Maximum hourly pay rate ADJUSTED 2]]*DATA[[#This Row],[Care Assistant 3: Numbers employed (Full Time Equivalent)]]),"")</f>
        <v>276.20999999999998</v>
      </c>
      <c r="PX23" s="30">
        <f>IFERROR(IF(DATA[[#This Row],[Care Assistant 3: Numbers employed (Full Time Equivalent)]]=0,"",DATA[[#This Row],[Care Assistant 3: Previous 2020/21 Minimum hourly pay rate ADJUSTED 2]]*DATA[[#This Row],[Care Assistant 3: Numbers employed (Full Time Equivalent)]]),"")</f>
        <v>270.32</v>
      </c>
      <c r="PY23" s="30">
        <f>IFERROR(IF(DATA[[#This Row],[Care Assistant 3: Numbers employed (Full Time Equivalent)]]=0,"",DATA[[#This Row],[Care Assistant 3: Previous 2020/21 Maximum hourly pay rate ADJUSTED 2]]*DATA[[#This Row],[Care Assistant 3: Numbers employed (Full Time Equivalent)]]),"")</f>
        <v>270.32</v>
      </c>
      <c r="PZ23" s="30">
        <f>IFERROR(IF(DATA[[#This Row],[Care Assistant 4: Numbers employed (Full Time Equivalent)]]=0,"",DATA[[#This Row],[Care Assistant 4: Current 2021/22 Minimum hourly pay rate ADJUSTED 2]]*DATA[[#This Row],[Care Assistant 4: Numbers employed (Full Time Equivalent)]]),"")</f>
        <v>17.82</v>
      </c>
      <c r="QA23" s="30">
        <f>IFERROR(IF(DATA[[#This Row],[Care Assistant 4: Numbers employed (Full Time Equivalent)]]=0,"",DATA[[#This Row],[Care Assistant 4: Current 2021/22 Maximum hourly pay rate ADJUSTED 2]]*DATA[[#This Row],[Care Assistant 4: Numbers employed (Full Time Equivalent)]]),"")</f>
        <v>17.82</v>
      </c>
      <c r="QB23" s="30">
        <f>IFERROR(IF(DATA[[#This Row],[Care Assistant 4: Numbers employed (Full Time Equivalent)]]=0,"",DATA[[#This Row],[Care Assistant 4: Previous 2020/21 Minimum hourly pay rate ADJUSTED 2]]*DATA[[#This Row],[Care Assistant 4: Numbers employed (Full Time Equivalent)]]),"")</f>
        <v>17.440000000000001</v>
      </c>
      <c r="QC23" s="30">
        <f>IFERROR(IF(DATA[[#This Row],[Care Assistant 4: Numbers employed (Full Time Equivalent)]]=0,"",DATA[[#This Row],[Care Assistant 4: Previous 2020/21 Maximum hourly pay rate ADJUSTED 2]]*DATA[[#This Row],[Care Assistant 4: Numbers employed (Full Time Equivalent)]]),"")</f>
        <v>17.440000000000001</v>
      </c>
      <c r="QD23" s="30" t="str">
        <f>IFERROR(IF(DATA[[#This Row],[Administrative Officer 1: Numbers employed (Full Time Equivalent)]]=0,"",DATA[[#This Row],[Administrative Officer 1: Current 2021/22 Minimum hourly pay rate ADJUSTED 2]]*DATA[[#This Row],[Administrative Officer 1: Numbers employed (Full Time Equivalent)]]),"")</f>
        <v/>
      </c>
      <c r="QE23" s="30" t="str">
        <f>IFERROR(IF(DATA[[#This Row],[Administrative Officer 1: Numbers employed (Full Time Equivalent)]]=0,"",DATA[[#This Row],[Administrative Officer 1: Current 2021/22 Maximum hourly pay rate ADJUSTED 2]]*DATA[[#This Row],[Administrative Officer 1: Numbers employed (Full Time Equivalent)]]),"")</f>
        <v/>
      </c>
      <c r="QF23" s="30" t="str">
        <f>IFERROR(IF(DATA[[#This Row],[Administrative Officer 1: Numbers employed (Full Time Equivalent)]]=0,"",DATA[[#This Row],[Administrative Officer 1: Previous 2020/21 Minimum hourly pay rate ADJUSTED 2]]*DATA[[#This Row],[Administrative Officer 1: Numbers employed (Full Time Equivalent)]]),"")</f>
        <v/>
      </c>
      <c r="QG23" s="30" t="str">
        <f>IFERROR(IF(DATA[[#This Row],[Administrative Officer 1: Numbers employed (Full Time Equivalent)]]=0,"",DATA[[#This Row],[Administrative Officer 1: Previous 2020/21 Maximum hourly pay rate ADJUSTED 2]]*DATA[[#This Row],[Administrative Officer 1: Numbers employed (Full Time Equivalent)]]),"")</f>
        <v/>
      </c>
      <c r="QH23" s="30" t="str">
        <f>IFERROR(IF(DATA[[#This Row],[Administrative Officer 2: Numbers employed (Full Time Equivalent)]]=0,"",DATA[[#This Row],[Administrative Officer 2: Current 2021/22 Minimum hourly pay rate ADJUSTED 2]]*DATA[[#This Row],[Administrative Officer 2: Numbers employed (Full Time Equivalent)]]),"")</f>
        <v/>
      </c>
      <c r="QI23" s="30" t="str">
        <f>IFERROR(IF(DATA[[#This Row],[Administrative Officer 2: Numbers employed (Full Time Equivalent)]]=0,"",DATA[[#This Row],[Administrative Officer 2: Current 2021/22 Maximum hourly pay rate ADJUSTED 2]]*DATA[[#This Row],[Administrative Officer 2: Numbers employed (Full Time Equivalent)]]),"")</f>
        <v/>
      </c>
      <c r="QJ23" s="30" t="str">
        <f>IFERROR(IF(DATA[[#This Row],[Administrative Officer 2: Numbers employed (Full Time Equivalent)]]=0,"",DATA[[#This Row],[Administrative Officer 2: Previous 2020/21 Minimum hourly pay rate ADJUSTED 2]]*DATA[[#This Row],[Administrative Officer 2: Numbers employed (Full Time Equivalent)]]),"")</f>
        <v/>
      </c>
      <c r="QK23" s="30" t="str">
        <f>IFERROR(IF(DATA[[#This Row],[Administrative Officer 2: Numbers employed (Full Time Equivalent)]]=0,"",DATA[[#This Row],[Administrative Officer 2: Previous 2020/21 Maximum hourly pay rate ADJUSTED 2]]*DATA[[#This Row],[Administrative Officer 2: Numbers employed (Full Time Equivalent)]]),"")</f>
        <v/>
      </c>
      <c r="QL23" s="30" t="str">
        <f>IFERROR(IF(DATA[[#This Row],[Administrative Officer 3: Numbers employed (Full Time Equivalent)]]=0,"",DATA[[#This Row],[Administrative Officer 3: Current 2021/22 Minimum hourly pay rate ADJUSTED 2]]*DATA[[#This Row],[Administrative Officer 3: Numbers employed (Full Time Equivalent)]]),"")</f>
        <v/>
      </c>
      <c r="QM23" s="30" t="str">
        <f>IFERROR(IF(DATA[[#This Row],[Administrative Officer 3: Numbers employed (Full Time Equivalent)]]=0,"",DATA[[#This Row],[Administrative Officer 3: Current 2021/22 Maximum hourly pay rate ADJUSTED 2]]*DATA[[#This Row],[Administrative Officer 3: Numbers employed (Full Time Equivalent)]]),"")</f>
        <v/>
      </c>
      <c r="QN23" s="30" t="str">
        <f>IFERROR(IF(DATA[[#This Row],[Administrative Officer 3: Numbers employed (Full Time Equivalent)]]=0,"",DATA[[#This Row],[Administrative Officer 3: Previous 2020/21 Minimum hourly pay rate ADJUSTED 2]]*DATA[[#This Row],[Administrative Officer 3: Numbers employed (Full Time Equivalent)]]),"")</f>
        <v/>
      </c>
      <c r="QO23" s="30" t="str">
        <f>IFERROR(IF(DATA[[#This Row],[Administrative Officer 3: Numbers employed (Full Time Equivalent)]]=0,"",DATA[[#This Row],[Administrative Officer 3: Previous 2020/21 Maximum hourly pay rate ADJUSTED 2]]*DATA[[#This Row],[Administrative Officer 3: Numbers employed (Full Time Equivalent)]]),"")</f>
        <v/>
      </c>
      <c r="QP23" s="28" t="str">
        <f>IFERROR(IF(DATA[[#This Row],[Other staff 1: Numbers employed (Full Time Equivalent)]]=0,"",DATA[[#This Row],[Other staff 1: Current 2021/22 Minimum hourly pay rate ADJUSTED 2]]*DATA[[#This Row],[Other staff 1: Numbers employed (Full Time Equivalent)]]),"")</f>
        <v/>
      </c>
      <c r="QQ23" s="28" t="str">
        <f>IFERROR(IF(DATA[[#This Row],[Other staff 1: Numbers employed (Full Time Equivalent)]]=0,"",DATA[[#This Row],[Other staff 1: Current 2021/22 Maximum hourly pay rate ADJUSTED 2]]*DATA[[#This Row],[Other staff 1: Numbers employed (Full Time Equivalent)]]),"")</f>
        <v/>
      </c>
      <c r="QR23" s="28" t="str">
        <f>IFERROR(IF(DATA[[#This Row],[Other staff 1: Numbers employed (Full Time Equivalent)]]=0,"",DATA[[#This Row],[Other staff 1: Previous 2020/21 Minimum hourly pay rate ADJUSTED 2]]*DATA[[#This Row],[Other staff 1: Numbers employed (Full Time Equivalent)]]),"")</f>
        <v/>
      </c>
      <c r="QS23" s="28" t="str">
        <f>IFERROR(IF(DATA[[#This Row],[Other staff 1: Numbers employed (Full Time Equivalent)]]=0,"",DATA[[#This Row],[Other staff 1: Previous 2020/21 Maximum hourly pay rate ADJUSTED 2]]*DATA[[#This Row],[Other staff 1: Numbers employed (Full Time Equivalent)]]),"")</f>
        <v/>
      </c>
      <c r="QT23" s="28" t="str">
        <f>IFERROR(IF(DATA[[#This Row],[Other staff 2: Numbers employed (Full Time Equivalent)]]=0,"",DATA[[#This Row],[Other staff 2: Current 2021/22 Minimum hourly pay rate ADJUSTED 2]]*DATA[[#This Row],[Other staff 2: Numbers employed (Full Time Equivalent)]]),"")</f>
        <v/>
      </c>
      <c r="QU23" s="28" t="str">
        <f>IFERROR(IF(DATA[[#This Row],[Other staff 2: Numbers employed (Full Time Equivalent)]]=0,"",DATA[[#This Row],[Other staff 2: Current 2021/22 Maximum hourly pay rate ADJUSTED 2]]*DATA[[#This Row],[Other staff 2: Numbers employed (Full Time Equivalent)]]),"")</f>
        <v/>
      </c>
      <c r="QV23" s="28" t="str">
        <f>IFERROR(IF(DATA[[#This Row],[Other staff 2: Numbers employed (Full Time Equivalent)]]=0,"",DATA[[#This Row],[Other staff 2: Previous 2020/21 Minimum hourly pay rate ADJUSTED 2]]*DATA[[#This Row],[Other staff 2: Numbers employed (Full Time Equivalent)]]),"")</f>
        <v/>
      </c>
      <c r="QW23" s="28" t="str">
        <f>IFERROR(IF(DATA[[#This Row],[Other staff 2: Numbers employed (Full Time Equivalent)]]=0,"",DATA[[#This Row],[Other staff 2: Previous 2020/21 Maximum hourly pay rate ADJUSTED 2]]*DATA[[#This Row],[Other staff 2: Numbers employed (Full Time Equivalent)]]),"")</f>
        <v/>
      </c>
      <c r="QX23" s="28" t="str">
        <f>IFERROR(IF(DATA[[#This Row],[Other staff 3: Numbers employed (Full Time Equivalent)]]=0,"",DATA[[#This Row],[Other staff 3: Current 2021/22 Minimum hourly pay rate ADJUSTED 2]]*DATA[[#This Row],[Other staff 3: Numbers employed (Full Time Equivalent)]]),"")</f>
        <v/>
      </c>
      <c r="QY23" s="28" t="str">
        <f>IFERROR(IF(DATA[[#This Row],[Other staff 3: Numbers employed (Full Time Equivalent)]]=0,"",DATA[[#This Row],[Other staff 3: Current 2021/22 Maximum hourly pay rate ADJUSTED 2]]*DATA[[#This Row],[Other staff 3: Numbers employed (Full Time Equivalent)]]),"")</f>
        <v/>
      </c>
      <c r="QZ23" s="28" t="str">
        <f>IFERROR(IF(DATA[[#This Row],[Other staff 3: Numbers employed (Full Time Equivalent)]]=0,"",DATA[[#This Row],[Other staff 3: Previous 2020/21 Minimum hourly pay rate ADJUSTED 2]]*DATA[[#This Row],[Other staff 3: Numbers employed (Full Time Equivalent)]]),"")</f>
        <v/>
      </c>
      <c r="RA23" s="28" t="str">
        <f>IFERROR(IF(DATA[[#This Row],[Other staff 3: Numbers employed (Full Time Equivalent)]]=0,"",DATA[[#This Row],[Other staff 3: Previous 2020/21 Maximum hourly pay rate ADJUSTED 2]]*DATA[[#This Row],[Other staff 3: Numbers employed (Full Time Equivalent)]]),"")</f>
        <v/>
      </c>
      <c r="RB23"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23"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23"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23"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23"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23"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v>
      </c>
      <c r="RH23"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2</v>
      </c>
      <c r="RI23"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31</v>
      </c>
      <c r="RJ23"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2</v>
      </c>
      <c r="RK23"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23"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23"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23"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23"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23"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4" spans="7:484" x14ac:dyDescent="0.25">
      <c r="G24" s="2">
        <v>18</v>
      </c>
      <c r="H24" s="2">
        <v>121</v>
      </c>
      <c r="I24" s="2">
        <v>0</v>
      </c>
      <c r="J24" s="2">
        <v>1</v>
      </c>
      <c r="R24" s="2">
        <v>16.41</v>
      </c>
      <c r="S24" s="2">
        <v>16.41</v>
      </c>
      <c r="T24" s="2">
        <v>16.41</v>
      </c>
      <c r="U24" s="2">
        <v>16.41</v>
      </c>
      <c r="V24" s="2">
        <v>1</v>
      </c>
      <c r="W24" s="2">
        <v>12.82</v>
      </c>
      <c r="X24" s="2">
        <v>12.82</v>
      </c>
      <c r="Y24" s="2">
        <v>12.82</v>
      </c>
      <c r="Z24" s="2">
        <v>12.82</v>
      </c>
      <c r="AA24" s="2">
        <v>1</v>
      </c>
      <c r="AB24" s="2" t="s">
        <v>413</v>
      </c>
      <c r="AC24" s="2">
        <v>9.85</v>
      </c>
      <c r="AD24" s="2">
        <v>9.85</v>
      </c>
      <c r="AE24" s="2">
        <v>9.85</v>
      </c>
      <c r="AF24" s="2">
        <v>9.85</v>
      </c>
      <c r="AG24" s="2">
        <v>1</v>
      </c>
      <c r="AH24" s="2" t="s">
        <v>414</v>
      </c>
      <c r="AI24" s="2">
        <v>9.9700000000000006</v>
      </c>
      <c r="AJ24" s="2">
        <v>9.9700000000000006</v>
      </c>
      <c r="AK24" s="2">
        <v>9.9700000000000006</v>
      </c>
      <c r="AL24" s="2">
        <v>9.9700000000000006</v>
      </c>
      <c r="AM24" s="2">
        <v>1</v>
      </c>
      <c r="AN24" s="2" t="s">
        <v>315</v>
      </c>
      <c r="AO24" s="2">
        <v>0</v>
      </c>
      <c r="AP24" s="2">
        <v>0</v>
      </c>
      <c r="AQ24" s="2">
        <v>0</v>
      </c>
      <c r="AR24" s="2">
        <v>0</v>
      </c>
      <c r="AS24" s="2">
        <v>0</v>
      </c>
      <c r="AT24" s="2" t="s">
        <v>408</v>
      </c>
      <c r="AU24" s="2">
        <v>8.6300000000000008</v>
      </c>
      <c r="AV24" s="2">
        <v>8.91</v>
      </c>
      <c r="AW24" s="2">
        <v>8.36</v>
      </c>
      <c r="AX24" s="2">
        <v>8.91</v>
      </c>
      <c r="AY24" s="2">
        <v>36</v>
      </c>
      <c r="AZ24" s="2" t="s">
        <v>415</v>
      </c>
      <c r="BA24" s="2">
        <v>8.6300000000000008</v>
      </c>
      <c r="BB24" s="2">
        <v>8.91</v>
      </c>
      <c r="BC24" s="2">
        <v>8.36</v>
      </c>
      <c r="BD24" s="2">
        <v>8.91</v>
      </c>
      <c r="BE24" s="2">
        <v>6</v>
      </c>
      <c r="BF24" s="2" t="s">
        <v>316</v>
      </c>
      <c r="BG24" s="2">
        <v>0</v>
      </c>
      <c r="BH24" s="2">
        <v>0</v>
      </c>
      <c r="BI24" s="2">
        <v>0</v>
      </c>
      <c r="BJ24" s="2">
        <v>0</v>
      </c>
      <c r="BK24" s="2">
        <v>0</v>
      </c>
      <c r="BL24" s="2" t="s">
        <v>316</v>
      </c>
      <c r="BM24" s="2">
        <v>0</v>
      </c>
      <c r="BN24" s="2">
        <v>0</v>
      </c>
      <c r="BO24" s="2">
        <v>0</v>
      </c>
      <c r="BP24" s="2">
        <v>0</v>
      </c>
      <c r="BQ24" s="2">
        <v>0</v>
      </c>
      <c r="BR24" s="2" t="s">
        <v>416</v>
      </c>
      <c r="BS24" s="2">
        <v>10.76</v>
      </c>
      <c r="BT24" s="2">
        <v>10.76</v>
      </c>
      <c r="BU24" s="2">
        <v>10.76</v>
      </c>
      <c r="BV24" s="2">
        <v>10.76</v>
      </c>
      <c r="BW24" s="2">
        <v>2</v>
      </c>
      <c r="BX24" s="2" t="s">
        <v>417</v>
      </c>
      <c r="BY24" s="2">
        <v>9.1999999999999993</v>
      </c>
      <c r="BZ24" s="2">
        <v>9.1999999999999993</v>
      </c>
      <c r="CA24" s="2">
        <v>9.1999999999999993</v>
      </c>
      <c r="CB24" s="2">
        <v>9.1999999999999993</v>
      </c>
      <c r="CC24" s="2">
        <v>1</v>
      </c>
      <c r="CD24" s="2" t="s">
        <v>317</v>
      </c>
      <c r="CE24" s="2">
        <v>0</v>
      </c>
      <c r="CF24" s="2">
        <v>0</v>
      </c>
      <c r="CG24" s="2">
        <v>0</v>
      </c>
      <c r="CH24" s="2">
        <v>0</v>
      </c>
      <c r="CI24" s="2">
        <v>0</v>
      </c>
      <c r="CJ24" s="2" t="s">
        <v>318</v>
      </c>
      <c r="CK24" s="2">
        <v>0</v>
      </c>
      <c r="CL24" s="2">
        <v>0</v>
      </c>
      <c r="CM24" s="2">
        <v>0</v>
      </c>
      <c r="CN24" s="2">
        <v>0</v>
      </c>
      <c r="CO24" s="2">
        <v>0</v>
      </c>
      <c r="CP24" s="2" t="s">
        <v>318</v>
      </c>
      <c r="CQ24" s="2">
        <v>0</v>
      </c>
      <c r="CR24" s="2">
        <v>0</v>
      </c>
      <c r="CS24" s="2">
        <v>0</v>
      </c>
      <c r="CT24" s="2">
        <v>0</v>
      </c>
      <c r="CU24" s="2">
        <v>0</v>
      </c>
      <c r="CV24" s="2" t="s">
        <v>318</v>
      </c>
      <c r="CW24" s="2">
        <v>0</v>
      </c>
      <c r="CX24" s="2">
        <v>0</v>
      </c>
      <c r="CY24" s="2">
        <v>0</v>
      </c>
      <c r="CZ24" s="2">
        <v>0</v>
      </c>
      <c r="DA24" s="2">
        <v>0</v>
      </c>
      <c r="DB24" s="2">
        <v>0.83</v>
      </c>
      <c r="DC24" s="2">
        <v>6835</v>
      </c>
      <c r="DD24" s="2">
        <v>0</v>
      </c>
      <c r="DE24" s="2">
        <v>161</v>
      </c>
      <c r="DF24" s="2">
        <v>43</v>
      </c>
      <c r="DG24" s="2">
        <v>1942</v>
      </c>
      <c r="DH24" s="2">
        <v>33</v>
      </c>
      <c r="DI24" s="2">
        <v>0</v>
      </c>
      <c r="DJ24" s="2">
        <v>0</v>
      </c>
      <c r="DK24" s="2">
        <v>0</v>
      </c>
      <c r="DL24" s="2">
        <v>0</v>
      </c>
      <c r="DM24" s="2">
        <v>0</v>
      </c>
      <c r="DN24" s="2">
        <v>0</v>
      </c>
      <c r="DO24" s="2">
        <v>15.58</v>
      </c>
      <c r="DP24" s="2">
        <v>17.600000000000001</v>
      </c>
      <c r="DQ24" s="2">
        <v>16.5</v>
      </c>
      <c r="DR24" s="18">
        <v>43831</v>
      </c>
      <c r="DS24" s="18">
        <v>44196</v>
      </c>
      <c r="DT24" s="2">
        <v>74487</v>
      </c>
      <c r="DU24" s="2">
        <v>109500</v>
      </c>
      <c r="DV24" s="2">
        <v>773781</v>
      </c>
      <c r="DW24" s="2">
        <v>16500</v>
      </c>
      <c r="DX24" s="2">
        <v>0</v>
      </c>
      <c r="DY24" s="2">
        <v>0</v>
      </c>
      <c r="DZ24" s="2">
        <v>8990.91</v>
      </c>
      <c r="EA24" s="2">
        <v>4078.49</v>
      </c>
      <c r="EB24" s="2">
        <v>3124</v>
      </c>
      <c r="EC24" s="2">
        <v>4600</v>
      </c>
      <c r="ED24" s="2">
        <v>0</v>
      </c>
      <c r="EE24" s="2">
        <v>3700</v>
      </c>
      <c r="EF24" s="2">
        <v>29575</v>
      </c>
      <c r="EG24" s="2">
        <v>4200</v>
      </c>
      <c r="EH24" s="2" t="s">
        <v>324</v>
      </c>
      <c r="EI24" s="2">
        <v>0</v>
      </c>
      <c r="EJ24" s="2" t="s">
        <v>324</v>
      </c>
      <c r="EK24" s="2">
        <v>0</v>
      </c>
      <c r="EL24" s="2">
        <v>6839</v>
      </c>
      <c r="EM24" s="2">
        <v>3666</v>
      </c>
      <c r="EN24" s="2">
        <v>0</v>
      </c>
      <c r="EO24" s="2">
        <v>17622</v>
      </c>
      <c r="EP24" s="2">
        <v>39000</v>
      </c>
      <c r="EQ24" s="2">
        <v>0</v>
      </c>
      <c r="ER24" s="2">
        <v>3600</v>
      </c>
      <c r="ES24" s="2">
        <v>0</v>
      </c>
      <c r="ET24" s="2" t="s">
        <v>324</v>
      </c>
      <c r="EU24" s="2">
        <v>0</v>
      </c>
      <c r="EV24" s="2" t="s">
        <v>324</v>
      </c>
      <c r="EW24" s="2">
        <v>0</v>
      </c>
      <c r="EX24" s="2">
        <v>0</v>
      </c>
      <c r="EY24" s="2">
        <v>0</v>
      </c>
      <c r="EZ24" s="2" t="s">
        <v>326</v>
      </c>
      <c r="FA24" s="2">
        <v>0</v>
      </c>
      <c r="FB24" s="2" t="s">
        <v>326</v>
      </c>
      <c r="FC24" s="2">
        <v>0</v>
      </c>
      <c r="FD24" s="2"/>
      <c r="FE24" s="2">
        <v>0</v>
      </c>
      <c r="FF24" s="2">
        <v>0</v>
      </c>
      <c r="FG24" s="2"/>
      <c r="FH24" s="19">
        <v>44480.623773148145</v>
      </c>
      <c r="FI24" s="2" t="s">
        <v>364</v>
      </c>
      <c r="FJ24" s="2">
        <f>SUM(DATA[[#This Row],[Number of Home support clients:]],DATA[[#This Row],[Number of supported living clients:]])</f>
        <v>121</v>
      </c>
      <c r="FK24"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121-130</v>
      </c>
      <c r="FL24"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16.41</v>
      </c>
      <c r="FM24"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16.41</v>
      </c>
      <c r="FN24"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16.41</v>
      </c>
      <c r="FO24"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16.41</v>
      </c>
      <c r="FP24"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12.82</v>
      </c>
      <c r="FQ24"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12.82</v>
      </c>
      <c r="FR24"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12.82</v>
      </c>
      <c r="FS24"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12.82</v>
      </c>
      <c r="FT24"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9.85</v>
      </c>
      <c r="FU24"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9.85</v>
      </c>
      <c r="FV24"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9.85</v>
      </c>
      <c r="FW24"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9.85</v>
      </c>
      <c r="FX24"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9.9700000000000006</v>
      </c>
      <c r="FY24"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9.9700000000000006</v>
      </c>
      <c r="FZ24"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9.9700000000000006</v>
      </c>
      <c r="GA24"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9.9700000000000006</v>
      </c>
      <c r="GB24"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24"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24"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24"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24"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8.6300000000000008</v>
      </c>
      <c r="GG24"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24"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8.36</v>
      </c>
      <c r="GI24"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8.91</v>
      </c>
      <c r="GJ24"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8.6300000000000008</v>
      </c>
      <c r="GK24"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8.91</v>
      </c>
      <c r="GL24"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8.36</v>
      </c>
      <c r="GM24"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8.91</v>
      </c>
      <c r="GN24"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24"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24"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24"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24"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24"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24"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24"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24"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10.76</v>
      </c>
      <c r="GW24"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10.76</v>
      </c>
      <c r="GX24"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10.76</v>
      </c>
      <c r="GY24"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10.76</v>
      </c>
      <c r="GZ24"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9.1999999999999993</v>
      </c>
      <c r="HA24"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9.1999999999999993</v>
      </c>
      <c r="HB24"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9.1999999999999993</v>
      </c>
      <c r="HC24"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9.1999999999999993</v>
      </c>
      <c r="HD24"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24"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24"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24"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24"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24"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24"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24"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24"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24"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24"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24"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24"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4"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4"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4"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4"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16.41</v>
      </c>
      <c r="HU24"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16.41</v>
      </c>
      <c r="HV24"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16.41</v>
      </c>
      <c r="HW24"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16.41</v>
      </c>
      <c r="HX24"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12.82</v>
      </c>
      <c r="HY24"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12.82</v>
      </c>
      <c r="HZ24"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12.82</v>
      </c>
      <c r="IA24"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12.82</v>
      </c>
      <c r="IB24"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9.85</v>
      </c>
      <c r="IC24"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9.85</v>
      </c>
      <c r="ID24"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9.85</v>
      </c>
      <c r="IE24"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9.85</v>
      </c>
      <c r="IF24"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9.9700000000000006</v>
      </c>
      <c r="IG24"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9.9700000000000006</v>
      </c>
      <c r="IH24"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9.9700000000000006</v>
      </c>
      <c r="II24"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9.9700000000000006</v>
      </c>
      <c r="IJ24"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24"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24"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24"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24"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8.6300000000000008</v>
      </c>
      <c r="IO24"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24"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8.36</v>
      </c>
      <c r="IQ24"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8.91</v>
      </c>
      <c r="IR24"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8.6300000000000008</v>
      </c>
      <c r="IS24"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8.91</v>
      </c>
      <c r="IT24"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8.36</v>
      </c>
      <c r="IU24"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8.91</v>
      </c>
      <c r="IV24"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24"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24"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24"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24"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24"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24"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24"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24"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10.76</v>
      </c>
      <c r="JE24"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10.76</v>
      </c>
      <c r="JF24"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10.76</v>
      </c>
      <c r="JG24"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10.76</v>
      </c>
      <c r="JH24"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9.1999999999999993</v>
      </c>
      <c r="JI24"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9.1999999999999993</v>
      </c>
      <c r="JJ24"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9.1999999999999993</v>
      </c>
      <c r="JK24"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9.1999999999999993</v>
      </c>
      <c r="JL24"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24"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24"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24"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24"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24"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24"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24"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24"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24"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24"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24"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24"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4"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4"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4"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4"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v>
      </c>
      <c r="KC24" s="21">
        <f>SUM(DATA[[#This Row],[Care Assistant 1: Numbers employed (Full Time Equivalent)]],DATA[[#This Row],[Care Assistant 2: Numbers employed (Full Time Equivalent)]],DATA[[#This Row],[Care Assistant 3: Numbers employed (Full Time Equivalent)]],DATA[[#This Row],[Care Assistant 4: Numbers employed (Full Time Equivalent)]])</f>
        <v>42</v>
      </c>
      <c r="KD24" s="21">
        <f>SUM(DATA[[#This Row],[Administrative Officer 1: Numbers employed (Full Time Equivalent)]],DATA[[#This Row],[Administrative Officer 2: Numbers employed (Full Time Equivalent)]])</f>
        <v>3</v>
      </c>
      <c r="KE24" s="21">
        <f>SUM(DATA[[#This Row],[Other staff 1: Numbers employed (Full Time Equivalent)]],DATA[[#This Row],[Other staff 2: Numbers employed (Full Time Equivalent)]],DATA[[#This Row],[Other staff 3: Numbers employed (Full Time Equivalent)]])</f>
        <v>0</v>
      </c>
      <c r="KF24" s="21">
        <f>SUM(DATA[[#This Row],[Total FTE Management Employees]:[Total FTE Other Employees]])</f>
        <v>49</v>
      </c>
      <c r="KG24" s="21" t="str">
        <f>IF(SUM(DATA[[#This Row],[Home Support service split percentage (Expenditure):]],DATA[[#This Row],[Supported Living service split percentage (Expenditure):]])&gt;0, IF(DATA[[#This Row],[Home Support service split percentage (Expenditure):]]&gt;0.5,"Home Support","Supported Living"), "Unknown")</f>
        <v>Home Support</v>
      </c>
      <c r="KH24" s="21">
        <f>SUM(DATA[[#This Row],[Home Support: Birmingham City Council]:[Home Support: Self-funded]])</f>
        <v>9014</v>
      </c>
      <c r="KI24" s="21">
        <f>SUM(DATA[[#This Row],[Supported Living: Birmingham City Council]:[Supported Living: Self-funded]])</f>
        <v>0</v>
      </c>
      <c r="KJ24"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24"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24"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24"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24" s="21" t="b">
        <f>SUM(DATA[[#This Row],[Number of hours of care charged for in last full accounting year]:[Corporate Overheads: Other  - please specify (category) 1]])&gt;0</f>
        <v>1</v>
      </c>
      <c r="KO24" s="21">
        <f>SUM(DATA[[#This Row],[Total annual expenditure: Management staff]:[Total annual expenditure: Training and development]])</f>
        <v>915974.4</v>
      </c>
      <c r="KP24" s="21">
        <f>SUM(DATA[[#This Row],[Recruitment &amp; advertising (including DBS checks)]:[Non-Staffing Direct Cost: Other  - please specify (amount) 2]])</f>
        <v>42075</v>
      </c>
      <c r="KQ24" s="21">
        <f>SUM(DATA[[#This Row],[Insurance ]:[Indirect costs: Other 2 - please specify (amount)]])</f>
        <v>70727</v>
      </c>
      <c r="KR24" s="21">
        <f>SUM(DATA[[#This Row],[Central / Regional Management]],DATA[[#This Row],[Support Services (finance / HR / Payroll / legal etc.)]],DATA[[#This Row],[Corporate Overheads: Other  - please specify (amount) 1]],DATA[[#This Row],[Corporate Overheads: Other  - please specify (amount) 2]])</f>
        <v>0</v>
      </c>
      <c r="KS24"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1.4700551774135084</v>
      </c>
      <c r="KT24"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10.388134842321479</v>
      </c>
      <c r="KU24"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0.22151516371984373</v>
      </c>
      <c r="KV24"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24"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24" s="30">
        <f>IF(OR(NOT(DATA[[#This Row],[Total annual expenditure: Travel Cost]]&gt;0),NOT(DATA[[#This Row],[Number of hours of care charged for in last full accounting year]]&gt;0)),0,DATA[[#This Row],[Total annual expenditure: Travel Cost]]/DATA[[#This Row],[Number of hours of care charged for in last full accounting year]])</f>
        <v>0.12070441822062911</v>
      </c>
      <c r="KY24" s="30">
        <f>IF(OR(NOT(DATA[[#This Row],[Total annual expenditure: Travel Time]]&gt;0),NOT(DATA[[#This Row],[Number of hours of care charged for in last full accounting year]]&gt;0)),0,DATA[[#This Row],[Total annual expenditure: Travel Time]]/DATA[[#This Row],[Number of hours of care charged for in last full accounting year]])</f>
        <v>5.4754386671499719E-2</v>
      </c>
      <c r="KZ24"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4.1940204330957083E-2</v>
      </c>
      <c r="LA24"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6.175574261280492E-2</v>
      </c>
      <c r="LB24"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24" s="30">
        <f>IF(OR(NOT(DATA[[#This Row],[Care consumables &amp; uniforms]]&gt;0),NOT(DATA[[#This Row],[Number of hours of care charged for in last full accounting year]]&gt;0)),0,DATA[[#This Row],[Care consumables &amp; uniforms]]/DATA[[#This Row],[Number of hours of care charged for in last full accounting year]])</f>
        <v>4.967309731899526E-2</v>
      </c>
      <c r="LD24" s="30">
        <f>IF(OR(NOT(DATA[[#This Row],[Electronic call monitoring]]&gt;0),NOT(DATA[[#This Row],[Number of hours of care charged for in last full accounting year]]&gt;0)),0,DATA[[#This Row],[Electronic call monitoring]]/DATA[[#This Row],[Number of hours of care charged for in last full accounting year]])</f>
        <v>0.39704914951602294</v>
      </c>
      <c r="LE24" s="30">
        <f>IF(OR(NOT(DATA[[#This Row],[IT Equipment &amp; Telephoney]]&gt;0),NOT(DATA[[#This Row],[Number of hours of care charged for in last full accounting year]]&gt;0)),0,DATA[[#This Row],[IT Equipment &amp; Telephoney]]/DATA[[#This Row],[Number of hours of care charged for in last full accounting year]])</f>
        <v>5.6385678037778407E-2</v>
      </c>
      <c r="LF24"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24"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24" s="30">
        <f>IF(OR(NOT(DATA[[#This Row],[Insurance ]]&gt;0),NOT(DATA[[#This Row],[Number of hours of care charged for in last full accounting year]]&gt;0)),0,DATA[[#This Row],[Insurance ]]/DATA[[#This Row],[Number of hours of care charged for in last full accounting year]])</f>
        <v>9.1814679071515831E-2</v>
      </c>
      <c r="LI24"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4.9216641830118008E-2</v>
      </c>
      <c r="LJ24" s="30">
        <f>IF(OR(NOT(DATA[[#This Row],[Repairs and maintenance]]&gt;0),NOT(DATA[[#This Row],[Number of hours of care charged for in last full accounting year]]&gt;0)),0,DATA[[#This Row],[Repairs and maintenance]]/DATA[[#This Row],[Number of hours of care charged for in last full accounting year]])</f>
        <v>0</v>
      </c>
      <c r="LK24"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0.23657819485279311</v>
      </c>
      <c r="LL24" s="30">
        <f>IF(OR(NOT(DATA[[#This Row],[Registration &amp; Inspection fees ]]&gt;0),NOT(DATA[[#This Row],[Number of hours of care charged for in last full accounting year]]&gt;0)),0,DATA[[#This Row],[Registration &amp; Inspection fees ]]/DATA[[#This Row],[Number of hours of care charged for in last full accounting year]])</f>
        <v>0.52358129606508519</v>
      </c>
      <c r="LM24" s="30">
        <f>IF(OR(NOT(DATA[[#This Row],[Subscriptions]]&gt;0),NOT(DATA[[#This Row],[Number of hours of care charged for in last full accounting year]]&gt;0)),0,DATA[[#This Row],[Subscriptions]]/DATA[[#This Row],[Number of hours of care charged for in last full accounting year]])</f>
        <v>0</v>
      </c>
      <c r="LN24" s="30">
        <f>IF(OR(NOT(DATA[[#This Row],[Cost of finance]]&gt;0),NOT(DATA[[#This Row],[Number of hours of care charged for in last full accounting year]]&gt;0)),0,DATA[[#This Row],[Cost of finance]]/DATA[[#This Row],[Number of hours of care charged for in last full accounting year]])</f>
        <v>4.8330581175238634E-2</v>
      </c>
      <c r="LO24" s="30">
        <f>IF(OR(NOT(DATA[[#This Row],[Other non-staff current expenses]]&gt;0),NOT(DATA[[#This Row],[Number of hours of care charged for in last full accounting year]]&gt;0)),0,DATA[[#This Row],[Other non-staff current expenses]]/DATA[[#This Row],[Number of hours of care charged for in last full accounting year]])</f>
        <v>0</v>
      </c>
      <c r="LP24"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24"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24" s="30">
        <f>IF(OR(NOT(DATA[[#This Row],[Central / Regional Management]]&gt;0),NOT(DATA[[#This Row],[Number of hours of care charged for in last full accounting year]]&gt;0)),0,DATA[[#This Row],[Central / Regional Management]]/DATA[[#This Row],[Number of hours of care charged for in last full accounting year]])</f>
        <v>0</v>
      </c>
      <c r="LS24"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24"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4"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4" s="30">
        <f>SUM(DATA[[#This Row],[Management staff HOURLY RATE]:[Corporate Overheads: Other  - please specify (amount) 2 HOURLY RATE]])</f>
        <v>13.811489253158271</v>
      </c>
      <c r="LW24" s="30" t="str">
        <f>IF(OR(NOT(DATA[[#This Row],[Net Operating Profit]]&gt;0),NOT(DATA[[#This Row],[Number of hours of care charged for in last full accounting year]]&gt;0)),"",DATA[[#This Row],[Net Operating Profit]]/DATA[[#This Row],[Number of hours of care charged for in last full accounting year]])</f>
        <v/>
      </c>
      <c r="LX24" s="30">
        <f>IF(OR(NOT(DATA[[#This Row],[Return on Capital employed]]&gt;0),NOT(DATA[[#This Row],[Number of hours of care charged for in last full accounting year]]&gt;0)),0,DATA[[#This Row],[Return on Capital employed]]/DATA[[#This Row],[Number of hours of care charged for in last full accounting year]])</f>
        <v>0</v>
      </c>
      <c r="LY24" s="31">
        <v>18</v>
      </c>
      <c r="LZ24" s="30" t="s">
        <v>358</v>
      </c>
      <c r="MA24" s="30" t="b">
        <f>DATA[[#This Row],[Number of Home support clients:]]&gt;0</f>
        <v>1</v>
      </c>
      <c r="MB24" s="30" t="b">
        <f>DATA[[#This Row],[Number of supported living clients:]]&gt;0</f>
        <v>0</v>
      </c>
      <c r="MC24" s="30" t="b">
        <f>DATA[[#This Row],[Total Home Support Hours]]&gt;0</f>
        <v>1</v>
      </c>
      <c r="MD24" s="30" t="b">
        <f>DATA[[#This Row],[Total Supported Living Hours]]&gt;0</f>
        <v>0</v>
      </c>
      <c r="ME24" s="30" t="b">
        <f>DATA[[#This Row],[Home Support service split percentage (Expenditure):]]&gt;0.5</f>
        <v>1</v>
      </c>
      <c r="MF24" s="30" t="b">
        <f>DATA[[#This Row],[Agency staff HOURLY RATE]]=0</f>
        <v>1</v>
      </c>
      <c r="MG24" s="30">
        <f>IFERROR(IF(AVERAGE(DATA[[#This Row],[Registered manager: Current 2021/22 Minimum hourly pay rate ADJUSTED]],DATA[[#This Row],[Registered manager: Current 2021/22 Maximum hourly pay rate ADJUSTED]])&lt;LIVING_WAGE_22_23,DATA[[#This Row],[Registered manager: Numbers employed (Full Time Equivalent)]],0),"")</f>
        <v>0</v>
      </c>
      <c r="MH24" s="30">
        <f>IFERROR(IF(AVERAGE(DATA[[#This Row],[Deputy manager: Current 2021/22 Minimum hourly pay rate ADJUSTED]],DATA[[#This Row],[Deputy manager: Current 2021/22 Maximum hourly pay rate ADJUSTED]])&lt;LIVING_WAGE_22_23,DATA[[#This Row],[Deputy manager: Numbers employed (Full Time Equivalent)]],0),"")</f>
        <v>0</v>
      </c>
      <c r="MI24" s="30">
        <f>IFERROR(IF(AVERAGE(DATA[[#This Row],[Other manager 1: Current 2021/22 Minimum hourly pay rate ADJUSTED]],DATA[[#This Row],[Other manager 1: Current 2021/22 Maximum hourly pay rate ADJUSTED]])&lt;LIVING_WAGE_22_23,DATA[[#This Row],[Other manager 1: Numbers employed (Full Time Equivalent)]],0),"")</f>
        <v>0</v>
      </c>
      <c r="MJ24" s="30">
        <f>IFERROR(IF(AVERAGE(DATA[[#This Row],[Other manager 2: Current 2021/22 Minimum hourly pay rate ADJUSTED]],DATA[[#This Row],[Other manager 2: Current 2021/22 Maximum hourly pay rate ADJUSTED]])&lt;LIVING_WAGE_22_23,DATA[[#This Row],[Other manager 2: Numbers employed (Full Time Equivalent)]],0),"")</f>
        <v>0</v>
      </c>
      <c r="MK24" s="30" t="str">
        <f>IFERROR(IF(AVERAGE(DATA[[#This Row],[Other manager 3: Current 2021/22 Minimum hourly pay rate ADJUSTED]],DATA[[#This Row],[Other manager 3: Current 2021/22 Maximum hourly pay rate ADJUSTED]])&lt;LIVING_WAGE_22_23,DATA[[#This Row],[Other manager 3: Numbers employed (Full Time Equivalent)]],0),"")</f>
        <v/>
      </c>
      <c r="ML24" s="30">
        <f>IFERROR(IF(AVERAGE(DATA[[#This Row],[Care Assistant 1: Current 2021/22 Minimum hourly pay rate ADJUSTED]],DATA[[#This Row],[Care Assistant 1: Current 2021/22 Maximum hourly pay rate ADJUSTED]])&lt;LIVING_WAGE_22_23,DATA[[#This Row],[Care Assistant 1: Numbers employed (Full Time Equivalent)]],0),"")</f>
        <v>36</v>
      </c>
      <c r="MM24" s="30">
        <f>IFERROR(IF(AVERAGE(DATA[[#This Row],[Care Assistant 2: Current 2021/22 Minimum hourly pay rate ADJUSTED]],DATA[[#This Row],[Care Assistant 2: Current 2021/22 Maximum hourly pay rate ADJUSTED]])&lt;LIVING_WAGE_22_23,DATA[[#This Row],[Care Assistant 2: Numbers employed (Full Time Equivalent)]],0),"")</f>
        <v>6</v>
      </c>
      <c r="MN24" s="30" t="str">
        <f>IFERROR(IF(AVERAGE(DATA[[#This Row],[Care Assistant 3: Current 2021/22 Minimum hourly pay rate ADJUSTED]],DATA[[#This Row],[Care Assistant 3: Current 2021/22 Maximum hourly pay rate ADJUSTED]])&lt;LIVING_WAGE_22_23,DATA[[#This Row],[Care Assistant 3: Numbers employed (Full Time Equivalent)]],0),"")</f>
        <v/>
      </c>
      <c r="MO24" s="30" t="str">
        <f>IFERROR(IF(AVERAGE(DATA[[#This Row],[Care Assistant 4: Current 2021/22 Minimum hourly pay rate ADJUSTED]],DATA[[#This Row],[Care Assistant 4: Current 2021/22 Maximum hourly pay rate ADJUSTED]])&lt;LIVING_WAGE_22_23,DATA[[#This Row],[Care Assistant 4: Numbers employed (Full Time Equivalent)]],0),"")</f>
        <v/>
      </c>
      <c r="MP24"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24"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1</v>
      </c>
      <c r="MR24" s="30" t="str">
        <f>IFERROR(IF(AVERAGE(DATA[[#This Row],[Other staff 1: Current 2021/22 Minimum hourly pay rate ADJUSTED]],DATA[[#This Row],[Other staff 1: Current 2021/22 Maximum hourly pay rate ADJUSTED]])&lt;LIVING_WAGE_22_23,DATA[[#This Row],[Other staff 1: Numbers employed (Full Time Equivalent)]],0),"")</f>
        <v/>
      </c>
      <c r="MS24" s="30" t="str">
        <f>IFERROR(IF(AVERAGE(DATA[[#This Row],[Other staff 2: Current 2021/22 Minimum hourly pay rate ADJUSTED]],DATA[[#This Row],[Other staff 2: Current 2021/22 Maximum hourly pay rate ADJUSTED]])&lt;LIVING_WAGE_22_23,DATA[[#This Row],[Other staff 2: Numbers employed (Full Time Equivalent)]],0),"")</f>
        <v/>
      </c>
      <c r="MT24" s="30" t="str">
        <f>IFERROR(IF(AVERAGE(DATA[[#This Row],[Other staff 3: Current 2021/22 Minimum hourly pay rate ADJUSTED]],DATA[[#This Row],[Other staff 3: Current 2021/22 Maximum hourly pay rate ADJUSTED]])&lt;LIVING_WAGE_22_23,DATA[[#This Row],[Other staff 3: Numbers employed (Full Time Equivalent)]],0),"")</f>
        <v/>
      </c>
      <c r="MU24" s="30">
        <f>SUM(DATA[[#This Row],[Registered Manager FTE earning less than NLW 23yrs 2022/23]:[Other staff 3 FTE earning less than NLW 23yrs 2022/23]])</f>
        <v>43</v>
      </c>
      <c r="MV24"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24"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24"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24"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24"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24"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26.280000000000015</v>
      </c>
      <c r="NB24"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4.3800000000000026</v>
      </c>
      <c r="NC24"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24"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24"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24"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0.30000000000000071</v>
      </c>
      <c r="NG24"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24"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24"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4" s="30" t="b">
        <v>1</v>
      </c>
      <c r="NK24" s="30" t="b">
        <v>1</v>
      </c>
      <c r="NL24" s="30" t="s">
        <v>505</v>
      </c>
      <c r="NM24" s="30">
        <f>SUM(DATA[[#This Row],[Management staff HOURLY RATE]:[Training and development HOURLY RATE]])</f>
        <v>12.297104192677917</v>
      </c>
      <c r="NN24" s="30">
        <f>SUM(DATA[[#This Row],[Recruitment &amp; advertising (including DBS checks) HOURLY RATE]:[Non-Staffing Direct Cost: Other  - please specify (amount) 2 HOURLY RATE]])</f>
        <v>0.56486366748560146</v>
      </c>
      <c r="NO24" s="30">
        <f>SUM(DATA[[#This Row],[Insurance  HOURLY RATE]:[Indirect costs: Other  - please specify (amount) 2 HOURLY RATE]])</f>
        <v>0.94952139299475069</v>
      </c>
      <c r="NP24" s="30">
        <f>SUM(DATA[[#This Row],[Central / Regional Management HOURLY RATE]:[Corporate Overheads: Other  - please specify (amount) 2 HOURLY RATE]])</f>
        <v>0</v>
      </c>
      <c r="NQ24"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24" s="30">
        <f>IFERROR(IF(AVERAGE(DATA[[#This Row],[Deputy manager: Current 2021/22 Minimum hourly pay rate ADJUSTED]],DATA[[#This Row],[Deputy manager: Current 2021/22 Maximum hourly pay rate ADJUSTED]])&lt;REAL_LIVING_WAGE_22_23,DATA[[#This Row],[Deputy manager: Numbers employed (Full Time Equivalent)]],0),"")</f>
        <v>0</v>
      </c>
      <c r="NS24" s="30">
        <f>IFERROR(IF(AVERAGE(DATA[[#This Row],[Other manager 1: Current 2021/22 Minimum hourly pay rate ADJUSTED]],DATA[[#This Row],[Other manager 1: Current 2021/22 Maximum hourly pay rate ADJUSTED]])&lt;REAL_LIVING_WAGE_22_23,DATA[[#This Row],[Other manager 1: Numbers employed (Full Time Equivalent)]],0),"")</f>
        <v>1</v>
      </c>
      <c r="NT24" s="30">
        <f>IFERROR(IF(AVERAGE(DATA[[#This Row],[Other manager 2: Current 2021/22 Minimum hourly pay rate ADJUSTED]],DATA[[#This Row],[Other manager 2: Current 2021/22 Maximum hourly pay rate ADJUSTED]])&lt;REAL_LIVING_WAGE_22_23,DATA[[#This Row],[Other manager 2: Numbers employed (Full Time Equivalent)]],0),"")</f>
        <v>0</v>
      </c>
      <c r="NU24" s="30" t="str">
        <f>IFERROR(IF(AVERAGE(DATA[[#This Row],[Other manager 3: Current 2021/22 Minimum hourly pay rate ADJUSTED]],DATA[[#This Row],[Other manager 3: Current 2021/22 Maximum hourly pay rate ADJUSTED]])&lt;REAL_LIVING_WAGE_22_23,DATA[[#This Row],[Other manager 3: Numbers employed (Full Time Equivalent)]],0),"")</f>
        <v/>
      </c>
      <c r="NV24" s="30">
        <f>IFERROR(IF(AVERAGE(DATA[[#This Row],[Care Assistant 1: Current 2021/22 Minimum hourly pay rate ADJUSTED]],DATA[[#This Row],[Care Assistant 1: Current 2021/22 Maximum hourly pay rate ADJUSTED]])&lt;REAL_LIVING_WAGE_22_23,DATA[[#This Row],[Care Assistant 1: Numbers employed (Full Time Equivalent)]],0),"")</f>
        <v>36</v>
      </c>
      <c r="NW24" s="30">
        <f>IFERROR(IF(AVERAGE(DATA[[#This Row],[Care Assistant 2: Current 2021/22 Minimum hourly pay rate ADJUSTED]],DATA[[#This Row],[Care Assistant 2: Current 2021/22 Maximum hourly pay rate ADJUSTED]])&lt;REAL_LIVING_WAGE_22_23,DATA[[#This Row],[Care Assistant 2: Numbers employed (Full Time Equivalent)]],0),"")</f>
        <v>6</v>
      </c>
      <c r="NX24"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24"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24"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24"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1</v>
      </c>
      <c r="OB24" s="30" t="str">
        <f>IFERROR(IF(AVERAGE(DATA[[#This Row],[Other staff 1: Current 2021/22 Minimum hourly pay rate ADJUSTED]],DATA[[#This Row],[Other staff 1: Current 2021/22 Maximum hourly pay rate ADJUSTED]])&lt;REAL_LIVING_WAGE_22_23,DATA[[#This Row],[Other staff 1: Numbers employed (Full Time Equivalent)]],0),"")</f>
        <v/>
      </c>
      <c r="OC24" s="30" t="str">
        <f>IFERROR(IF(AVERAGE(DATA[[#This Row],[Other staff 2: Current 2021/22 Minimum hourly pay rate ADJUSTED]],DATA[[#This Row],[Other staff 2: Current 2021/22 Maximum hourly pay rate ADJUSTED]])&lt;REAL_LIVING_WAGE_22_23,DATA[[#This Row],[Other staff 2: Numbers employed (Full Time Equivalent)]],0),"")</f>
        <v/>
      </c>
      <c r="OD24" s="30" t="str">
        <f>IFERROR(IF(AVERAGE(DATA[[#This Row],[Other staff 3: Current 2021/22 Minimum hourly pay rate ADJUSTED]],DATA[[#This Row],[Other staff 3: Current 2021/22 Maximum hourly pay rate ADJUSTED]])&lt;REAL_LIVING_WAGE_22_23,DATA[[#This Row],[Other staff 3: Numbers employed (Full Time Equivalent)]],0),"")</f>
        <v/>
      </c>
      <c r="OE24" s="30">
        <f>SUM(DATA[[#This Row],[Registered Manager FTE earning less than RLW 23yrs 2022/23]:[Other staff 3 FTE earning less than RLW 23yrs 2022/23]])</f>
        <v>44</v>
      </c>
      <c r="OF24"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24"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24"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5.0000000000000711E-2</v>
      </c>
      <c r="OI24"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24"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24"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40.680000000000028</v>
      </c>
      <c r="OL24"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6.7800000000000047</v>
      </c>
      <c r="OM24"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24"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24"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24"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0.70000000000000107</v>
      </c>
      <c r="OQ24"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24"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24"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4" s="30">
        <f>IFERROR(IF(DATA[[#This Row],[Registered manager: Numbers employed (Full Time Equivalent)]]=0,"",DATA[[#This Row],[Registered manager: Current 2021/22 Minimum hourly pay rate ADJUSTED 2]]*DATA[[#This Row],[Registered manager: Numbers employed (Full Time Equivalent)]]),"")</f>
        <v>16.41</v>
      </c>
      <c r="OU24" s="30">
        <f>IFERROR(IF(DATA[[#This Row],[Registered manager: Numbers employed (Full Time Equivalent)]]=0,"",DATA[[#This Row],[Registered manager: Current 2021/22 Maximum hourly pay rate ADJUSTED 2]]*DATA[[#This Row],[Registered manager: Numbers employed (Full Time Equivalent)]]),"")</f>
        <v>16.41</v>
      </c>
      <c r="OV24" s="30">
        <f>IFERROR(IF(DATA[[#This Row],[Registered manager: Numbers employed (Full Time Equivalent)]]=0,"",DATA[[#This Row],[Registered manager: Previous 2020/21 Minimum hourly pay rate ADJUSTED 2]]*DATA[[#This Row],[Registered manager: Numbers employed (Full Time Equivalent)]]),"")</f>
        <v>16.41</v>
      </c>
      <c r="OW24" s="30">
        <f>IFERROR(IF(DATA[[#This Row],[Registered manager: Numbers employed (Full Time Equivalent)]]=0,"",DATA[[#This Row],[Registered manager: Previous 2020/21 Maximum hourly pay rate ADJUSTED 2]]*DATA[[#This Row],[Registered manager: Numbers employed (Full Time Equivalent)]]),"")</f>
        <v>16.41</v>
      </c>
      <c r="OX24" s="30">
        <f>IFERROR(IF(DATA[[#This Row],[Deputy manager: Numbers employed (Full Time Equivalent)]]=0,"",DATA[[#This Row],[Deputy manager: Current 2021/22 Minimum hourly pay rate ADJUSTED 2]]*DATA[[#This Row],[Deputy manager: Numbers employed (Full Time Equivalent)]]),"")</f>
        <v>12.82</v>
      </c>
      <c r="OY24" s="30">
        <f>IFERROR(IF(DATA[[#This Row],[Deputy manager: Numbers employed (Full Time Equivalent)]]=0,"",DATA[[#This Row],[Deputy manager: Current 2021/22 Maximum hourly pay rate ADJUSTED 2]]*DATA[[#This Row],[Deputy manager: Numbers employed (Full Time Equivalent)]]),"")</f>
        <v>12.82</v>
      </c>
      <c r="OZ24" s="30">
        <f>IFERROR(IF(DATA[[#This Row],[Deputy manager: Numbers employed (Full Time Equivalent)]]=0,"",DATA[[#This Row],[Deputy manager: Previous 2020/21 Minimum hourly pay rate ADJUSTED 2]]*DATA[[#This Row],[Deputy manager: Numbers employed (Full Time Equivalent)]]),"")</f>
        <v>12.82</v>
      </c>
      <c r="PA24" s="30">
        <f>IFERROR(IF(DATA[[#This Row],[Deputy manager: Numbers employed (Full Time Equivalent)]]=0,"",DATA[[#This Row],[Deputy manager: Previous 2020/21 Maximum hourly pay rate ADJUSTED 2]]*DATA[[#This Row],[Deputy manager: Numbers employed (Full Time Equivalent)]]),"")</f>
        <v>12.82</v>
      </c>
      <c r="PB24" s="30">
        <f>IFERROR(IF(DATA[[#This Row],[Other manager 1: Numbers employed (Full Time Equivalent)]]=0,"",DATA[[#This Row],[Other manager 1: Current 2021/22 Minimum hourly pay rate ADJUSTED 2]]*DATA[[#This Row],[Other manager 1: Numbers employed (Full Time Equivalent)]]),"")</f>
        <v>9.85</v>
      </c>
      <c r="PC24" s="30">
        <f>IFERROR(IF(DATA[[#This Row],[Other manager 1: Numbers employed (Full Time Equivalent)]]=0,"",DATA[[#This Row],[Other manager 1: Current 2021/22 Maximum hourly pay rate ADJUSTED 2]]*DATA[[#This Row],[Other manager 1: Numbers employed (Full Time Equivalent)]]),"")</f>
        <v>9.85</v>
      </c>
      <c r="PD24" s="30">
        <f>IFERROR(IF(DATA[[#This Row],[Other manager 1: Numbers employed (Full Time Equivalent)]]=0,"",DATA[[#This Row],[Other manager 1: Previous 2020/21 Minimum hourly pay rate ADJUSTED 2]]*DATA[[#This Row],[Other manager 1: Numbers employed (Full Time Equivalent)]]),"")</f>
        <v>9.85</v>
      </c>
      <c r="PE24" s="30">
        <f>IFERROR(IF(DATA[[#This Row],[Other manager 1: Numbers employed (Full Time Equivalent)]]=0,"",DATA[[#This Row],[Other manager 1: Previous 2020/21 Maximum hourly pay rate ADJUSTED 2]]*DATA[[#This Row],[Other manager 1: Numbers employed (Full Time Equivalent)]]),"")</f>
        <v>9.85</v>
      </c>
      <c r="PF24" s="30">
        <f>IFERROR(IF(DATA[[#This Row],[Other manager 2: Numbers employed (Full Time Equivalent)]]=0,"",DATA[[#This Row],[Other manager 2: Current 2021/22 Minimum hourly pay rate ADJUSTED 2]]*DATA[[#This Row],[Other manager 2: Numbers employed (Full Time Equivalent)]]),"")</f>
        <v>9.9700000000000006</v>
      </c>
      <c r="PG24" s="30">
        <f>IFERROR(IF(DATA[[#This Row],[Other manager 2: Numbers employed (Full Time Equivalent)]]=0,"",DATA[[#This Row],[Other manager 2: Current 2021/22 Maximum hourly pay rate ADJUSTED 2]]*DATA[[#This Row],[Other manager 2: Numbers employed (Full Time Equivalent)]]),"")</f>
        <v>9.9700000000000006</v>
      </c>
      <c r="PH24" s="30">
        <f>IFERROR(IF(DATA[[#This Row],[Other manager 2: Numbers employed (Full Time Equivalent)]]=0,"",DATA[[#This Row],[Other manager 2: Previous 2020/21 Minimum hourly pay rate ADJUSTED 2]]*DATA[[#This Row],[Other manager 2: Numbers employed (Full Time Equivalent)]]),"")</f>
        <v>9.9700000000000006</v>
      </c>
      <c r="PI24" s="30">
        <f>IFERROR(IF(DATA[[#This Row],[Other manager 2: Numbers employed (Full Time Equivalent)]]=0,"",DATA[[#This Row],[Other manager 2: Previous 2020/21 Maximum hourly pay rate ADJUSTED 2]]*DATA[[#This Row],[Other manager 2: Numbers employed (Full Time Equivalent)]]),"")</f>
        <v>9.9700000000000006</v>
      </c>
      <c r="PJ24" s="30" t="str">
        <f>IFERROR(IF(DATA[[#This Row],[Other manager 3: Numbers employed (Full Time Equivalent)]]=0,"",DATA[[#This Row],[Other manager 3: Current 2021/22 Minimum hourly pay rate ADJUSTED 2]]*DATA[[#This Row],[Other manager 3: Numbers employed (Full Time Equivalent)]]),"")</f>
        <v/>
      </c>
      <c r="PK24" s="30" t="str">
        <f>IFERROR(IF(DATA[[#This Row],[Other manager 3: Numbers employed (Full Time Equivalent)]]=0,"",DATA[[#This Row],[Other manager 3: Current 2021/22 Maximum hourly pay rate ADJUSTED 2]]*DATA[[#This Row],[Other manager 3: Numbers employed (Full Time Equivalent)]]),"")</f>
        <v/>
      </c>
      <c r="PL24" s="30" t="str">
        <f>IFERROR(IF(DATA[[#This Row],[Other manager 3: Numbers employed (Full Time Equivalent)]]=0,"",DATA[[#This Row],[Other manager 3: Previous 2020/21 Minimum hourly pay rate ADJUSTED 2]]*DATA[[#This Row],[Other manager 3: Numbers employed (Full Time Equivalent)]]),"")</f>
        <v/>
      </c>
      <c r="PM24" s="30" t="str">
        <f>IFERROR(IF(DATA[[#This Row],[Other manager 3: Numbers employed (Full Time Equivalent)]]=0,"",DATA[[#This Row],[Other manager 3: Previous 2020/21 Maximum hourly pay rate ADJUSTED 2]]*DATA[[#This Row],[Other manager 3: Numbers employed (Full Time Equivalent)]]),"")</f>
        <v/>
      </c>
      <c r="PN24" s="30">
        <f>IFERROR(IF(DATA[[#This Row],[Care Assistant 1: Numbers employed (Full Time Equivalent)]]=0,"",DATA[[#This Row],[Care Assistant 1: Current 2021/22 Minimum hourly pay rate ADJUSTED 2]]*DATA[[#This Row],[Care Assistant 1: Numbers employed (Full Time Equivalent)]]),"")</f>
        <v>310.68</v>
      </c>
      <c r="PO24" s="30">
        <f>IFERROR(IF(DATA[[#This Row],[Care Assistant 1: Numbers employed (Full Time Equivalent)]]=0,"",DATA[[#This Row],[Care Assistant 1: Current 2021/22 Maximum hourly pay rate ADJUSTED 2]]*DATA[[#This Row],[Care Assistant 1: Numbers employed (Full Time Equivalent)]]),"")</f>
        <v>320.76</v>
      </c>
      <c r="PP24" s="30">
        <f>IFERROR(IF(DATA[[#This Row],[Care Assistant 1: Numbers employed (Full Time Equivalent)]]=0,"",DATA[[#This Row],[Care Assistant 1: Previous 2020/21 Minimum hourly pay rate ADJUSTED 2]]*DATA[[#This Row],[Care Assistant 1: Numbers employed (Full Time Equivalent)]]),"")</f>
        <v>300.95999999999998</v>
      </c>
      <c r="PQ24" s="30">
        <f>IFERROR(IF(DATA[[#This Row],[Care Assistant 1: Numbers employed (Full Time Equivalent)]]=0,"",DATA[[#This Row],[Care Assistant 1: Previous 2020/21 Maximum hourly pay rate ADJUSTED 2]]*DATA[[#This Row],[Care Assistant 1: Numbers employed (Full Time Equivalent)]]),"")</f>
        <v>320.76</v>
      </c>
      <c r="PR24" s="30">
        <f>IFERROR(IF(DATA[[#This Row],[Care Assistant 2: Numbers employed (Full Time Equivalent)]]=0,"",DATA[[#This Row],[Care Assistant 2: Current 2021/22 Minimum hourly pay rate ADJUSTED 2]]*DATA[[#This Row],[Care Assistant 2: Numbers employed (Full Time Equivalent)]]),"")</f>
        <v>51.78</v>
      </c>
      <c r="PS24" s="30">
        <f>IFERROR(IF(DATA[[#This Row],[Care Assistant 2: Numbers employed (Full Time Equivalent)]]=0,"",DATA[[#This Row],[Care Assistant 2: Current 2021/22 Maximum hourly pay rate ADJUSTED 2]]*DATA[[#This Row],[Care Assistant 2: Numbers employed (Full Time Equivalent)]]),"")</f>
        <v>53.46</v>
      </c>
      <c r="PT24" s="30">
        <f>IFERROR(IF(DATA[[#This Row],[Care Assistant 2: Numbers employed (Full Time Equivalent)]]=0,"",DATA[[#This Row],[Care Assistant 2: Previous 2020/21 Minimum hourly pay rate ADJUSTED 2]]*DATA[[#This Row],[Care Assistant 2: Numbers employed (Full Time Equivalent)]]),"")</f>
        <v>50.16</v>
      </c>
      <c r="PU24" s="30">
        <f>IFERROR(IF(DATA[[#This Row],[Care Assistant 2: Numbers employed (Full Time Equivalent)]]=0,"",DATA[[#This Row],[Care Assistant 2: Previous 2020/21 Maximum hourly pay rate ADJUSTED 2]]*DATA[[#This Row],[Care Assistant 2: Numbers employed (Full Time Equivalent)]]),"")</f>
        <v>53.46</v>
      </c>
      <c r="PV24" s="30" t="str">
        <f>IFERROR(IF(DATA[[#This Row],[Care Assistant 3: Numbers employed (Full Time Equivalent)]]=0,"",DATA[[#This Row],[Care Assistant 3: Current 2021/22 Minimum hourly pay rate ADJUSTED 2]]*DATA[[#This Row],[Care Assistant 3: Numbers employed (Full Time Equivalent)]]),"")</f>
        <v/>
      </c>
      <c r="PW24" s="30" t="str">
        <f>IFERROR(IF(DATA[[#This Row],[Care Assistant 3: Numbers employed (Full Time Equivalent)]]=0,"",DATA[[#This Row],[Care Assistant 3: Current 2021/22 Maximum hourly pay rate ADJUSTED 2]]*DATA[[#This Row],[Care Assistant 3: Numbers employed (Full Time Equivalent)]]),"")</f>
        <v/>
      </c>
      <c r="PX24" s="30" t="str">
        <f>IFERROR(IF(DATA[[#This Row],[Care Assistant 3: Numbers employed (Full Time Equivalent)]]=0,"",DATA[[#This Row],[Care Assistant 3: Previous 2020/21 Minimum hourly pay rate ADJUSTED 2]]*DATA[[#This Row],[Care Assistant 3: Numbers employed (Full Time Equivalent)]]),"")</f>
        <v/>
      </c>
      <c r="PY24" s="30" t="str">
        <f>IFERROR(IF(DATA[[#This Row],[Care Assistant 3: Numbers employed (Full Time Equivalent)]]=0,"",DATA[[#This Row],[Care Assistant 3: Previous 2020/21 Maximum hourly pay rate ADJUSTED 2]]*DATA[[#This Row],[Care Assistant 3: Numbers employed (Full Time Equivalent)]]),"")</f>
        <v/>
      </c>
      <c r="PZ24" s="30" t="str">
        <f>IFERROR(IF(DATA[[#This Row],[Care Assistant 4: Numbers employed (Full Time Equivalent)]]=0,"",DATA[[#This Row],[Care Assistant 4: Current 2021/22 Minimum hourly pay rate ADJUSTED 2]]*DATA[[#This Row],[Care Assistant 4: Numbers employed (Full Time Equivalent)]]),"")</f>
        <v/>
      </c>
      <c r="QA24" s="30" t="str">
        <f>IFERROR(IF(DATA[[#This Row],[Care Assistant 4: Numbers employed (Full Time Equivalent)]]=0,"",DATA[[#This Row],[Care Assistant 4: Current 2021/22 Maximum hourly pay rate ADJUSTED 2]]*DATA[[#This Row],[Care Assistant 4: Numbers employed (Full Time Equivalent)]]),"")</f>
        <v/>
      </c>
      <c r="QB24" s="30" t="str">
        <f>IFERROR(IF(DATA[[#This Row],[Care Assistant 4: Numbers employed (Full Time Equivalent)]]=0,"",DATA[[#This Row],[Care Assistant 4: Previous 2020/21 Minimum hourly pay rate ADJUSTED 2]]*DATA[[#This Row],[Care Assistant 4: Numbers employed (Full Time Equivalent)]]),"")</f>
        <v/>
      </c>
      <c r="QC24" s="30" t="str">
        <f>IFERROR(IF(DATA[[#This Row],[Care Assistant 4: Numbers employed (Full Time Equivalent)]]=0,"",DATA[[#This Row],[Care Assistant 4: Previous 2020/21 Maximum hourly pay rate ADJUSTED 2]]*DATA[[#This Row],[Care Assistant 4: Numbers employed (Full Time Equivalent)]]),"")</f>
        <v/>
      </c>
      <c r="QD24" s="30">
        <f>IFERROR(IF(DATA[[#This Row],[Administrative Officer 1: Numbers employed (Full Time Equivalent)]]=0,"",DATA[[#This Row],[Administrative Officer 1: Current 2021/22 Minimum hourly pay rate ADJUSTED 2]]*DATA[[#This Row],[Administrative Officer 1: Numbers employed (Full Time Equivalent)]]),"")</f>
        <v>21.52</v>
      </c>
      <c r="QE24" s="30">
        <f>IFERROR(IF(DATA[[#This Row],[Administrative Officer 1: Numbers employed (Full Time Equivalent)]]=0,"",DATA[[#This Row],[Administrative Officer 1: Current 2021/22 Maximum hourly pay rate ADJUSTED 2]]*DATA[[#This Row],[Administrative Officer 1: Numbers employed (Full Time Equivalent)]]),"")</f>
        <v>21.52</v>
      </c>
      <c r="QF24" s="30">
        <f>IFERROR(IF(DATA[[#This Row],[Administrative Officer 1: Numbers employed (Full Time Equivalent)]]=0,"",DATA[[#This Row],[Administrative Officer 1: Previous 2020/21 Minimum hourly pay rate ADJUSTED 2]]*DATA[[#This Row],[Administrative Officer 1: Numbers employed (Full Time Equivalent)]]),"")</f>
        <v>21.52</v>
      </c>
      <c r="QG24" s="30">
        <f>IFERROR(IF(DATA[[#This Row],[Administrative Officer 1: Numbers employed (Full Time Equivalent)]]=0,"",DATA[[#This Row],[Administrative Officer 1: Previous 2020/21 Maximum hourly pay rate ADJUSTED 2]]*DATA[[#This Row],[Administrative Officer 1: Numbers employed (Full Time Equivalent)]]),"")</f>
        <v>21.52</v>
      </c>
      <c r="QH24" s="30">
        <f>IFERROR(IF(DATA[[#This Row],[Administrative Officer 2: Numbers employed (Full Time Equivalent)]]=0,"",DATA[[#This Row],[Administrative Officer 2: Current 2021/22 Minimum hourly pay rate ADJUSTED 2]]*DATA[[#This Row],[Administrative Officer 2: Numbers employed (Full Time Equivalent)]]),"")</f>
        <v>9.1999999999999993</v>
      </c>
      <c r="QI24" s="30">
        <f>IFERROR(IF(DATA[[#This Row],[Administrative Officer 2: Numbers employed (Full Time Equivalent)]]=0,"",DATA[[#This Row],[Administrative Officer 2: Current 2021/22 Maximum hourly pay rate ADJUSTED 2]]*DATA[[#This Row],[Administrative Officer 2: Numbers employed (Full Time Equivalent)]]),"")</f>
        <v>9.1999999999999993</v>
      </c>
      <c r="QJ24" s="30">
        <f>IFERROR(IF(DATA[[#This Row],[Administrative Officer 2: Numbers employed (Full Time Equivalent)]]=0,"",DATA[[#This Row],[Administrative Officer 2: Previous 2020/21 Minimum hourly pay rate ADJUSTED 2]]*DATA[[#This Row],[Administrative Officer 2: Numbers employed (Full Time Equivalent)]]),"")</f>
        <v>9.1999999999999993</v>
      </c>
      <c r="QK24" s="30">
        <f>IFERROR(IF(DATA[[#This Row],[Administrative Officer 2: Numbers employed (Full Time Equivalent)]]=0,"",DATA[[#This Row],[Administrative Officer 2: Previous 2020/21 Maximum hourly pay rate ADJUSTED 2]]*DATA[[#This Row],[Administrative Officer 2: Numbers employed (Full Time Equivalent)]]),"")</f>
        <v>9.1999999999999993</v>
      </c>
      <c r="QL24" s="30" t="str">
        <f>IFERROR(IF(DATA[[#This Row],[Administrative Officer 3: Numbers employed (Full Time Equivalent)]]=0,"",DATA[[#This Row],[Administrative Officer 3: Current 2021/22 Minimum hourly pay rate ADJUSTED 2]]*DATA[[#This Row],[Administrative Officer 3: Numbers employed (Full Time Equivalent)]]),"")</f>
        <v/>
      </c>
      <c r="QM24" s="30" t="str">
        <f>IFERROR(IF(DATA[[#This Row],[Administrative Officer 3: Numbers employed (Full Time Equivalent)]]=0,"",DATA[[#This Row],[Administrative Officer 3: Current 2021/22 Maximum hourly pay rate ADJUSTED 2]]*DATA[[#This Row],[Administrative Officer 3: Numbers employed (Full Time Equivalent)]]),"")</f>
        <v/>
      </c>
      <c r="QN24" s="30" t="str">
        <f>IFERROR(IF(DATA[[#This Row],[Administrative Officer 3: Numbers employed (Full Time Equivalent)]]=0,"",DATA[[#This Row],[Administrative Officer 3: Previous 2020/21 Minimum hourly pay rate ADJUSTED 2]]*DATA[[#This Row],[Administrative Officer 3: Numbers employed (Full Time Equivalent)]]),"")</f>
        <v/>
      </c>
      <c r="QO24" s="30" t="str">
        <f>IFERROR(IF(DATA[[#This Row],[Administrative Officer 3: Numbers employed (Full Time Equivalent)]]=0,"",DATA[[#This Row],[Administrative Officer 3: Previous 2020/21 Maximum hourly pay rate ADJUSTED 2]]*DATA[[#This Row],[Administrative Officer 3: Numbers employed (Full Time Equivalent)]]),"")</f>
        <v/>
      </c>
      <c r="QP24" s="28" t="str">
        <f>IFERROR(IF(DATA[[#This Row],[Other staff 1: Numbers employed (Full Time Equivalent)]]=0,"",DATA[[#This Row],[Other staff 1: Current 2021/22 Minimum hourly pay rate ADJUSTED 2]]*DATA[[#This Row],[Other staff 1: Numbers employed (Full Time Equivalent)]]),"")</f>
        <v/>
      </c>
      <c r="QQ24" s="28" t="str">
        <f>IFERROR(IF(DATA[[#This Row],[Other staff 1: Numbers employed (Full Time Equivalent)]]=0,"",DATA[[#This Row],[Other staff 1: Current 2021/22 Maximum hourly pay rate ADJUSTED 2]]*DATA[[#This Row],[Other staff 1: Numbers employed (Full Time Equivalent)]]),"")</f>
        <v/>
      </c>
      <c r="QR24" s="28" t="str">
        <f>IFERROR(IF(DATA[[#This Row],[Other staff 1: Numbers employed (Full Time Equivalent)]]=0,"",DATA[[#This Row],[Other staff 1: Previous 2020/21 Minimum hourly pay rate ADJUSTED 2]]*DATA[[#This Row],[Other staff 1: Numbers employed (Full Time Equivalent)]]),"")</f>
        <v/>
      </c>
      <c r="QS24" s="28" t="str">
        <f>IFERROR(IF(DATA[[#This Row],[Other staff 1: Numbers employed (Full Time Equivalent)]]=0,"",DATA[[#This Row],[Other staff 1: Previous 2020/21 Maximum hourly pay rate ADJUSTED 2]]*DATA[[#This Row],[Other staff 1: Numbers employed (Full Time Equivalent)]]),"")</f>
        <v/>
      </c>
      <c r="QT24" s="28" t="str">
        <f>IFERROR(IF(DATA[[#This Row],[Other staff 2: Numbers employed (Full Time Equivalent)]]=0,"",DATA[[#This Row],[Other staff 2: Current 2021/22 Minimum hourly pay rate ADJUSTED 2]]*DATA[[#This Row],[Other staff 2: Numbers employed (Full Time Equivalent)]]),"")</f>
        <v/>
      </c>
      <c r="QU24" s="28" t="str">
        <f>IFERROR(IF(DATA[[#This Row],[Other staff 2: Numbers employed (Full Time Equivalent)]]=0,"",DATA[[#This Row],[Other staff 2: Current 2021/22 Maximum hourly pay rate ADJUSTED 2]]*DATA[[#This Row],[Other staff 2: Numbers employed (Full Time Equivalent)]]),"")</f>
        <v/>
      </c>
      <c r="QV24" s="28" t="str">
        <f>IFERROR(IF(DATA[[#This Row],[Other staff 2: Numbers employed (Full Time Equivalent)]]=0,"",DATA[[#This Row],[Other staff 2: Previous 2020/21 Minimum hourly pay rate ADJUSTED 2]]*DATA[[#This Row],[Other staff 2: Numbers employed (Full Time Equivalent)]]),"")</f>
        <v/>
      </c>
      <c r="QW24" s="28" t="str">
        <f>IFERROR(IF(DATA[[#This Row],[Other staff 2: Numbers employed (Full Time Equivalent)]]=0,"",DATA[[#This Row],[Other staff 2: Previous 2020/21 Maximum hourly pay rate ADJUSTED 2]]*DATA[[#This Row],[Other staff 2: Numbers employed (Full Time Equivalent)]]),"")</f>
        <v/>
      </c>
      <c r="QX24" s="28" t="str">
        <f>IFERROR(IF(DATA[[#This Row],[Other staff 3: Numbers employed (Full Time Equivalent)]]=0,"",DATA[[#This Row],[Other staff 3: Current 2021/22 Minimum hourly pay rate ADJUSTED 2]]*DATA[[#This Row],[Other staff 3: Numbers employed (Full Time Equivalent)]]),"")</f>
        <v/>
      </c>
      <c r="QY24" s="28" t="str">
        <f>IFERROR(IF(DATA[[#This Row],[Other staff 3: Numbers employed (Full Time Equivalent)]]=0,"",DATA[[#This Row],[Other staff 3: Current 2021/22 Maximum hourly pay rate ADJUSTED 2]]*DATA[[#This Row],[Other staff 3: Numbers employed (Full Time Equivalent)]]),"")</f>
        <v/>
      </c>
      <c r="QZ24" s="28" t="str">
        <f>IFERROR(IF(DATA[[#This Row],[Other staff 3: Numbers employed (Full Time Equivalent)]]=0,"",DATA[[#This Row],[Other staff 3: Previous 2020/21 Minimum hourly pay rate ADJUSTED 2]]*DATA[[#This Row],[Other staff 3: Numbers employed (Full Time Equivalent)]]),"")</f>
        <v/>
      </c>
      <c r="RA24" s="28" t="str">
        <f>IFERROR(IF(DATA[[#This Row],[Other staff 3: Numbers employed (Full Time Equivalent)]]=0,"",DATA[[#This Row],[Other staff 3: Previous 2020/21 Maximum hourly pay rate ADJUSTED 2]]*DATA[[#This Row],[Other staff 3: Numbers employed (Full Time Equivalent)]]),"")</f>
        <v/>
      </c>
      <c r="RB24"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24"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24"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24"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24"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24"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36</v>
      </c>
      <c r="RH24"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6</v>
      </c>
      <c r="RI24"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24"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24"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2</v>
      </c>
      <c r="RL24"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24"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24"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24"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24"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5" spans="7:484" x14ac:dyDescent="0.25">
      <c r="G25" s="2">
        <v>19</v>
      </c>
      <c r="H25" s="2">
        <v>5</v>
      </c>
      <c r="I25" s="2">
        <v>0</v>
      </c>
      <c r="R25" s="2">
        <v>9.1999999999999993</v>
      </c>
      <c r="S25" s="2">
        <v>9.1999999999999993</v>
      </c>
      <c r="T25" s="2">
        <v>8.9</v>
      </c>
      <c r="U25" s="2">
        <v>8.9</v>
      </c>
      <c r="V25" s="2">
        <v>1</v>
      </c>
      <c r="W25" s="2">
        <v>9.1999999999999993</v>
      </c>
      <c r="X25" s="2">
        <v>9.1999999999999993</v>
      </c>
      <c r="Y25" s="2">
        <v>8.9</v>
      </c>
      <c r="Z25" s="2">
        <v>8.9</v>
      </c>
      <c r="AA25" s="2">
        <v>1</v>
      </c>
      <c r="AB25" s="2" t="s">
        <v>315</v>
      </c>
      <c r="AC25" s="2">
        <v>0</v>
      </c>
      <c r="AD25" s="2">
        <v>0</v>
      </c>
      <c r="AE25" s="2">
        <v>0</v>
      </c>
      <c r="AF25" s="2">
        <v>0</v>
      </c>
      <c r="AG25" s="2">
        <v>0</v>
      </c>
      <c r="AH25" s="2" t="s">
        <v>315</v>
      </c>
      <c r="AI25" s="2">
        <v>0</v>
      </c>
      <c r="AJ25" s="2">
        <v>0</v>
      </c>
      <c r="AK25" s="2">
        <v>0</v>
      </c>
      <c r="AL25" s="2">
        <v>0</v>
      </c>
      <c r="AM25" s="2">
        <v>0</v>
      </c>
      <c r="AN25" s="2" t="s">
        <v>315</v>
      </c>
      <c r="AO25" s="2">
        <v>0</v>
      </c>
      <c r="AP25" s="2">
        <v>0</v>
      </c>
      <c r="AQ25" s="2">
        <v>0</v>
      </c>
      <c r="AR25" s="2">
        <v>0</v>
      </c>
      <c r="AS25" s="2">
        <v>0</v>
      </c>
      <c r="AT25" s="2" t="s">
        <v>316</v>
      </c>
      <c r="AU25" s="2">
        <v>9.1999999999999993</v>
      </c>
      <c r="AV25" s="2">
        <v>9.1999999999999993</v>
      </c>
      <c r="AW25" s="2">
        <v>8.9</v>
      </c>
      <c r="AX25" s="2">
        <v>8.9</v>
      </c>
      <c r="AY25" s="2">
        <v>2</v>
      </c>
      <c r="AZ25" s="2" t="s">
        <v>316</v>
      </c>
      <c r="BA25" s="2">
        <v>0</v>
      </c>
      <c r="BB25" s="2">
        <v>0</v>
      </c>
      <c r="BC25" s="2">
        <v>0</v>
      </c>
      <c r="BD25" s="2">
        <v>0</v>
      </c>
      <c r="BE25" s="2">
        <v>0</v>
      </c>
      <c r="BF25" s="2" t="s">
        <v>316</v>
      </c>
      <c r="BG25" s="2">
        <v>0</v>
      </c>
      <c r="BH25" s="2">
        <v>0</v>
      </c>
      <c r="BI25" s="2">
        <v>0</v>
      </c>
      <c r="BJ25" s="2">
        <v>0</v>
      </c>
      <c r="BK25" s="2">
        <v>0</v>
      </c>
      <c r="BL25" s="2" t="s">
        <v>316</v>
      </c>
      <c r="BM25" s="2">
        <v>0</v>
      </c>
      <c r="BN25" s="2">
        <v>0</v>
      </c>
      <c r="BO25" s="2">
        <v>0</v>
      </c>
      <c r="BP25" s="2">
        <v>0</v>
      </c>
      <c r="BQ25" s="2">
        <v>0</v>
      </c>
      <c r="BR25" s="2" t="s">
        <v>317</v>
      </c>
      <c r="BS25" s="2">
        <v>0</v>
      </c>
      <c r="BT25" s="2">
        <v>0</v>
      </c>
      <c r="BU25" s="2">
        <v>0</v>
      </c>
      <c r="BV25" s="2">
        <v>0</v>
      </c>
      <c r="BW25" s="2">
        <v>0</v>
      </c>
      <c r="BX25" s="2" t="s">
        <v>317</v>
      </c>
      <c r="BY25" s="2">
        <v>0</v>
      </c>
      <c r="BZ25" s="2">
        <v>0</v>
      </c>
      <c r="CA25" s="2">
        <v>0</v>
      </c>
      <c r="CB25" s="2">
        <v>0</v>
      </c>
      <c r="CC25" s="2">
        <v>0</v>
      </c>
      <c r="CD25" s="2" t="s">
        <v>317</v>
      </c>
      <c r="CE25" s="2">
        <v>0</v>
      </c>
      <c r="CF25" s="2">
        <v>0</v>
      </c>
      <c r="CG25" s="2">
        <v>0</v>
      </c>
      <c r="CH25" s="2">
        <v>0</v>
      </c>
      <c r="CI25" s="2">
        <v>0</v>
      </c>
      <c r="CJ25" s="2" t="s">
        <v>318</v>
      </c>
      <c r="CK25" s="2">
        <v>0</v>
      </c>
      <c r="CL25" s="2">
        <v>0</v>
      </c>
      <c r="CM25" s="2">
        <v>0</v>
      </c>
      <c r="CN25" s="2">
        <v>0</v>
      </c>
      <c r="CO25" s="2">
        <v>0</v>
      </c>
      <c r="CP25" s="2" t="s">
        <v>318</v>
      </c>
      <c r="CQ25" s="2">
        <v>0</v>
      </c>
      <c r="CR25" s="2">
        <v>0</v>
      </c>
      <c r="CS25" s="2">
        <v>0</v>
      </c>
      <c r="CT25" s="2">
        <v>0</v>
      </c>
      <c r="CU25" s="2">
        <v>0</v>
      </c>
      <c r="CV25" s="2" t="s">
        <v>318</v>
      </c>
      <c r="CW25" s="2">
        <v>0</v>
      </c>
      <c r="CX25" s="2">
        <v>0</v>
      </c>
      <c r="CY25" s="2">
        <v>0</v>
      </c>
      <c r="CZ25" s="2">
        <v>0</v>
      </c>
      <c r="DA25" s="2">
        <v>0</v>
      </c>
      <c r="DB25" s="2">
        <v>0.3</v>
      </c>
      <c r="DC25" s="2">
        <v>77.75</v>
      </c>
      <c r="DD25" s="2">
        <v>0</v>
      </c>
      <c r="DE25" s="2">
        <v>18</v>
      </c>
      <c r="DF25" s="2">
        <v>0</v>
      </c>
      <c r="DG25" s="2">
        <v>0</v>
      </c>
      <c r="DH25" s="2">
        <v>0</v>
      </c>
      <c r="DI25" s="2">
        <v>0</v>
      </c>
      <c r="DJ25" s="2">
        <v>0</v>
      </c>
      <c r="DK25" s="2">
        <v>0</v>
      </c>
      <c r="DL25" s="2">
        <v>0</v>
      </c>
      <c r="DM25" s="2">
        <v>0</v>
      </c>
      <c r="DN25" s="2">
        <v>0</v>
      </c>
      <c r="DO25" s="2">
        <v>15.27</v>
      </c>
      <c r="DP25" s="2">
        <v>0</v>
      </c>
      <c r="DQ25" s="2">
        <v>12.167999999999999</v>
      </c>
      <c r="DR25" s="18">
        <v>43922</v>
      </c>
      <c r="DS25" s="18">
        <v>44286</v>
      </c>
      <c r="DT25" s="2">
        <v>5056</v>
      </c>
      <c r="DU25" s="2">
        <v>15456</v>
      </c>
      <c r="DV25" s="2">
        <v>45048.959999999999</v>
      </c>
      <c r="DW25" s="2"/>
      <c r="DX25" s="2">
        <v>0</v>
      </c>
      <c r="DY25" s="2">
        <v>0</v>
      </c>
      <c r="DZ25" s="2">
        <v>1466.24</v>
      </c>
      <c r="EA25" s="2">
        <v>0</v>
      </c>
      <c r="EB25" s="2">
        <v>2340</v>
      </c>
      <c r="EC25" s="2">
        <v>0</v>
      </c>
      <c r="ED25" s="2">
        <v>0</v>
      </c>
      <c r="EE25" s="2">
        <v>0</v>
      </c>
      <c r="EF25" s="2">
        <v>0</v>
      </c>
      <c r="EG25" s="2">
        <v>0</v>
      </c>
      <c r="EH25" s="2" t="s">
        <v>324</v>
      </c>
      <c r="EI25" s="2">
        <v>0</v>
      </c>
      <c r="EJ25" s="2" t="s">
        <v>324</v>
      </c>
      <c r="EK25" s="2">
        <v>0</v>
      </c>
      <c r="EL25" s="2">
        <v>1089.5</v>
      </c>
      <c r="EM25" s="2">
        <v>3432</v>
      </c>
      <c r="EN25" s="2">
        <v>456.89</v>
      </c>
      <c r="EO25" s="2">
        <v>3109.92</v>
      </c>
      <c r="EP25" s="2">
        <v>565.99</v>
      </c>
      <c r="EQ25" s="2">
        <v>0</v>
      </c>
      <c r="ER25" s="2">
        <v>0</v>
      </c>
      <c r="ES25" s="2">
        <v>0</v>
      </c>
      <c r="ET25" s="2" t="s">
        <v>418</v>
      </c>
      <c r="EU25" s="2">
        <v>846.84</v>
      </c>
      <c r="EV25" s="2" t="s">
        <v>419</v>
      </c>
      <c r="EW25" s="2">
        <v>346.19</v>
      </c>
      <c r="EX25" s="2">
        <v>0</v>
      </c>
      <c r="EY25" s="2">
        <v>690</v>
      </c>
      <c r="EZ25" s="2" t="s">
        <v>326</v>
      </c>
      <c r="FA25" s="2">
        <v>0</v>
      </c>
      <c r="FB25" s="2" t="s">
        <v>326</v>
      </c>
      <c r="FC25" s="2">
        <v>0</v>
      </c>
      <c r="FD25" s="2"/>
      <c r="FE25" s="2">
        <v>0</v>
      </c>
      <c r="FF25" s="2">
        <v>0</v>
      </c>
      <c r="FG25" s="2"/>
      <c r="FH25" s="19">
        <v>44480.623819444445</v>
      </c>
      <c r="FI25" s="2" t="s">
        <v>345</v>
      </c>
      <c r="FJ25" s="2">
        <f>SUM(DATA[[#This Row],[Number of Home support clients:]],DATA[[#This Row],[Number of supported living clients:]])</f>
        <v>5</v>
      </c>
      <c r="FK25"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25"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9.1999999999999993</v>
      </c>
      <c r="FM25"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9.1999999999999993</v>
      </c>
      <c r="FN25"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8.9</v>
      </c>
      <c r="FO25"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8.9</v>
      </c>
      <c r="FP25"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9.1999999999999993</v>
      </c>
      <c r="FQ25"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9.1999999999999993</v>
      </c>
      <c r="FR25"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8.9</v>
      </c>
      <c r="FS25"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8.9</v>
      </c>
      <c r="FT25"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25"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25"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25"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25"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25"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25"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25"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25"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25"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25"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25"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25"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9.1999999999999993</v>
      </c>
      <c r="GG25"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9.1999999999999993</v>
      </c>
      <c r="GH25"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8.9</v>
      </c>
      <c r="GI25"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8.9</v>
      </c>
      <c r="GJ25"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25"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25"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25"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25"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25"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25"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25"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25"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25"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25"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25"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25"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25"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25"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25"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25"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25"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25"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25"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25"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25"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25"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25"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25"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25"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25"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25"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25"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25"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25"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25"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25"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5"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5"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5"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5"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9.1999999999999993</v>
      </c>
      <c r="HU25"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9.1999999999999993</v>
      </c>
      <c r="HV25"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8.9</v>
      </c>
      <c r="HW25"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8.9</v>
      </c>
      <c r="HX25"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9.1999999999999993</v>
      </c>
      <c r="HY25"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9.1999999999999993</v>
      </c>
      <c r="HZ25"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8.9</v>
      </c>
      <c r="IA25"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8.9</v>
      </c>
      <c r="IB25"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25"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25"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25"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25"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25"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25"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25"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25"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25"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25"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25"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25"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9.1999999999999993</v>
      </c>
      <c r="IO25"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9.1999999999999993</v>
      </c>
      <c r="IP25"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v>
      </c>
      <c r="IQ25"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8.9</v>
      </c>
      <c r="IR25"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25"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25"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25"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25"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25"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25"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25"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25"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25"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25"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25"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25"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25"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25"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25"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25"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25"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25"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25"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25"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25"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25"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25"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25"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25"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25"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25"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25"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25"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25"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25"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25"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5"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5"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5"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5"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25" s="21">
        <f>SUM(DATA[[#This Row],[Care Assistant 1: Numbers employed (Full Time Equivalent)]],DATA[[#This Row],[Care Assistant 2: Numbers employed (Full Time Equivalent)]],DATA[[#This Row],[Care Assistant 3: Numbers employed (Full Time Equivalent)]],DATA[[#This Row],[Care Assistant 4: Numbers employed (Full Time Equivalent)]])</f>
        <v>2</v>
      </c>
      <c r="KD25" s="21">
        <f>SUM(DATA[[#This Row],[Administrative Officer 1: Numbers employed (Full Time Equivalent)]],DATA[[#This Row],[Administrative Officer 2: Numbers employed (Full Time Equivalent)]])</f>
        <v>0</v>
      </c>
      <c r="KE25" s="21">
        <f>SUM(DATA[[#This Row],[Other staff 1: Numbers employed (Full Time Equivalent)]],DATA[[#This Row],[Other staff 2: Numbers employed (Full Time Equivalent)]],DATA[[#This Row],[Other staff 3: Numbers employed (Full Time Equivalent)]])</f>
        <v>0</v>
      </c>
      <c r="KF25" s="21">
        <f>SUM(DATA[[#This Row],[Total FTE Management Employees]:[Total FTE Other Employees]])</f>
        <v>4</v>
      </c>
      <c r="KG25" s="21" t="str">
        <f>IF(SUM(DATA[[#This Row],[Home Support service split percentage (Expenditure):]],DATA[[#This Row],[Supported Living service split percentage (Expenditure):]])&gt;0, IF(DATA[[#This Row],[Home Support service split percentage (Expenditure):]]&gt;0.5,"Home Support","Supported Living"), "Unknown")</f>
        <v>Unknown</v>
      </c>
      <c r="KH25" s="21">
        <f>SUM(DATA[[#This Row],[Home Support: Birmingham City Council]:[Home Support: Self-funded]])</f>
        <v>95.75</v>
      </c>
      <c r="KI25" s="21">
        <f>SUM(DATA[[#This Row],[Supported Living: Birmingham City Council]:[Supported Living: Self-funded]])</f>
        <v>0</v>
      </c>
      <c r="KJ25"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25"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25"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25"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25" s="21" t="b">
        <f>SUM(DATA[[#This Row],[Number of hours of care charged for in last full accounting year]:[Corporate Overheads: Other  - please specify (category) 1]])&gt;0</f>
        <v>1</v>
      </c>
      <c r="KO25" s="21">
        <f>SUM(DATA[[#This Row],[Total annual expenditure: Management staff]:[Total annual expenditure: Training and development]])</f>
        <v>64311.199999999997</v>
      </c>
      <c r="KP25" s="21">
        <f>SUM(DATA[[#This Row],[Recruitment &amp; advertising (including DBS checks)]:[Non-Staffing Direct Cost: Other  - please specify (amount) 2]])</f>
        <v>0</v>
      </c>
      <c r="KQ25" s="21">
        <f>SUM(DATA[[#This Row],[Insurance ]:[Indirect costs: Other 2 - please specify (amount)]])</f>
        <v>9847.3300000000017</v>
      </c>
      <c r="KR25" s="21">
        <f>SUM(DATA[[#This Row],[Central / Regional Management]],DATA[[#This Row],[Support Services (finance / HR / Payroll / legal etc.)]],DATA[[#This Row],[Corporate Overheads: Other  - please specify (amount) 1]],DATA[[#This Row],[Corporate Overheads: Other  - please specify (amount) 2]])</f>
        <v>690</v>
      </c>
      <c r="KS25"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3.0569620253164556</v>
      </c>
      <c r="KT25"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8.91</v>
      </c>
      <c r="KU25"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25"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25"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25" s="30">
        <f>IF(OR(NOT(DATA[[#This Row],[Total annual expenditure: Travel Cost]]&gt;0),NOT(DATA[[#This Row],[Number of hours of care charged for in last full accounting year]]&gt;0)),0,DATA[[#This Row],[Total annual expenditure: Travel Cost]]/DATA[[#This Row],[Number of hours of care charged for in last full accounting year]])</f>
        <v>0.28999999999999998</v>
      </c>
      <c r="KY25"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25"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0.46281645569620256</v>
      </c>
      <c r="LA25"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25"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25" s="30">
        <f>IF(OR(NOT(DATA[[#This Row],[Care consumables &amp; uniforms]]&gt;0),NOT(DATA[[#This Row],[Number of hours of care charged for in last full accounting year]]&gt;0)),0,DATA[[#This Row],[Care consumables &amp; uniforms]]/DATA[[#This Row],[Number of hours of care charged for in last full accounting year]])</f>
        <v>0</v>
      </c>
      <c r="LD25" s="30">
        <f>IF(OR(NOT(DATA[[#This Row],[Electronic call monitoring]]&gt;0),NOT(DATA[[#This Row],[Number of hours of care charged for in last full accounting year]]&gt;0)),0,DATA[[#This Row],[Electronic call monitoring]]/DATA[[#This Row],[Number of hours of care charged for in last full accounting year]])</f>
        <v>0</v>
      </c>
      <c r="LE25" s="30">
        <f>IF(OR(NOT(DATA[[#This Row],[IT Equipment &amp; Telephoney]]&gt;0),NOT(DATA[[#This Row],[Number of hours of care charged for in last full accounting year]]&gt;0)),0,DATA[[#This Row],[IT Equipment &amp; Telephoney]]/DATA[[#This Row],[Number of hours of care charged for in last full accounting year]])</f>
        <v>0</v>
      </c>
      <c r="LF25"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25"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25" s="30">
        <f>IF(OR(NOT(DATA[[#This Row],[Insurance ]]&gt;0),NOT(DATA[[#This Row],[Number of hours of care charged for in last full accounting year]]&gt;0)),0,DATA[[#This Row],[Insurance ]]/DATA[[#This Row],[Number of hours of care charged for in last full accounting year]])</f>
        <v>0.21548655063291139</v>
      </c>
      <c r="LI25"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0.67879746835443033</v>
      </c>
      <c r="LJ25" s="30">
        <f>IF(OR(NOT(DATA[[#This Row],[Repairs and maintenance]]&gt;0),NOT(DATA[[#This Row],[Number of hours of care charged for in last full accounting year]]&gt;0)),0,DATA[[#This Row],[Repairs and maintenance]]/DATA[[#This Row],[Number of hours of care charged for in last full accounting year]])</f>
        <v>9.0365901898734169E-2</v>
      </c>
      <c r="LK25"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0.61509493670886073</v>
      </c>
      <c r="LL25" s="30">
        <f>IF(OR(NOT(DATA[[#This Row],[Registration &amp; Inspection fees ]]&gt;0),NOT(DATA[[#This Row],[Number of hours of care charged for in last full accounting year]]&gt;0)),0,DATA[[#This Row],[Registration &amp; Inspection fees ]]/DATA[[#This Row],[Number of hours of care charged for in last full accounting year]])</f>
        <v>0.1119442246835443</v>
      </c>
      <c r="LM25" s="30">
        <f>IF(OR(NOT(DATA[[#This Row],[Subscriptions]]&gt;0),NOT(DATA[[#This Row],[Number of hours of care charged for in last full accounting year]]&gt;0)),0,DATA[[#This Row],[Subscriptions]]/DATA[[#This Row],[Number of hours of care charged for in last full accounting year]])</f>
        <v>0</v>
      </c>
      <c r="LN25" s="30">
        <f>IF(OR(NOT(DATA[[#This Row],[Cost of finance]]&gt;0),NOT(DATA[[#This Row],[Number of hours of care charged for in last full accounting year]]&gt;0)),0,DATA[[#This Row],[Cost of finance]]/DATA[[#This Row],[Number of hours of care charged for in last full accounting year]])</f>
        <v>0</v>
      </c>
      <c r="LO25" s="30">
        <f>IF(OR(NOT(DATA[[#This Row],[Other non-staff current expenses]]&gt;0),NOT(DATA[[#This Row],[Number of hours of care charged for in last full accounting year]]&gt;0)),0,DATA[[#This Row],[Other non-staff current expenses]]/DATA[[#This Row],[Number of hours of care charged for in last full accounting year]])</f>
        <v>0</v>
      </c>
      <c r="LP25"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0.16749208860759493</v>
      </c>
      <c r="LQ25"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6.8471123417721519E-2</v>
      </c>
      <c r="LR25" s="30">
        <f>IF(OR(NOT(DATA[[#This Row],[Central / Regional Management]]&gt;0),NOT(DATA[[#This Row],[Number of hours of care charged for in last full accounting year]]&gt;0)),0,DATA[[#This Row],[Central / Regional Management]]/DATA[[#This Row],[Number of hours of care charged for in last full accounting year]])</f>
        <v>0</v>
      </c>
      <c r="LS25"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0.13647151898734178</v>
      </c>
      <c r="LT25"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5"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5" s="30">
        <f>SUM(DATA[[#This Row],[Management staff HOURLY RATE]:[Corporate Overheads: Other  - please specify (amount) 2 HOURLY RATE]])</f>
        <v>14.803902294303796</v>
      </c>
      <c r="LW25" s="30" t="str">
        <f>IF(OR(NOT(DATA[[#This Row],[Net Operating Profit]]&gt;0),NOT(DATA[[#This Row],[Number of hours of care charged for in last full accounting year]]&gt;0)),"",DATA[[#This Row],[Net Operating Profit]]/DATA[[#This Row],[Number of hours of care charged for in last full accounting year]])</f>
        <v/>
      </c>
      <c r="LX25" s="30">
        <f>IF(OR(NOT(DATA[[#This Row],[Return on Capital employed]]&gt;0),NOT(DATA[[#This Row],[Number of hours of care charged for in last full accounting year]]&gt;0)),0,DATA[[#This Row],[Return on Capital employed]]/DATA[[#This Row],[Number of hours of care charged for in last full accounting year]])</f>
        <v>0</v>
      </c>
      <c r="LY25" s="31">
        <v>19</v>
      </c>
      <c r="LZ25" s="30" t="s">
        <v>345</v>
      </c>
      <c r="MA25" s="30" t="b">
        <f>DATA[[#This Row],[Number of Home support clients:]]&gt;0</f>
        <v>1</v>
      </c>
      <c r="MB25" s="30" t="b">
        <f>DATA[[#This Row],[Number of supported living clients:]]&gt;0</f>
        <v>0</v>
      </c>
      <c r="MC25" s="30" t="b">
        <f>DATA[[#This Row],[Total Home Support Hours]]&gt;0</f>
        <v>1</v>
      </c>
      <c r="MD25" s="30" t="b">
        <f>DATA[[#This Row],[Total Supported Living Hours]]&gt;0</f>
        <v>0</v>
      </c>
      <c r="ME25" s="30" t="b">
        <f>DATA[[#This Row],[Home Support service split percentage (Expenditure):]]&gt;0.5</f>
        <v>0</v>
      </c>
      <c r="MF25" s="30" t="b">
        <f>DATA[[#This Row],[Agency staff HOURLY RATE]]=0</f>
        <v>1</v>
      </c>
      <c r="MG25" s="30">
        <f>IFERROR(IF(AVERAGE(DATA[[#This Row],[Registered manager: Current 2021/22 Minimum hourly pay rate ADJUSTED]],DATA[[#This Row],[Registered manager: Current 2021/22 Maximum hourly pay rate ADJUSTED]])&lt;LIVING_WAGE_22_23,DATA[[#This Row],[Registered manager: Numbers employed (Full Time Equivalent)]],0),"")</f>
        <v>1</v>
      </c>
      <c r="MH25" s="30">
        <f>IFERROR(IF(AVERAGE(DATA[[#This Row],[Deputy manager: Current 2021/22 Minimum hourly pay rate ADJUSTED]],DATA[[#This Row],[Deputy manager: Current 2021/22 Maximum hourly pay rate ADJUSTED]])&lt;LIVING_WAGE_22_23,DATA[[#This Row],[Deputy manager: Numbers employed (Full Time Equivalent)]],0),"")</f>
        <v>1</v>
      </c>
      <c r="MI25" s="30" t="str">
        <f>IFERROR(IF(AVERAGE(DATA[[#This Row],[Other manager 1: Current 2021/22 Minimum hourly pay rate ADJUSTED]],DATA[[#This Row],[Other manager 1: Current 2021/22 Maximum hourly pay rate ADJUSTED]])&lt;LIVING_WAGE_22_23,DATA[[#This Row],[Other manager 1: Numbers employed (Full Time Equivalent)]],0),"")</f>
        <v/>
      </c>
      <c r="MJ25" s="30" t="str">
        <f>IFERROR(IF(AVERAGE(DATA[[#This Row],[Other manager 2: Current 2021/22 Minimum hourly pay rate ADJUSTED]],DATA[[#This Row],[Other manager 2: Current 2021/22 Maximum hourly pay rate ADJUSTED]])&lt;LIVING_WAGE_22_23,DATA[[#This Row],[Other manager 2: Numbers employed (Full Time Equivalent)]],0),"")</f>
        <v/>
      </c>
      <c r="MK25" s="30" t="str">
        <f>IFERROR(IF(AVERAGE(DATA[[#This Row],[Other manager 3: Current 2021/22 Minimum hourly pay rate ADJUSTED]],DATA[[#This Row],[Other manager 3: Current 2021/22 Maximum hourly pay rate ADJUSTED]])&lt;LIVING_WAGE_22_23,DATA[[#This Row],[Other manager 3: Numbers employed (Full Time Equivalent)]],0),"")</f>
        <v/>
      </c>
      <c r="ML25" s="30">
        <f>IFERROR(IF(AVERAGE(DATA[[#This Row],[Care Assistant 1: Current 2021/22 Minimum hourly pay rate ADJUSTED]],DATA[[#This Row],[Care Assistant 1: Current 2021/22 Maximum hourly pay rate ADJUSTED]])&lt;LIVING_WAGE_22_23,DATA[[#This Row],[Care Assistant 1: Numbers employed (Full Time Equivalent)]],0),"")</f>
        <v>2</v>
      </c>
      <c r="MM25" s="30" t="str">
        <f>IFERROR(IF(AVERAGE(DATA[[#This Row],[Care Assistant 2: Current 2021/22 Minimum hourly pay rate ADJUSTED]],DATA[[#This Row],[Care Assistant 2: Current 2021/22 Maximum hourly pay rate ADJUSTED]])&lt;LIVING_WAGE_22_23,DATA[[#This Row],[Care Assistant 2: Numbers employed (Full Time Equivalent)]],0),"")</f>
        <v/>
      </c>
      <c r="MN25" s="30" t="str">
        <f>IFERROR(IF(AVERAGE(DATA[[#This Row],[Care Assistant 3: Current 2021/22 Minimum hourly pay rate ADJUSTED]],DATA[[#This Row],[Care Assistant 3: Current 2021/22 Maximum hourly pay rate ADJUSTED]])&lt;LIVING_WAGE_22_23,DATA[[#This Row],[Care Assistant 3: Numbers employed (Full Time Equivalent)]],0),"")</f>
        <v/>
      </c>
      <c r="MO25" s="30" t="str">
        <f>IFERROR(IF(AVERAGE(DATA[[#This Row],[Care Assistant 4: Current 2021/22 Minimum hourly pay rate ADJUSTED]],DATA[[#This Row],[Care Assistant 4: Current 2021/22 Maximum hourly pay rate ADJUSTED]])&lt;LIVING_WAGE_22_23,DATA[[#This Row],[Care Assistant 4: Numbers employed (Full Time Equivalent)]],0),"")</f>
        <v/>
      </c>
      <c r="MP25"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25"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25" s="30" t="str">
        <f>IFERROR(IF(AVERAGE(DATA[[#This Row],[Other staff 1: Current 2021/22 Minimum hourly pay rate ADJUSTED]],DATA[[#This Row],[Other staff 1: Current 2021/22 Maximum hourly pay rate ADJUSTED]])&lt;LIVING_WAGE_22_23,DATA[[#This Row],[Other staff 1: Numbers employed (Full Time Equivalent)]],0),"")</f>
        <v/>
      </c>
      <c r="MS25" s="30" t="str">
        <f>IFERROR(IF(AVERAGE(DATA[[#This Row],[Other staff 2: Current 2021/22 Minimum hourly pay rate ADJUSTED]],DATA[[#This Row],[Other staff 2: Current 2021/22 Maximum hourly pay rate ADJUSTED]])&lt;LIVING_WAGE_22_23,DATA[[#This Row],[Other staff 2: Numbers employed (Full Time Equivalent)]],0),"")</f>
        <v/>
      </c>
      <c r="MT25" s="30" t="str">
        <f>IFERROR(IF(AVERAGE(DATA[[#This Row],[Other staff 3: Current 2021/22 Minimum hourly pay rate ADJUSTED]],DATA[[#This Row],[Other staff 3: Current 2021/22 Maximum hourly pay rate ADJUSTED]])&lt;LIVING_WAGE_22_23,DATA[[#This Row],[Other staff 3: Numbers employed (Full Time Equivalent)]],0),"")</f>
        <v/>
      </c>
      <c r="MU25" s="30">
        <f>SUM(DATA[[#This Row],[Registered Manager FTE earning less than NLW 23yrs 2022/23]:[Other staff 3 FTE earning less than NLW 23yrs 2022/23]])</f>
        <v>4</v>
      </c>
      <c r="MV25"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0.30000000000000071</v>
      </c>
      <c r="MW25"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0.30000000000000071</v>
      </c>
      <c r="MX25"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25"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25"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25"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0.60000000000000142</v>
      </c>
      <c r="NB25"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25"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25"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25"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25"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25"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25"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25"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5" s="30" t="b">
        <v>1</v>
      </c>
      <c r="NK25" s="30" t="b">
        <v>1</v>
      </c>
      <c r="NL25" s="30" t="s">
        <v>505</v>
      </c>
      <c r="NM25" s="30">
        <f>SUM(DATA[[#This Row],[Management staff HOURLY RATE]:[Training and development HOURLY RATE]])</f>
        <v>12.719778481012657</v>
      </c>
      <c r="NN25" s="30">
        <f>SUM(DATA[[#This Row],[Recruitment &amp; advertising (including DBS checks) HOURLY RATE]:[Non-Staffing Direct Cost: Other  - please specify (amount) 2 HOURLY RATE]])</f>
        <v>0</v>
      </c>
      <c r="NO25" s="30">
        <f>SUM(DATA[[#This Row],[Insurance  HOURLY RATE]:[Indirect costs: Other  - please specify (amount) 2 HOURLY RATE]])</f>
        <v>1.9476522943037975</v>
      </c>
      <c r="NP25" s="30">
        <f>SUM(DATA[[#This Row],[Central / Regional Management HOURLY RATE]:[Corporate Overheads: Other  - please specify (amount) 2 HOURLY RATE]])</f>
        <v>0.13647151898734178</v>
      </c>
      <c r="NQ25" s="30">
        <f>IFERROR(IF(AVERAGE(DATA[[#This Row],[Registered manager: Current 2021/22 Minimum hourly pay rate ADJUSTED]],DATA[[#This Row],[Registered manager: Current 2021/22 Maximum hourly pay rate ADJUSTED]])&lt;REAL_LIVING_WAGE_22_23,DATA[[#This Row],[Registered manager: Numbers employed (Full Time Equivalent)]],0),"")</f>
        <v>1</v>
      </c>
      <c r="NR25" s="30">
        <f>IFERROR(IF(AVERAGE(DATA[[#This Row],[Deputy manager: Current 2021/22 Minimum hourly pay rate ADJUSTED]],DATA[[#This Row],[Deputy manager: Current 2021/22 Maximum hourly pay rate ADJUSTED]])&lt;REAL_LIVING_WAGE_22_23,DATA[[#This Row],[Deputy manager: Numbers employed (Full Time Equivalent)]],0),"")</f>
        <v>1</v>
      </c>
      <c r="NS25" s="30" t="str">
        <f>IFERROR(IF(AVERAGE(DATA[[#This Row],[Other manager 1: Current 2021/22 Minimum hourly pay rate ADJUSTED]],DATA[[#This Row],[Other manager 1: Current 2021/22 Maximum hourly pay rate ADJUSTED]])&lt;REAL_LIVING_WAGE_22_23,DATA[[#This Row],[Other manager 1: Numbers employed (Full Time Equivalent)]],0),"")</f>
        <v/>
      </c>
      <c r="NT25" s="30" t="str">
        <f>IFERROR(IF(AVERAGE(DATA[[#This Row],[Other manager 2: Current 2021/22 Minimum hourly pay rate ADJUSTED]],DATA[[#This Row],[Other manager 2: Current 2021/22 Maximum hourly pay rate ADJUSTED]])&lt;REAL_LIVING_WAGE_22_23,DATA[[#This Row],[Other manager 2: Numbers employed (Full Time Equivalent)]],0),"")</f>
        <v/>
      </c>
      <c r="NU25" s="30" t="str">
        <f>IFERROR(IF(AVERAGE(DATA[[#This Row],[Other manager 3: Current 2021/22 Minimum hourly pay rate ADJUSTED]],DATA[[#This Row],[Other manager 3: Current 2021/22 Maximum hourly pay rate ADJUSTED]])&lt;REAL_LIVING_WAGE_22_23,DATA[[#This Row],[Other manager 3: Numbers employed (Full Time Equivalent)]],0),"")</f>
        <v/>
      </c>
      <c r="NV25" s="30">
        <f>IFERROR(IF(AVERAGE(DATA[[#This Row],[Care Assistant 1: Current 2021/22 Minimum hourly pay rate ADJUSTED]],DATA[[#This Row],[Care Assistant 1: Current 2021/22 Maximum hourly pay rate ADJUSTED]])&lt;REAL_LIVING_WAGE_22_23,DATA[[#This Row],[Care Assistant 1: Numbers employed (Full Time Equivalent)]],0),"")</f>
        <v>2</v>
      </c>
      <c r="NW25"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25"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25"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25"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25"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25" s="30" t="str">
        <f>IFERROR(IF(AVERAGE(DATA[[#This Row],[Other staff 1: Current 2021/22 Minimum hourly pay rate ADJUSTED]],DATA[[#This Row],[Other staff 1: Current 2021/22 Maximum hourly pay rate ADJUSTED]])&lt;REAL_LIVING_WAGE_22_23,DATA[[#This Row],[Other staff 1: Numbers employed (Full Time Equivalent)]],0),"")</f>
        <v/>
      </c>
      <c r="OC25" s="30" t="str">
        <f>IFERROR(IF(AVERAGE(DATA[[#This Row],[Other staff 2: Current 2021/22 Minimum hourly pay rate ADJUSTED]],DATA[[#This Row],[Other staff 2: Current 2021/22 Maximum hourly pay rate ADJUSTED]])&lt;REAL_LIVING_WAGE_22_23,DATA[[#This Row],[Other staff 2: Numbers employed (Full Time Equivalent)]],0),"")</f>
        <v/>
      </c>
      <c r="OD25" s="30" t="str">
        <f>IFERROR(IF(AVERAGE(DATA[[#This Row],[Other staff 3: Current 2021/22 Minimum hourly pay rate ADJUSTED]],DATA[[#This Row],[Other staff 3: Current 2021/22 Maximum hourly pay rate ADJUSTED]])&lt;REAL_LIVING_WAGE_22_23,DATA[[#This Row],[Other staff 3: Numbers employed (Full Time Equivalent)]],0),"")</f>
        <v/>
      </c>
      <c r="OE25" s="30">
        <f>SUM(DATA[[#This Row],[Registered Manager FTE earning less than RLW 23yrs 2022/23]:[Other staff 3 FTE earning less than RLW 23yrs 2022/23]])</f>
        <v>4</v>
      </c>
      <c r="OF25"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0.70000000000000107</v>
      </c>
      <c r="OG25"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0.70000000000000107</v>
      </c>
      <c r="OH25"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25"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25"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25"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1.4000000000000021</v>
      </c>
      <c r="OL25"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25"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25"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25"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25"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25"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25"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25"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5" s="30">
        <f>IFERROR(IF(DATA[[#This Row],[Registered manager: Numbers employed (Full Time Equivalent)]]=0,"",DATA[[#This Row],[Registered manager: Current 2021/22 Minimum hourly pay rate ADJUSTED 2]]*DATA[[#This Row],[Registered manager: Numbers employed (Full Time Equivalent)]]),"")</f>
        <v>9.1999999999999993</v>
      </c>
      <c r="OU25" s="30">
        <f>IFERROR(IF(DATA[[#This Row],[Registered manager: Numbers employed (Full Time Equivalent)]]=0,"",DATA[[#This Row],[Registered manager: Current 2021/22 Maximum hourly pay rate ADJUSTED 2]]*DATA[[#This Row],[Registered manager: Numbers employed (Full Time Equivalent)]]),"")</f>
        <v>9.1999999999999993</v>
      </c>
      <c r="OV25" s="30">
        <f>IFERROR(IF(DATA[[#This Row],[Registered manager: Numbers employed (Full Time Equivalent)]]=0,"",DATA[[#This Row],[Registered manager: Previous 2020/21 Minimum hourly pay rate ADJUSTED 2]]*DATA[[#This Row],[Registered manager: Numbers employed (Full Time Equivalent)]]),"")</f>
        <v>8.9</v>
      </c>
      <c r="OW25" s="30">
        <f>IFERROR(IF(DATA[[#This Row],[Registered manager: Numbers employed (Full Time Equivalent)]]=0,"",DATA[[#This Row],[Registered manager: Previous 2020/21 Maximum hourly pay rate ADJUSTED 2]]*DATA[[#This Row],[Registered manager: Numbers employed (Full Time Equivalent)]]),"")</f>
        <v>8.9</v>
      </c>
      <c r="OX25" s="30">
        <f>IFERROR(IF(DATA[[#This Row],[Deputy manager: Numbers employed (Full Time Equivalent)]]=0,"",DATA[[#This Row],[Deputy manager: Current 2021/22 Minimum hourly pay rate ADJUSTED 2]]*DATA[[#This Row],[Deputy manager: Numbers employed (Full Time Equivalent)]]),"")</f>
        <v>9.1999999999999993</v>
      </c>
      <c r="OY25" s="30">
        <f>IFERROR(IF(DATA[[#This Row],[Deputy manager: Numbers employed (Full Time Equivalent)]]=0,"",DATA[[#This Row],[Deputy manager: Current 2021/22 Maximum hourly pay rate ADJUSTED 2]]*DATA[[#This Row],[Deputy manager: Numbers employed (Full Time Equivalent)]]),"")</f>
        <v>9.1999999999999993</v>
      </c>
      <c r="OZ25" s="30">
        <f>IFERROR(IF(DATA[[#This Row],[Deputy manager: Numbers employed (Full Time Equivalent)]]=0,"",DATA[[#This Row],[Deputy manager: Previous 2020/21 Minimum hourly pay rate ADJUSTED 2]]*DATA[[#This Row],[Deputy manager: Numbers employed (Full Time Equivalent)]]),"")</f>
        <v>8.9</v>
      </c>
      <c r="PA25" s="30">
        <f>IFERROR(IF(DATA[[#This Row],[Deputy manager: Numbers employed (Full Time Equivalent)]]=0,"",DATA[[#This Row],[Deputy manager: Previous 2020/21 Maximum hourly pay rate ADJUSTED 2]]*DATA[[#This Row],[Deputy manager: Numbers employed (Full Time Equivalent)]]),"")</f>
        <v>8.9</v>
      </c>
      <c r="PB25" s="30" t="str">
        <f>IFERROR(IF(DATA[[#This Row],[Other manager 1: Numbers employed (Full Time Equivalent)]]=0,"",DATA[[#This Row],[Other manager 1: Current 2021/22 Minimum hourly pay rate ADJUSTED 2]]*DATA[[#This Row],[Other manager 1: Numbers employed (Full Time Equivalent)]]),"")</f>
        <v/>
      </c>
      <c r="PC25" s="30" t="str">
        <f>IFERROR(IF(DATA[[#This Row],[Other manager 1: Numbers employed (Full Time Equivalent)]]=0,"",DATA[[#This Row],[Other manager 1: Current 2021/22 Maximum hourly pay rate ADJUSTED 2]]*DATA[[#This Row],[Other manager 1: Numbers employed (Full Time Equivalent)]]),"")</f>
        <v/>
      </c>
      <c r="PD25" s="30" t="str">
        <f>IFERROR(IF(DATA[[#This Row],[Other manager 1: Numbers employed (Full Time Equivalent)]]=0,"",DATA[[#This Row],[Other manager 1: Previous 2020/21 Minimum hourly pay rate ADJUSTED 2]]*DATA[[#This Row],[Other manager 1: Numbers employed (Full Time Equivalent)]]),"")</f>
        <v/>
      </c>
      <c r="PE25" s="30" t="str">
        <f>IFERROR(IF(DATA[[#This Row],[Other manager 1: Numbers employed (Full Time Equivalent)]]=0,"",DATA[[#This Row],[Other manager 1: Previous 2020/21 Maximum hourly pay rate ADJUSTED 2]]*DATA[[#This Row],[Other manager 1: Numbers employed (Full Time Equivalent)]]),"")</f>
        <v/>
      </c>
      <c r="PF25" s="30" t="str">
        <f>IFERROR(IF(DATA[[#This Row],[Other manager 2: Numbers employed (Full Time Equivalent)]]=0,"",DATA[[#This Row],[Other manager 2: Current 2021/22 Minimum hourly pay rate ADJUSTED 2]]*DATA[[#This Row],[Other manager 2: Numbers employed (Full Time Equivalent)]]),"")</f>
        <v/>
      </c>
      <c r="PG25" s="30" t="str">
        <f>IFERROR(IF(DATA[[#This Row],[Other manager 2: Numbers employed (Full Time Equivalent)]]=0,"",DATA[[#This Row],[Other manager 2: Current 2021/22 Maximum hourly pay rate ADJUSTED 2]]*DATA[[#This Row],[Other manager 2: Numbers employed (Full Time Equivalent)]]),"")</f>
        <v/>
      </c>
      <c r="PH25" s="30" t="str">
        <f>IFERROR(IF(DATA[[#This Row],[Other manager 2: Numbers employed (Full Time Equivalent)]]=0,"",DATA[[#This Row],[Other manager 2: Previous 2020/21 Minimum hourly pay rate ADJUSTED 2]]*DATA[[#This Row],[Other manager 2: Numbers employed (Full Time Equivalent)]]),"")</f>
        <v/>
      </c>
      <c r="PI25" s="30" t="str">
        <f>IFERROR(IF(DATA[[#This Row],[Other manager 2: Numbers employed (Full Time Equivalent)]]=0,"",DATA[[#This Row],[Other manager 2: Previous 2020/21 Maximum hourly pay rate ADJUSTED 2]]*DATA[[#This Row],[Other manager 2: Numbers employed (Full Time Equivalent)]]),"")</f>
        <v/>
      </c>
      <c r="PJ25" s="30" t="str">
        <f>IFERROR(IF(DATA[[#This Row],[Other manager 3: Numbers employed (Full Time Equivalent)]]=0,"",DATA[[#This Row],[Other manager 3: Current 2021/22 Minimum hourly pay rate ADJUSTED 2]]*DATA[[#This Row],[Other manager 3: Numbers employed (Full Time Equivalent)]]),"")</f>
        <v/>
      </c>
      <c r="PK25" s="30" t="str">
        <f>IFERROR(IF(DATA[[#This Row],[Other manager 3: Numbers employed (Full Time Equivalent)]]=0,"",DATA[[#This Row],[Other manager 3: Current 2021/22 Maximum hourly pay rate ADJUSTED 2]]*DATA[[#This Row],[Other manager 3: Numbers employed (Full Time Equivalent)]]),"")</f>
        <v/>
      </c>
      <c r="PL25" s="30" t="str">
        <f>IFERROR(IF(DATA[[#This Row],[Other manager 3: Numbers employed (Full Time Equivalent)]]=0,"",DATA[[#This Row],[Other manager 3: Previous 2020/21 Minimum hourly pay rate ADJUSTED 2]]*DATA[[#This Row],[Other manager 3: Numbers employed (Full Time Equivalent)]]),"")</f>
        <v/>
      </c>
      <c r="PM25" s="30" t="str">
        <f>IFERROR(IF(DATA[[#This Row],[Other manager 3: Numbers employed (Full Time Equivalent)]]=0,"",DATA[[#This Row],[Other manager 3: Previous 2020/21 Maximum hourly pay rate ADJUSTED 2]]*DATA[[#This Row],[Other manager 3: Numbers employed (Full Time Equivalent)]]),"")</f>
        <v/>
      </c>
      <c r="PN25" s="30">
        <f>IFERROR(IF(DATA[[#This Row],[Care Assistant 1: Numbers employed (Full Time Equivalent)]]=0,"",DATA[[#This Row],[Care Assistant 1: Current 2021/22 Minimum hourly pay rate ADJUSTED 2]]*DATA[[#This Row],[Care Assistant 1: Numbers employed (Full Time Equivalent)]]),"")</f>
        <v>18.399999999999999</v>
      </c>
      <c r="PO25" s="30">
        <f>IFERROR(IF(DATA[[#This Row],[Care Assistant 1: Numbers employed (Full Time Equivalent)]]=0,"",DATA[[#This Row],[Care Assistant 1: Current 2021/22 Maximum hourly pay rate ADJUSTED 2]]*DATA[[#This Row],[Care Assistant 1: Numbers employed (Full Time Equivalent)]]),"")</f>
        <v>18.399999999999999</v>
      </c>
      <c r="PP25" s="30">
        <f>IFERROR(IF(DATA[[#This Row],[Care Assistant 1: Numbers employed (Full Time Equivalent)]]=0,"",DATA[[#This Row],[Care Assistant 1: Previous 2020/21 Minimum hourly pay rate ADJUSTED 2]]*DATA[[#This Row],[Care Assistant 1: Numbers employed (Full Time Equivalent)]]),"")</f>
        <v>17.8</v>
      </c>
      <c r="PQ25" s="30">
        <f>IFERROR(IF(DATA[[#This Row],[Care Assistant 1: Numbers employed (Full Time Equivalent)]]=0,"",DATA[[#This Row],[Care Assistant 1: Previous 2020/21 Maximum hourly pay rate ADJUSTED 2]]*DATA[[#This Row],[Care Assistant 1: Numbers employed (Full Time Equivalent)]]),"")</f>
        <v>17.8</v>
      </c>
      <c r="PR25" s="30" t="str">
        <f>IFERROR(IF(DATA[[#This Row],[Care Assistant 2: Numbers employed (Full Time Equivalent)]]=0,"",DATA[[#This Row],[Care Assistant 2: Current 2021/22 Minimum hourly pay rate ADJUSTED 2]]*DATA[[#This Row],[Care Assistant 2: Numbers employed (Full Time Equivalent)]]),"")</f>
        <v/>
      </c>
      <c r="PS25" s="30" t="str">
        <f>IFERROR(IF(DATA[[#This Row],[Care Assistant 2: Numbers employed (Full Time Equivalent)]]=0,"",DATA[[#This Row],[Care Assistant 2: Current 2021/22 Maximum hourly pay rate ADJUSTED 2]]*DATA[[#This Row],[Care Assistant 2: Numbers employed (Full Time Equivalent)]]),"")</f>
        <v/>
      </c>
      <c r="PT25" s="30" t="str">
        <f>IFERROR(IF(DATA[[#This Row],[Care Assistant 2: Numbers employed (Full Time Equivalent)]]=0,"",DATA[[#This Row],[Care Assistant 2: Previous 2020/21 Minimum hourly pay rate ADJUSTED 2]]*DATA[[#This Row],[Care Assistant 2: Numbers employed (Full Time Equivalent)]]),"")</f>
        <v/>
      </c>
      <c r="PU25" s="30" t="str">
        <f>IFERROR(IF(DATA[[#This Row],[Care Assistant 2: Numbers employed (Full Time Equivalent)]]=0,"",DATA[[#This Row],[Care Assistant 2: Previous 2020/21 Maximum hourly pay rate ADJUSTED 2]]*DATA[[#This Row],[Care Assistant 2: Numbers employed (Full Time Equivalent)]]),"")</f>
        <v/>
      </c>
      <c r="PV25" s="30" t="str">
        <f>IFERROR(IF(DATA[[#This Row],[Care Assistant 3: Numbers employed (Full Time Equivalent)]]=0,"",DATA[[#This Row],[Care Assistant 3: Current 2021/22 Minimum hourly pay rate ADJUSTED 2]]*DATA[[#This Row],[Care Assistant 3: Numbers employed (Full Time Equivalent)]]),"")</f>
        <v/>
      </c>
      <c r="PW25" s="30" t="str">
        <f>IFERROR(IF(DATA[[#This Row],[Care Assistant 3: Numbers employed (Full Time Equivalent)]]=0,"",DATA[[#This Row],[Care Assistant 3: Current 2021/22 Maximum hourly pay rate ADJUSTED 2]]*DATA[[#This Row],[Care Assistant 3: Numbers employed (Full Time Equivalent)]]),"")</f>
        <v/>
      </c>
      <c r="PX25" s="30" t="str">
        <f>IFERROR(IF(DATA[[#This Row],[Care Assistant 3: Numbers employed (Full Time Equivalent)]]=0,"",DATA[[#This Row],[Care Assistant 3: Previous 2020/21 Minimum hourly pay rate ADJUSTED 2]]*DATA[[#This Row],[Care Assistant 3: Numbers employed (Full Time Equivalent)]]),"")</f>
        <v/>
      </c>
      <c r="PY25" s="30" t="str">
        <f>IFERROR(IF(DATA[[#This Row],[Care Assistant 3: Numbers employed (Full Time Equivalent)]]=0,"",DATA[[#This Row],[Care Assistant 3: Previous 2020/21 Maximum hourly pay rate ADJUSTED 2]]*DATA[[#This Row],[Care Assistant 3: Numbers employed (Full Time Equivalent)]]),"")</f>
        <v/>
      </c>
      <c r="PZ25" s="30" t="str">
        <f>IFERROR(IF(DATA[[#This Row],[Care Assistant 4: Numbers employed (Full Time Equivalent)]]=0,"",DATA[[#This Row],[Care Assistant 4: Current 2021/22 Minimum hourly pay rate ADJUSTED 2]]*DATA[[#This Row],[Care Assistant 4: Numbers employed (Full Time Equivalent)]]),"")</f>
        <v/>
      </c>
      <c r="QA25" s="30" t="str">
        <f>IFERROR(IF(DATA[[#This Row],[Care Assistant 4: Numbers employed (Full Time Equivalent)]]=0,"",DATA[[#This Row],[Care Assistant 4: Current 2021/22 Maximum hourly pay rate ADJUSTED 2]]*DATA[[#This Row],[Care Assistant 4: Numbers employed (Full Time Equivalent)]]),"")</f>
        <v/>
      </c>
      <c r="QB25" s="30" t="str">
        <f>IFERROR(IF(DATA[[#This Row],[Care Assistant 4: Numbers employed (Full Time Equivalent)]]=0,"",DATA[[#This Row],[Care Assistant 4: Previous 2020/21 Minimum hourly pay rate ADJUSTED 2]]*DATA[[#This Row],[Care Assistant 4: Numbers employed (Full Time Equivalent)]]),"")</f>
        <v/>
      </c>
      <c r="QC25" s="30" t="str">
        <f>IFERROR(IF(DATA[[#This Row],[Care Assistant 4: Numbers employed (Full Time Equivalent)]]=0,"",DATA[[#This Row],[Care Assistant 4: Previous 2020/21 Maximum hourly pay rate ADJUSTED 2]]*DATA[[#This Row],[Care Assistant 4: Numbers employed (Full Time Equivalent)]]),"")</f>
        <v/>
      </c>
      <c r="QD25" s="30" t="str">
        <f>IFERROR(IF(DATA[[#This Row],[Administrative Officer 1: Numbers employed (Full Time Equivalent)]]=0,"",DATA[[#This Row],[Administrative Officer 1: Current 2021/22 Minimum hourly pay rate ADJUSTED 2]]*DATA[[#This Row],[Administrative Officer 1: Numbers employed (Full Time Equivalent)]]),"")</f>
        <v/>
      </c>
      <c r="QE25" s="30" t="str">
        <f>IFERROR(IF(DATA[[#This Row],[Administrative Officer 1: Numbers employed (Full Time Equivalent)]]=0,"",DATA[[#This Row],[Administrative Officer 1: Current 2021/22 Maximum hourly pay rate ADJUSTED 2]]*DATA[[#This Row],[Administrative Officer 1: Numbers employed (Full Time Equivalent)]]),"")</f>
        <v/>
      </c>
      <c r="QF25" s="30" t="str">
        <f>IFERROR(IF(DATA[[#This Row],[Administrative Officer 1: Numbers employed (Full Time Equivalent)]]=0,"",DATA[[#This Row],[Administrative Officer 1: Previous 2020/21 Minimum hourly pay rate ADJUSTED 2]]*DATA[[#This Row],[Administrative Officer 1: Numbers employed (Full Time Equivalent)]]),"")</f>
        <v/>
      </c>
      <c r="QG25" s="30" t="str">
        <f>IFERROR(IF(DATA[[#This Row],[Administrative Officer 1: Numbers employed (Full Time Equivalent)]]=0,"",DATA[[#This Row],[Administrative Officer 1: Previous 2020/21 Maximum hourly pay rate ADJUSTED 2]]*DATA[[#This Row],[Administrative Officer 1: Numbers employed (Full Time Equivalent)]]),"")</f>
        <v/>
      </c>
      <c r="QH25" s="30" t="str">
        <f>IFERROR(IF(DATA[[#This Row],[Administrative Officer 2: Numbers employed (Full Time Equivalent)]]=0,"",DATA[[#This Row],[Administrative Officer 2: Current 2021/22 Minimum hourly pay rate ADJUSTED 2]]*DATA[[#This Row],[Administrative Officer 2: Numbers employed (Full Time Equivalent)]]),"")</f>
        <v/>
      </c>
      <c r="QI25" s="30" t="str">
        <f>IFERROR(IF(DATA[[#This Row],[Administrative Officer 2: Numbers employed (Full Time Equivalent)]]=0,"",DATA[[#This Row],[Administrative Officer 2: Current 2021/22 Maximum hourly pay rate ADJUSTED 2]]*DATA[[#This Row],[Administrative Officer 2: Numbers employed (Full Time Equivalent)]]),"")</f>
        <v/>
      </c>
      <c r="QJ25" s="30" t="str">
        <f>IFERROR(IF(DATA[[#This Row],[Administrative Officer 2: Numbers employed (Full Time Equivalent)]]=0,"",DATA[[#This Row],[Administrative Officer 2: Previous 2020/21 Minimum hourly pay rate ADJUSTED 2]]*DATA[[#This Row],[Administrative Officer 2: Numbers employed (Full Time Equivalent)]]),"")</f>
        <v/>
      </c>
      <c r="QK25" s="30" t="str">
        <f>IFERROR(IF(DATA[[#This Row],[Administrative Officer 2: Numbers employed (Full Time Equivalent)]]=0,"",DATA[[#This Row],[Administrative Officer 2: Previous 2020/21 Maximum hourly pay rate ADJUSTED 2]]*DATA[[#This Row],[Administrative Officer 2: Numbers employed (Full Time Equivalent)]]),"")</f>
        <v/>
      </c>
      <c r="QL25" s="30" t="str">
        <f>IFERROR(IF(DATA[[#This Row],[Administrative Officer 3: Numbers employed (Full Time Equivalent)]]=0,"",DATA[[#This Row],[Administrative Officer 3: Current 2021/22 Minimum hourly pay rate ADJUSTED 2]]*DATA[[#This Row],[Administrative Officer 3: Numbers employed (Full Time Equivalent)]]),"")</f>
        <v/>
      </c>
      <c r="QM25" s="30" t="str">
        <f>IFERROR(IF(DATA[[#This Row],[Administrative Officer 3: Numbers employed (Full Time Equivalent)]]=0,"",DATA[[#This Row],[Administrative Officer 3: Current 2021/22 Maximum hourly pay rate ADJUSTED 2]]*DATA[[#This Row],[Administrative Officer 3: Numbers employed (Full Time Equivalent)]]),"")</f>
        <v/>
      </c>
      <c r="QN25" s="30" t="str">
        <f>IFERROR(IF(DATA[[#This Row],[Administrative Officer 3: Numbers employed (Full Time Equivalent)]]=0,"",DATA[[#This Row],[Administrative Officer 3: Previous 2020/21 Minimum hourly pay rate ADJUSTED 2]]*DATA[[#This Row],[Administrative Officer 3: Numbers employed (Full Time Equivalent)]]),"")</f>
        <v/>
      </c>
      <c r="QO25" s="30" t="str">
        <f>IFERROR(IF(DATA[[#This Row],[Administrative Officer 3: Numbers employed (Full Time Equivalent)]]=0,"",DATA[[#This Row],[Administrative Officer 3: Previous 2020/21 Maximum hourly pay rate ADJUSTED 2]]*DATA[[#This Row],[Administrative Officer 3: Numbers employed (Full Time Equivalent)]]),"")</f>
        <v/>
      </c>
      <c r="QP25" s="28" t="str">
        <f>IFERROR(IF(DATA[[#This Row],[Other staff 1: Numbers employed (Full Time Equivalent)]]=0,"",DATA[[#This Row],[Other staff 1: Current 2021/22 Minimum hourly pay rate ADJUSTED 2]]*DATA[[#This Row],[Other staff 1: Numbers employed (Full Time Equivalent)]]),"")</f>
        <v/>
      </c>
      <c r="QQ25" s="28" t="str">
        <f>IFERROR(IF(DATA[[#This Row],[Other staff 1: Numbers employed (Full Time Equivalent)]]=0,"",DATA[[#This Row],[Other staff 1: Current 2021/22 Maximum hourly pay rate ADJUSTED 2]]*DATA[[#This Row],[Other staff 1: Numbers employed (Full Time Equivalent)]]),"")</f>
        <v/>
      </c>
      <c r="QR25" s="28" t="str">
        <f>IFERROR(IF(DATA[[#This Row],[Other staff 1: Numbers employed (Full Time Equivalent)]]=0,"",DATA[[#This Row],[Other staff 1: Previous 2020/21 Minimum hourly pay rate ADJUSTED 2]]*DATA[[#This Row],[Other staff 1: Numbers employed (Full Time Equivalent)]]),"")</f>
        <v/>
      </c>
      <c r="QS25" s="28" t="str">
        <f>IFERROR(IF(DATA[[#This Row],[Other staff 1: Numbers employed (Full Time Equivalent)]]=0,"",DATA[[#This Row],[Other staff 1: Previous 2020/21 Maximum hourly pay rate ADJUSTED 2]]*DATA[[#This Row],[Other staff 1: Numbers employed (Full Time Equivalent)]]),"")</f>
        <v/>
      </c>
      <c r="QT25" s="28" t="str">
        <f>IFERROR(IF(DATA[[#This Row],[Other staff 2: Numbers employed (Full Time Equivalent)]]=0,"",DATA[[#This Row],[Other staff 2: Current 2021/22 Minimum hourly pay rate ADJUSTED 2]]*DATA[[#This Row],[Other staff 2: Numbers employed (Full Time Equivalent)]]),"")</f>
        <v/>
      </c>
      <c r="QU25" s="28" t="str">
        <f>IFERROR(IF(DATA[[#This Row],[Other staff 2: Numbers employed (Full Time Equivalent)]]=0,"",DATA[[#This Row],[Other staff 2: Current 2021/22 Maximum hourly pay rate ADJUSTED 2]]*DATA[[#This Row],[Other staff 2: Numbers employed (Full Time Equivalent)]]),"")</f>
        <v/>
      </c>
      <c r="QV25" s="28" t="str">
        <f>IFERROR(IF(DATA[[#This Row],[Other staff 2: Numbers employed (Full Time Equivalent)]]=0,"",DATA[[#This Row],[Other staff 2: Previous 2020/21 Minimum hourly pay rate ADJUSTED 2]]*DATA[[#This Row],[Other staff 2: Numbers employed (Full Time Equivalent)]]),"")</f>
        <v/>
      </c>
      <c r="QW25" s="28" t="str">
        <f>IFERROR(IF(DATA[[#This Row],[Other staff 2: Numbers employed (Full Time Equivalent)]]=0,"",DATA[[#This Row],[Other staff 2: Previous 2020/21 Maximum hourly pay rate ADJUSTED 2]]*DATA[[#This Row],[Other staff 2: Numbers employed (Full Time Equivalent)]]),"")</f>
        <v/>
      </c>
      <c r="QX25" s="28" t="str">
        <f>IFERROR(IF(DATA[[#This Row],[Other staff 3: Numbers employed (Full Time Equivalent)]]=0,"",DATA[[#This Row],[Other staff 3: Current 2021/22 Minimum hourly pay rate ADJUSTED 2]]*DATA[[#This Row],[Other staff 3: Numbers employed (Full Time Equivalent)]]),"")</f>
        <v/>
      </c>
      <c r="QY25" s="28" t="str">
        <f>IFERROR(IF(DATA[[#This Row],[Other staff 3: Numbers employed (Full Time Equivalent)]]=0,"",DATA[[#This Row],[Other staff 3: Current 2021/22 Maximum hourly pay rate ADJUSTED 2]]*DATA[[#This Row],[Other staff 3: Numbers employed (Full Time Equivalent)]]),"")</f>
        <v/>
      </c>
      <c r="QZ25" s="28" t="str">
        <f>IFERROR(IF(DATA[[#This Row],[Other staff 3: Numbers employed (Full Time Equivalent)]]=0,"",DATA[[#This Row],[Other staff 3: Previous 2020/21 Minimum hourly pay rate ADJUSTED 2]]*DATA[[#This Row],[Other staff 3: Numbers employed (Full Time Equivalent)]]),"")</f>
        <v/>
      </c>
      <c r="RA25" s="28" t="str">
        <f>IFERROR(IF(DATA[[#This Row],[Other staff 3: Numbers employed (Full Time Equivalent)]]=0,"",DATA[[#This Row],[Other staff 3: Previous 2020/21 Maximum hourly pay rate ADJUSTED 2]]*DATA[[#This Row],[Other staff 3: Numbers employed (Full Time Equivalent)]]),"")</f>
        <v/>
      </c>
      <c r="RB25"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25"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25"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25"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25"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25"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v>
      </c>
      <c r="RH25"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25"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25"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25"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25"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25"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25"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25"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25"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6" spans="7:484" x14ac:dyDescent="0.25">
      <c r="G26" s="2">
        <v>20</v>
      </c>
      <c r="H26" s="2">
        <v>292</v>
      </c>
      <c r="I26" s="2">
        <v>0</v>
      </c>
      <c r="K26" s="2">
        <v>0</v>
      </c>
      <c r="M26" s="2" t="s">
        <v>365</v>
      </c>
      <c r="R26" s="2">
        <v>13.5</v>
      </c>
      <c r="S26" s="2">
        <v>14.5</v>
      </c>
      <c r="T26" s="2">
        <v>12.5</v>
      </c>
      <c r="U26" s="2">
        <v>13.5</v>
      </c>
      <c r="V26" s="2">
        <v>1</v>
      </c>
      <c r="W26" s="2">
        <v>12.5</v>
      </c>
      <c r="X26" s="2">
        <v>13.5</v>
      </c>
      <c r="Y26" s="2">
        <v>11.5</v>
      </c>
      <c r="Z26" s="2">
        <v>12.5</v>
      </c>
      <c r="AA26" s="2">
        <v>1</v>
      </c>
      <c r="AB26" s="2" t="s">
        <v>315</v>
      </c>
      <c r="AC26" s="2">
        <v>10.5</v>
      </c>
      <c r="AD26" s="2">
        <v>12</v>
      </c>
      <c r="AE26" s="2">
        <v>9.5</v>
      </c>
      <c r="AF26" s="2">
        <v>10</v>
      </c>
      <c r="AG26" s="2">
        <v>3</v>
      </c>
      <c r="AH26" s="2" t="s">
        <v>315</v>
      </c>
      <c r="AI26" s="2">
        <v>10</v>
      </c>
      <c r="AJ26" s="2">
        <v>10.5</v>
      </c>
      <c r="AK26" s="2">
        <v>9</v>
      </c>
      <c r="AL26" s="2">
        <v>9.5</v>
      </c>
      <c r="AM26" s="2">
        <v>8</v>
      </c>
      <c r="AN26" s="2" t="s">
        <v>315</v>
      </c>
      <c r="AO26" s="2">
        <v>8.91</v>
      </c>
      <c r="AP26" s="2">
        <v>10</v>
      </c>
      <c r="AQ26" s="2">
        <v>0</v>
      </c>
      <c r="AR26" s="2">
        <v>0</v>
      </c>
      <c r="AS26" s="2">
        <v>4</v>
      </c>
      <c r="AT26" s="2" t="s">
        <v>316</v>
      </c>
      <c r="AU26" s="2">
        <v>10</v>
      </c>
      <c r="AV26" s="2">
        <v>11</v>
      </c>
      <c r="AW26" s="2">
        <v>9.5</v>
      </c>
      <c r="AX26" s="2">
        <v>10</v>
      </c>
      <c r="AY26" s="2">
        <v>18</v>
      </c>
      <c r="AZ26" s="2" t="s">
        <v>316</v>
      </c>
      <c r="BA26" s="2">
        <v>9.75</v>
      </c>
      <c r="BB26" s="2">
        <v>10</v>
      </c>
      <c r="BC26" s="2">
        <v>9.3000000000000007</v>
      </c>
      <c r="BD26" s="2">
        <v>9.5</v>
      </c>
      <c r="BE26" s="2">
        <v>48</v>
      </c>
      <c r="BF26" s="2" t="s">
        <v>316</v>
      </c>
      <c r="BG26" s="2">
        <v>9.5</v>
      </c>
      <c r="BH26" s="2">
        <v>9.75</v>
      </c>
      <c r="BI26" s="2">
        <v>9</v>
      </c>
      <c r="BJ26" s="2">
        <v>9.3000000000000007</v>
      </c>
      <c r="BK26" s="2">
        <v>65</v>
      </c>
      <c r="BL26" s="2" t="s">
        <v>316</v>
      </c>
      <c r="BM26" s="2">
        <v>9.3000000000000007</v>
      </c>
      <c r="BN26" s="2">
        <v>9.5</v>
      </c>
      <c r="BO26" s="2">
        <v>8.8000000000000007</v>
      </c>
      <c r="BP26" s="2">
        <v>9</v>
      </c>
      <c r="BQ26" s="2">
        <v>44</v>
      </c>
      <c r="BR26" s="2" t="s">
        <v>317</v>
      </c>
      <c r="BS26" s="2">
        <v>9.1999999999999993</v>
      </c>
      <c r="BT26" s="2">
        <v>10</v>
      </c>
      <c r="BU26" s="2">
        <v>9</v>
      </c>
      <c r="BV26" s="2">
        <v>9.5</v>
      </c>
      <c r="BW26" s="2">
        <v>6</v>
      </c>
      <c r="BX26" s="2" t="s">
        <v>317</v>
      </c>
      <c r="BY26" s="2">
        <v>8.9</v>
      </c>
      <c r="BZ26" s="2">
        <v>9.1999999999999993</v>
      </c>
      <c r="CA26" s="2">
        <v>8.7200000000000006</v>
      </c>
      <c r="CB26" s="2">
        <v>9</v>
      </c>
      <c r="CC26" s="2">
        <v>4</v>
      </c>
      <c r="CD26" s="2" t="s">
        <v>317</v>
      </c>
      <c r="CE26" s="2">
        <v>0</v>
      </c>
      <c r="CF26" s="2">
        <v>0</v>
      </c>
      <c r="CG26" s="2">
        <v>0</v>
      </c>
      <c r="CH26" s="2">
        <v>0</v>
      </c>
      <c r="CI26" s="2">
        <v>0</v>
      </c>
      <c r="CJ26" s="2" t="s">
        <v>318</v>
      </c>
      <c r="CK26" s="2">
        <v>0</v>
      </c>
      <c r="CL26" s="2">
        <v>0</v>
      </c>
      <c r="CM26" s="2">
        <v>0</v>
      </c>
      <c r="CN26" s="2">
        <v>0</v>
      </c>
      <c r="CO26" s="2">
        <v>0</v>
      </c>
      <c r="CP26" s="2" t="s">
        <v>318</v>
      </c>
      <c r="CQ26" s="2">
        <v>0</v>
      </c>
      <c r="CR26" s="2">
        <v>0</v>
      </c>
      <c r="CS26" s="2">
        <v>0</v>
      </c>
      <c r="CT26" s="2">
        <v>0</v>
      </c>
      <c r="CU26" s="2">
        <v>0</v>
      </c>
      <c r="CV26" s="2" t="s">
        <v>318</v>
      </c>
      <c r="CW26" s="2">
        <v>0</v>
      </c>
      <c r="CX26" s="2">
        <v>0</v>
      </c>
      <c r="CY26" s="2">
        <v>0</v>
      </c>
      <c r="CZ26" s="2">
        <v>0</v>
      </c>
      <c r="DA26" s="2">
        <v>0</v>
      </c>
      <c r="DB26" s="2">
        <v>0.03</v>
      </c>
      <c r="DC26" s="2">
        <v>3337</v>
      </c>
      <c r="DD26" s="2">
        <v>0</v>
      </c>
      <c r="DE26" s="2">
        <v>237</v>
      </c>
      <c r="DF26" s="2">
        <v>0</v>
      </c>
      <c r="DG26" s="2">
        <v>311</v>
      </c>
      <c r="DH26" s="2">
        <v>140</v>
      </c>
      <c r="DI26" s="2">
        <v>0</v>
      </c>
      <c r="DJ26" s="2">
        <v>0</v>
      </c>
      <c r="DK26" s="2">
        <v>0</v>
      </c>
      <c r="DL26" s="2">
        <v>0</v>
      </c>
      <c r="DM26" s="2">
        <v>0</v>
      </c>
      <c r="DN26" s="2">
        <v>0</v>
      </c>
      <c r="DO26" s="2">
        <v>0</v>
      </c>
      <c r="DP26" s="2">
        <v>16.5</v>
      </c>
      <c r="DQ26" s="2">
        <v>16.5</v>
      </c>
      <c r="DR26" s="18">
        <v>44044</v>
      </c>
      <c r="DS26" s="18">
        <v>44408</v>
      </c>
      <c r="DT26" s="2">
        <v>201650</v>
      </c>
      <c r="DU26" s="2">
        <v>281546</v>
      </c>
      <c r="DV26" s="2">
        <v>2201985</v>
      </c>
      <c r="DW26" s="2">
        <v>74950</v>
      </c>
      <c r="DX26" s="2">
        <v>15210</v>
      </c>
      <c r="DY26" s="2">
        <v>0</v>
      </c>
      <c r="DZ26" s="2">
        <v>98257</v>
      </c>
      <c r="EA26" s="2">
        <v>179384</v>
      </c>
      <c r="EB26" s="2">
        <v>58645</v>
      </c>
      <c r="EC26" s="2">
        <v>31980</v>
      </c>
      <c r="ED26" s="2">
        <v>72540</v>
      </c>
      <c r="EE26" s="2">
        <v>31850</v>
      </c>
      <c r="EF26" s="2">
        <v>24865</v>
      </c>
      <c r="EG26" s="2">
        <v>15985</v>
      </c>
      <c r="EH26" s="2" t="s">
        <v>324</v>
      </c>
      <c r="EI26" s="2">
        <v>0</v>
      </c>
      <c r="EJ26" s="2" t="s">
        <v>324</v>
      </c>
      <c r="EK26" s="2">
        <v>0</v>
      </c>
      <c r="EL26" s="2">
        <v>8600</v>
      </c>
      <c r="EM26" s="2">
        <v>7642</v>
      </c>
      <c r="EN26" s="2">
        <v>8500</v>
      </c>
      <c r="EO26" s="2">
        <v>20400</v>
      </c>
      <c r="EP26" s="2">
        <v>22500</v>
      </c>
      <c r="EQ26" s="2">
        <v>4352</v>
      </c>
      <c r="ER26" s="2">
        <v>0</v>
      </c>
      <c r="ES26" s="2">
        <v>0</v>
      </c>
      <c r="ET26" s="2" t="s">
        <v>324</v>
      </c>
      <c r="EU26" s="2">
        <v>0</v>
      </c>
      <c r="EV26" s="2" t="s">
        <v>324</v>
      </c>
      <c r="EW26" s="2">
        <v>0</v>
      </c>
      <c r="EX26" s="2">
        <v>0</v>
      </c>
      <c r="EY26" s="2">
        <v>32465</v>
      </c>
      <c r="EZ26" s="2" t="s">
        <v>326</v>
      </c>
      <c r="FA26" s="2">
        <v>0</v>
      </c>
      <c r="FB26" s="2" t="s">
        <v>326</v>
      </c>
      <c r="FC26" s="2">
        <v>0</v>
      </c>
      <c r="FD26" s="2">
        <v>135645</v>
      </c>
      <c r="FE26" s="2">
        <v>0</v>
      </c>
      <c r="FF26" s="2">
        <v>0</v>
      </c>
      <c r="FG26" s="2"/>
      <c r="FH26" s="19">
        <v>44480.623865740738</v>
      </c>
      <c r="FI26" s="2" t="s">
        <v>345</v>
      </c>
      <c r="FJ26" s="2">
        <f>SUM(DATA[[#This Row],[Number of Home support clients:]],DATA[[#This Row],[Number of supported living clients:]])</f>
        <v>292</v>
      </c>
      <c r="FK26"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201+</v>
      </c>
      <c r="FL26"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13.5</v>
      </c>
      <c r="FM26"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14.5</v>
      </c>
      <c r="FN26"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12.5</v>
      </c>
      <c r="FO26"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13.5</v>
      </c>
      <c r="FP26"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12.5</v>
      </c>
      <c r="FQ26"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13.5</v>
      </c>
      <c r="FR26"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11.5</v>
      </c>
      <c r="FS26"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12.5</v>
      </c>
      <c r="FT26"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10.5</v>
      </c>
      <c r="FU26"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v>
      </c>
      <c r="FV26"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9.5</v>
      </c>
      <c r="FW26"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10</v>
      </c>
      <c r="FX26"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v>
      </c>
      <c r="FY26"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10.5</v>
      </c>
      <c r="FZ26"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9</v>
      </c>
      <c r="GA26"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9.5</v>
      </c>
      <c r="GB26"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8.91</v>
      </c>
      <c r="GC26"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10</v>
      </c>
      <c r="GD26"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26"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26"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10</v>
      </c>
      <c r="GG26"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11</v>
      </c>
      <c r="GH26"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9.5</v>
      </c>
      <c r="GI26"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10</v>
      </c>
      <c r="GJ26"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9.75</v>
      </c>
      <c r="GK26"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10</v>
      </c>
      <c r="GL26"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9.3000000000000007</v>
      </c>
      <c r="GM26"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9.5</v>
      </c>
      <c r="GN26"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9.5</v>
      </c>
      <c r="GO26"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9.75</v>
      </c>
      <c r="GP26"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9</v>
      </c>
      <c r="GQ26"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9.3000000000000007</v>
      </c>
      <c r="GR26"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9.3000000000000007</v>
      </c>
      <c r="GS26"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9.5</v>
      </c>
      <c r="GT26"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8.8000000000000007</v>
      </c>
      <c r="GU26"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9</v>
      </c>
      <c r="GV26"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9.1999999999999993</v>
      </c>
      <c r="GW26"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v>
      </c>
      <c r="GX26"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v>
      </c>
      <c r="GY26"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9.5</v>
      </c>
      <c r="GZ26"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8.9</v>
      </c>
      <c r="HA26"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9.1999999999999993</v>
      </c>
      <c r="HB26"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8.7200000000000006</v>
      </c>
      <c r="HC26"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9</v>
      </c>
      <c r="HD26"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26"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26"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26"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26"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26"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26"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26"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26"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26"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26"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26"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26"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6"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6"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6"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6"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13.5</v>
      </c>
      <c r="HU26"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14.5</v>
      </c>
      <c r="HV26"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12.5</v>
      </c>
      <c r="HW26"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13.5</v>
      </c>
      <c r="HX26"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12.5</v>
      </c>
      <c r="HY26"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13.5</v>
      </c>
      <c r="HZ26"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11.5</v>
      </c>
      <c r="IA26"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12.5</v>
      </c>
      <c r="IB26"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10.5</v>
      </c>
      <c r="IC26"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v>
      </c>
      <c r="ID26"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9.5</v>
      </c>
      <c r="IE26"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10</v>
      </c>
      <c r="IF26"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v>
      </c>
      <c r="IG26"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10.5</v>
      </c>
      <c r="IH26"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9</v>
      </c>
      <c r="II26"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9.5</v>
      </c>
      <c r="IJ26"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8.91</v>
      </c>
      <c r="IK26"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10</v>
      </c>
      <c r="IL26"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8.91</v>
      </c>
      <c r="IM26"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10</v>
      </c>
      <c r="IN26"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10</v>
      </c>
      <c r="IO26"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11</v>
      </c>
      <c r="IP26"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9.5</v>
      </c>
      <c r="IQ26"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10</v>
      </c>
      <c r="IR26"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9.75</v>
      </c>
      <c r="IS26"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10</v>
      </c>
      <c r="IT26"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9.3000000000000007</v>
      </c>
      <c r="IU26"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9.5</v>
      </c>
      <c r="IV26"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9.5</v>
      </c>
      <c r="IW26"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9.75</v>
      </c>
      <c r="IX26"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9</v>
      </c>
      <c r="IY26"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9.3000000000000007</v>
      </c>
      <c r="IZ26"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9.3000000000000007</v>
      </c>
      <c r="JA26"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9.5</v>
      </c>
      <c r="JB26"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8.8000000000000007</v>
      </c>
      <c r="JC26"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9</v>
      </c>
      <c r="JD26"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9.1999999999999993</v>
      </c>
      <c r="JE26"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v>
      </c>
      <c r="JF26"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v>
      </c>
      <c r="JG26"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9.5</v>
      </c>
      <c r="JH26"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8.9</v>
      </c>
      <c r="JI26"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9.1999999999999993</v>
      </c>
      <c r="JJ26"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8.7200000000000006</v>
      </c>
      <c r="JK26"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9</v>
      </c>
      <c r="JL26"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26"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26"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26"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26"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26"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26"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26"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26"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26"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26"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26"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26"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6"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6"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6"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6"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17</v>
      </c>
      <c r="KC26" s="21">
        <f>SUM(DATA[[#This Row],[Care Assistant 1: Numbers employed (Full Time Equivalent)]],DATA[[#This Row],[Care Assistant 2: Numbers employed (Full Time Equivalent)]],DATA[[#This Row],[Care Assistant 3: Numbers employed (Full Time Equivalent)]],DATA[[#This Row],[Care Assistant 4: Numbers employed (Full Time Equivalent)]])</f>
        <v>175</v>
      </c>
      <c r="KD26" s="21">
        <f>SUM(DATA[[#This Row],[Administrative Officer 1: Numbers employed (Full Time Equivalent)]],DATA[[#This Row],[Administrative Officer 2: Numbers employed (Full Time Equivalent)]])</f>
        <v>10</v>
      </c>
      <c r="KE26" s="21">
        <f>SUM(DATA[[#This Row],[Other staff 1: Numbers employed (Full Time Equivalent)]],DATA[[#This Row],[Other staff 2: Numbers employed (Full Time Equivalent)]],DATA[[#This Row],[Other staff 3: Numbers employed (Full Time Equivalent)]])</f>
        <v>0</v>
      </c>
      <c r="KF26" s="21">
        <f>SUM(DATA[[#This Row],[Total FTE Management Employees]:[Total FTE Other Employees]])</f>
        <v>202</v>
      </c>
      <c r="KG26" s="21" t="str">
        <f>IF(SUM(DATA[[#This Row],[Home Support service split percentage (Expenditure):]],DATA[[#This Row],[Supported Living service split percentage (Expenditure):]])&gt;0, IF(DATA[[#This Row],[Home Support service split percentage (Expenditure):]]&gt;0.5,"Home Support","Supported Living"), "Unknown")</f>
        <v>Unknown</v>
      </c>
      <c r="KH26" s="21">
        <f>SUM(DATA[[#This Row],[Home Support: Birmingham City Council]:[Home Support: Self-funded]])</f>
        <v>4025</v>
      </c>
      <c r="KI26" s="21">
        <f>SUM(DATA[[#This Row],[Supported Living: Birmingham City Council]:[Supported Living: Self-funded]])</f>
        <v>0</v>
      </c>
      <c r="KJ26"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26"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26"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173.14</v>
      </c>
      <c r="KM26"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188</v>
      </c>
      <c r="KN26" s="21" t="b">
        <f>SUM(DATA[[#This Row],[Number of hours of care charged for in last full accounting year]:[Corporate Overheads: Other  - please specify (category) 1]])&gt;0</f>
        <v>1</v>
      </c>
      <c r="KO26" s="21">
        <f>SUM(DATA[[#This Row],[Total annual expenditure: Management staff]:[Total annual expenditure: Training and development]])</f>
        <v>2909977</v>
      </c>
      <c r="KP26" s="21">
        <f>SUM(DATA[[#This Row],[Recruitment &amp; advertising (including DBS checks)]:[Non-Staffing Direct Cost: Other  - please specify (amount) 2]])</f>
        <v>177220</v>
      </c>
      <c r="KQ26" s="21">
        <f>SUM(DATA[[#This Row],[Insurance ]:[Indirect costs: Other 2 - please specify (amount)]])</f>
        <v>71994</v>
      </c>
      <c r="KR26" s="21">
        <f>SUM(DATA[[#This Row],[Central / Regional Management]],DATA[[#This Row],[Support Services (finance / HR / Payroll / legal etc.)]],DATA[[#This Row],[Corporate Overheads: Other  - please specify (amount) 1]],DATA[[#This Row],[Corporate Overheads: Other  - please specify (amount) 2]])</f>
        <v>32465</v>
      </c>
      <c r="KS26"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1.3962112571286884</v>
      </c>
      <c r="KT26"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10.919836350111579</v>
      </c>
      <c r="KU26"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0.37168361021572033</v>
      </c>
      <c r="KV26" s="30">
        <f>IF(OR(NOT(DATA[[#This Row],[Total annual expenditure: Other staff]]&gt;0),NOT(DATA[[#This Row],[Number of hours of care charged for in last full accounting year]]&gt;0)),0,DATA[[#This Row],[Total annual expenditure: Other staff]]/DATA[[#This Row],[Number of hours of care charged for in last full accounting year]])</f>
        <v>7.5427721299280936E-2</v>
      </c>
      <c r="KW26"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26" s="30">
        <f>IF(OR(NOT(DATA[[#This Row],[Total annual expenditure: Travel Cost]]&gt;0),NOT(DATA[[#This Row],[Number of hours of care charged for in last full accounting year]]&gt;0)),0,DATA[[#This Row],[Total annual expenditure: Travel Cost]]/DATA[[#This Row],[Number of hours of care charged for in last full accounting year]])</f>
        <v>0.48726506322836599</v>
      </c>
      <c r="KY26" s="30">
        <f>IF(OR(NOT(DATA[[#This Row],[Total annual expenditure: Travel Time]]&gt;0),NOT(DATA[[#This Row],[Number of hours of care charged for in last full accounting year]]&gt;0)),0,DATA[[#This Row],[Total annual expenditure: Travel Time]]/DATA[[#This Row],[Number of hours of care charged for in last full accounting year]])</f>
        <v>0.88958095710389284</v>
      </c>
      <c r="KZ26"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0.29082568807339448</v>
      </c>
      <c r="LA26"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0.15859161914207787</v>
      </c>
      <c r="LB26"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0.3597322092734937</v>
      </c>
      <c r="LC26" s="30">
        <f>IF(OR(NOT(DATA[[#This Row],[Care consumables &amp; uniforms]]&gt;0),NOT(DATA[[#This Row],[Number of hours of care charged for in last full accounting year]]&gt;0)),0,DATA[[#This Row],[Care consumables &amp; uniforms]]/DATA[[#This Row],[Number of hours of care charged for in last full accounting year]])</f>
        <v>0.15794693776345153</v>
      </c>
      <c r="LD26" s="30">
        <f>IF(OR(NOT(DATA[[#This Row],[Electronic call monitoring]]&gt;0),NOT(DATA[[#This Row],[Number of hours of care charged for in last full accounting year]]&gt;0)),0,DATA[[#This Row],[Electronic call monitoring]]/DATA[[#This Row],[Number of hours of care charged for in last full accounting year]])</f>
        <v>0.12330771138110588</v>
      </c>
      <c r="LE26" s="30">
        <f>IF(OR(NOT(DATA[[#This Row],[IT Equipment &amp; Telephoney]]&gt;0),NOT(DATA[[#This Row],[Number of hours of care charged for in last full accounting year]]&gt;0)),0,DATA[[#This Row],[IT Equipment &amp; Telephoney]]/DATA[[#This Row],[Number of hours of care charged for in last full accounting year]])</f>
        <v>7.9271014133399459E-2</v>
      </c>
      <c r="LF26"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26"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26" s="30">
        <f>IF(OR(NOT(DATA[[#This Row],[Insurance ]]&gt;0),NOT(DATA[[#This Row],[Number of hours of care charged for in last full accounting year]]&gt;0)),0,DATA[[#This Row],[Insurance ]]/DATA[[#This Row],[Number of hours of care charged for in last full accounting year]])</f>
        <v>4.2648152739895862E-2</v>
      </c>
      <c r="LI26"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3.7897346888172576E-2</v>
      </c>
      <c r="LJ26" s="30">
        <f>IF(OR(NOT(DATA[[#This Row],[Repairs and maintenance]]&gt;0),NOT(DATA[[#This Row],[Number of hours of care charged for in last full accounting year]]&gt;0)),0,DATA[[#This Row],[Repairs and maintenance]]/DATA[[#This Row],[Number of hours of care charged for in last full accounting year]])</f>
        <v>4.2152243987106375E-2</v>
      </c>
      <c r="LK26"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0.1011653855690553</v>
      </c>
      <c r="LL26" s="30">
        <f>IF(OR(NOT(DATA[[#This Row],[Registration &amp; Inspection fees ]]&gt;0),NOT(DATA[[#This Row],[Number of hours of care charged for in last full accounting year]]&gt;0)),0,DATA[[#This Row],[Registration &amp; Inspection fees ]]/DATA[[#This Row],[Number of hours of care charged for in last full accounting year]])</f>
        <v>0.11157946937763452</v>
      </c>
      <c r="LM26" s="30">
        <f>IF(OR(NOT(DATA[[#This Row],[Subscriptions]]&gt;0),NOT(DATA[[#This Row],[Number of hours of care charged for in last full accounting year]]&gt;0)),0,DATA[[#This Row],[Subscriptions]]/DATA[[#This Row],[Number of hours of care charged for in last full accounting year]])</f>
        <v>2.1581948921398461E-2</v>
      </c>
      <c r="LN26" s="30">
        <f>IF(OR(NOT(DATA[[#This Row],[Cost of finance]]&gt;0),NOT(DATA[[#This Row],[Number of hours of care charged for in last full accounting year]]&gt;0)),0,DATA[[#This Row],[Cost of finance]]/DATA[[#This Row],[Number of hours of care charged for in last full accounting year]])</f>
        <v>0</v>
      </c>
      <c r="LO26" s="30">
        <f>IF(OR(NOT(DATA[[#This Row],[Other non-staff current expenses]]&gt;0),NOT(DATA[[#This Row],[Number of hours of care charged for in last full accounting year]]&gt;0)),0,DATA[[#This Row],[Other non-staff current expenses]]/DATA[[#This Row],[Number of hours of care charged for in last full accounting year]])</f>
        <v>0</v>
      </c>
      <c r="LP26"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26"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26" s="30">
        <f>IF(OR(NOT(DATA[[#This Row],[Central / Regional Management]]&gt;0),NOT(DATA[[#This Row],[Number of hours of care charged for in last full accounting year]]&gt;0)),0,DATA[[#This Row],[Central / Regional Management]]/DATA[[#This Row],[Number of hours of care charged for in last full accounting year]])</f>
        <v>0</v>
      </c>
      <c r="LS26"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0.16099677659310688</v>
      </c>
      <c r="LT26"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6"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6" s="30">
        <f>SUM(DATA[[#This Row],[Management staff HOURLY RATE]:[Corporate Overheads: Other  - please specify (amount) 2 HOURLY RATE]])</f>
        <v>15.827701462930818</v>
      </c>
      <c r="LW26" s="30">
        <f>IF(OR(NOT(DATA[[#This Row],[Net Operating Profit]]&gt;0),NOT(DATA[[#This Row],[Number of hours of care charged for in last full accounting year]]&gt;0)),"",DATA[[#This Row],[Net Operating Profit]]/DATA[[#This Row],[Number of hours of care charged for in last full accounting year]])</f>
        <v>0.67267542772129929</v>
      </c>
      <c r="LX26" s="30">
        <f>IF(OR(NOT(DATA[[#This Row],[Return on Capital employed]]&gt;0),NOT(DATA[[#This Row],[Number of hours of care charged for in last full accounting year]]&gt;0)),0,DATA[[#This Row],[Return on Capital employed]]/DATA[[#This Row],[Number of hours of care charged for in last full accounting year]])</f>
        <v>0</v>
      </c>
      <c r="LY26" s="31">
        <v>20</v>
      </c>
      <c r="LZ26" s="30" t="s">
        <v>345</v>
      </c>
      <c r="MA26" s="30" t="b">
        <f>DATA[[#This Row],[Number of Home support clients:]]&gt;0</f>
        <v>1</v>
      </c>
      <c r="MB26" s="30" t="b">
        <f>DATA[[#This Row],[Number of supported living clients:]]&gt;0</f>
        <v>0</v>
      </c>
      <c r="MC26" s="30" t="b">
        <f>DATA[[#This Row],[Total Home Support Hours]]&gt;0</f>
        <v>1</v>
      </c>
      <c r="MD26" s="30" t="b">
        <f>DATA[[#This Row],[Total Supported Living Hours]]&gt;0</f>
        <v>0</v>
      </c>
      <c r="ME26" s="30" t="b">
        <f>DATA[[#This Row],[Home Support service split percentage (Expenditure):]]&gt;0.5</f>
        <v>0</v>
      </c>
      <c r="MF26" s="30" t="b">
        <f>DATA[[#This Row],[Agency staff HOURLY RATE]]=0</f>
        <v>1</v>
      </c>
      <c r="MG26" s="30">
        <f>IFERROR(IF(AVERAGE(DATA[[#This Row],[Registered manager: Current 2021/22 Minimum hourly pay rate ADJUSTED]],DATA[[#This Row],[Registered manager: Current 2021/22 Maximum hourly pay rate ADJUSTED]])&lt;LIVING_WAGE_22_23,DATA[[#This Row],[Registered manager: Numbers employed (Full Time Equivalent)]],0),"")</f>
        <v>0</v>
      </c>
      <c r="MH26" s="30">
        <f>IFERROR(IF(AVERAGE(DATA[[#This Row],[Deputy manager: Current 2021/22 Minimum hourly pay rate ADJUSTED]],DATA[[#This Row],[Deputy manager: Current 2021/22 Maximum hourly pay rate ADJUSTED]])&lt;LIVING_WAGE_22_23,DATA[[#This Row],[Deputy manager: Numbers employed (Full Time Equivalent)]],0),"")</f>
        <v>0</v>
      </c>
      <c r="MI26" s="30">
        <f>IFERROR(IF(AVERAGE(DATA[[#This Row],[Other manager 1: Current 2021/22 Minimum hourly pay rate ADJUSTED]],DATA[[#This Row],[Other manager 1: Current 2021/22 Maximum hourly pay rate ADJUSTED]])&lt;LIVING_WAGE_22_23,DATA[[#This Row],[Other manager 1: Numbers employed (Full Time Equivalent)]],0),"")</f>
        <v>0</v>
      </c>
      <c r="MJ26" s="30">
        <f>IFERROR(IF(AVERAGE(DATA[[#This Row],[Other manager 2: Current 2021/22 Minimum hourly pay rate ADJUSTED]],DATA[[#This Row],[Other manager 2: Current 2021/22 Maximum hourly pay rate ADJUSTED]])&lt;LIVING_WAGE_22_23,DATA[[#This Row],[Other manager 2: Numbers employed (Full Time Equivalent)]],0),"")</f>
        <v>0</v>
      </c>
      <c r="MK26" s="30">
        <f>IFERROR(IF(AVERAGE(DATA[[#This Row],[Other manager 3: Current 2021/22 Minimum hourly pay rate ADJUSTED]],DATA[[#This Row],[Other manager 3: Current 2021/22 Maximum hourly pay rate ADJUSTED]])&lt;LIVING_WAGE_22_23,DATA[[#This Row],[Other manager 3: Numbers employed (Full Time Equivalent)]],0),"")</f>
        <v>4</v>
      </c>
      <c r="ML26" s="30">
        <f>IFERROR(IF(AVERAGE(DATA[[#This Row],[Care Assistant 1: Current 2021/22 Minimum hourly pay rate ADJUSTED]],DATA[[#This Row],[Care Assistant 1: Current 2021/22 Maximum hourly pay rate ADJUSTED]])&lt;LIVING_WAGE_22_23,DATA[[#This Row],[Care Assistant 1: Numbers employed (Full Time Equivalent)]],0),"")</f>
        <v>0</v>
      </c>
      <c r="MM26" s="30">
        <f>IFERROR(IF(AVERAGE(DATA[[#This Row],[Care Assistant 2: Current 2021/22 Minimum hourly pay rate ADJUSTED]],DATA[[#This Row],[Care Assistant 2: Current 2021/22 Maximum hourly pay rate ADJUSTED]])&lt;LIVING_WAGE_22_23,DATA[[#This Row],[Care Assistant 2: Numbers employed (Full Time Equivalent)]],0),"")</f>
        <v>0</v>
      </c>
      <c r="MN26" s="30">
        <f>IFERROR(IF(AVERAGE(DATA[[#This Row],[Care Assistant 3: Current 2021/22 Minimum hourly pay rate ADJUSTED]],DATA[[#This Row],[Care Assistant 3: Current 2021/22 Maximum hourly pay rate ADJUSTED]])&lt;LIVING_WAGE_22_23,DATA[[#This Row],[Care Assistant 3: Numbers employed (Full Time Equivalent)]],0),"")</f>
        <v>0</v>
      </c>
      <c r="MO26" s="30">
        <f>IFERROR(IF(AVERAGE(DATA[[#This Row],[Care Assistant 4: Current 2021/22 Minimum hourly pay rate ADJUSTED]],DATA[[#This Row],[Care Assistant 4: Current 2021/22 Maximum hourly pay rate ADJUSTED]])&lt;LIVING_WAGE_22_23,DATA[[#This Row],[Care Assistant 4: Numbers employed (Full Time Equivalent)]],0),"")</f>
        <v>44</v>
      </c>
      <c r="MP26"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26"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4</v>
      </c>
      <c r="MR26" s="30" t="str">
        <f>IFERROR(IF(AVERAGE(DATA[[#This Row],[Other staff 1: Current 2021/22 Minimum hourly pay rate ADJUSTED]],DATA[[#This Row],[Other staff 1: Current 2021/22 Maximum hourly pay rate ADJUSTED]])&lt;LIVING_WAGE_22_23,DATA[[#This Row],[Other staff 1: Numbers employed (Full Time Equivalent)]],0),"")</f>
        <v/>
      </c>
      <c r="MS26" s="30" t="str">
        <f>IFERROR(IF(AVERAGE(DATA[[#This Row],[Other staff 2: Current 2021/22 Minimum hourly pay rate ADJUSTED]],DATA[[#This Row],[Other staff 2: Current 2021/22 Maximum hourly pay rate ADJUSTED]])&lt;LIVING_WAGE_22_23,DATA[[#This Row],[Other staff 2: Numbers employed (Full Time Equivalent)]],0),"")</f>
        <v/>
      </c>
      <c r="MT26" s="30" t="str">
        <f>IFERROR(IF(AVERAGE(DATA[[#This Row],[Other staff 3: Current 2021/22 Minimum hourly pay rate ADJUSTED]],DATA[[#This Row],[Other staff 3: Current 2021/22 Maximum hourly pay rate ADJUSTED]])&lt;LIVING_WAGE_22_23,DATA[[#This Row],[Other staff 3: Numbers employed (Full Time Equivalent)]],0),"")</f>
        <v/>
      </c>
      <c r="MU26" s="30">
        <f>SUM(DATA[[#This Row],[Registered Manager FTE earning less than NLW 23yrs 2022/23]:[Other staff 3 FTE earning less than NLW 23yrs 2022/23]])</f>
        <v>52</v>
      </c>
      <c r="MV26"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26"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26"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26"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26"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0.17999999999999972</v>
      </c>
      <c r="NA26"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26"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26"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26"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4.3999999999999844</v>
      </c>
      <c r="NE26"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26"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1.7999999999999972</v>
      </c>
      <c r="NG26"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26"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26"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6" s="30" t="b">
        <v>1</v>
      </c>
      <c r="NK26" s="30" t="b">
        <v>1</v>
      </c>
      <c r="NL26" s="30" t="s">
        <v>505</v>
      </c>
      <c r="NM26" s="30">
        <f>SUM(DATA[[#This Row],[Management staff HOURLY RATE]:[Training and development HOURLY RATE]])</f>
        <v>14.430830647160922</v>
      </c>
      <c r="NN26" s="30">
        <f>SUM(DATA[[#This Row],[Recruitment &amp; advertising (including DBS checks) HOURLY RATE]:[Non-Staffing Direct Cost: Other  - please specify (amount) 2 HOURLY RATE]])</f>
        <v>0.87884949169352833</v>
      </c>
      <c r="NO26" s="30">
        <f>SUM(DATA[[#This Row],[Insurance  HOURLY RATE]:[Indirect costs: Other  - please specify (amount) 2 HOURLY RATE]])</f>
        <v>0.35702454748326312</v>
      </c>
      <c r="NP26" s="30">
        <f>SUM(DATA[[#This Row],[Central / Regional Management HOURLY RATE]:[Corporate Overheads: Other  - please specify (amount) 2 HOURLY RATE]])</f>
        <v>0.16099677659310688</v>
      </c>
      <c r="NQ26"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26" s="30">
        <f>IFERROR(IF(AVERAGE(DATA[[#This Row],[Deputy manager: Current 2021/22 Minimum hourly pay rate ADJUSTED]],DATA[[#This Row],[Deputy manager: Current 2021/22 Maximum hourly pay rate ADJUSTED]])&lt;REAL_LIVING_WAGE_22_23,DATA[[#This Row],[Deputy manager: Numbers employed (Full Time Equivalent)]],0),"")</f>
        <v>0</v>
      </c>
      <c r="NS26" s="30">
        <f>IFERROR(IF(AVERAGE(DATA[[#This Row],[Other manager 1: Current 2021/22 Minimum hourly pay rate ADJUSTED]],DATA[[#This Row],[Other manager 1: Current 2021/22 Maximum hourly pay rate ADJUSTED]])&lt;REAL_LIVING_WAGE_22_23,DATA[[#This Row],[Other manager 1: Numbers employed (Full Time Equivalent)]],0),"")</f>
        <v>0</v>
      </c>
      <c r="NT26" s="30">
        <f>IFERROR(IF(AVERAGE(DATA[[#This Row],[Other manager 2: Current 2021/22 Minimum hourly pay rate ADJUSTED]],DATA[[#This Row],[Other manager 2: Current 2021/22 Maximum hourly pay rate ADJUSTED]])&lt;REAL_LIVING_WAGE_22_23,DATA[[#This Row],[Other manager 2: Numbers employed (Full Time Equivalent)]],0),"")</f>
        <v>0</v>
      </c>
      <c r="NU26" s="30">
        <f>IFERROR(IF(AVERAGE(DATA[[#This Row],[Other manager 3: Current 2021/22 Minimum hourly pay rate ADJUSTED]],DATA[[#This Row],[Other manager 3: Current 2021/22 Maximum hourly pay rate ADJUSTED]])&lt;REAL_LIVING_WAGE_22_23,DATA[[#This Row],[Other manager 3: Numbers employed (Full Time Equivalent)]],0),"")</f>
        <v>4</v>
      </c>
      <c r="NV26" s="30">
        <f>IFERROR(IF(AVERAGE(DATA[[#This Row],[Care Assistant 1: Current 2021/22 Minimum hourly pay rate ADJUSTED]],DATA[[#This Row],[Care Assistant 1: Current 2021/22 Maximum hourly pay rate ADJUSTED]])&lt;REAL_LIVING_WAGE_22_23,DATA[[#This Row],[Care Assistant 1: Numbers employed (Full Time Equivalent)]],0),"")</f>
        <v>0</v>
      </c>
      <c r="NW26" s="30">
        <f>IFERROR(IF(AVERAGE(DATA[[#This Row],[Care Assistant 2: Current 2021/22 Minimum hourly pay rate ADJUSTED]],DATA[[#This Row],[Care Assistant 2: Current 2021/22 Maximum hourly pay rate ADJUSTED]])&lt;REAL_LIVING_WAGE_22_23,DATA[[#This Row],[Care Assistant 2: Numbers employed (Full Time Equivalent)]],0),"")</f>
        <v>48</v>
      </c>
      <c r="NX26" s="30">
        <f>IFERROR(IF(AVERAGE(DATA[[#This Row],[Care Assistant 3: Current 2021/22 Minimum hourly pay rate ADJUSTED]],DATA[[#This Row],[Care Assistant 3: Current 2021/22 Maximum hourly pay rate ADJUSTED]])&lt;REAL_LIVING_WAGE_22_23,DATA[[#This Row],[Care Assistant 3: Numbers employed (Full Time Equivalent)]],0),"")</f>
        <v>65</v>
      </c>
      <c r="NY26" s="30">
        <f>IFERROR(IF(AVERAGE(DATA[[#This Row],[Care Assistant 4: Current 2021/22 Minimum hourly pay rate ADJUSTED]],DATA[[#This Row],[Care Assistant 4: Current 2021/22 Maximum hourly pay rate ADJUSTED]])&lt;REAL_LIVING_WAGE_22_23,DATA[[#This Row],[Care Assistant 4: Numbers employed (Full Time Equivalent)]],0),"")</f>
        <v>44</v>
      </c>
      <c r="NZ26"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6</v>
      </c>
      <c r="OA26"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4</v>
      </c>
      <c r="OB26" s="30" t="str">
        <f>IFERROR(IF(AVERAGE(DATA[[#This Row],[Other staff 1: Current 2021/22 Minimum hourly pay rate ADJUSTED]],DATA[[#This Row],[Other staff 1: Current 2021/22 Maximum hourly pay rate ADJUSTED]])&lt;REAL_LIVING_WAGE_22_23,DATA[[#This Row],[Other staff 1: Numbers employed (Full Time Equivalent)]],0),"")</f>
        <v/>
      </c>
      <c r="OC26" s="30" t="str">
        <f>IFERROR(IF(AVERAGE(DATA[[#This Row],[Other staff 2: Current 2021/22 Minimum hourly pay rate ADJUSTED]],DATA[[#This Row],[Other staff 2: Current 2021/22 Maximum hourly pay rate ADJUSTED]])&lt;REAL_LIVING_WAGE_22_23,DATA[[#This Row],[Other staff 2: Numbers employed (Full Time Equivalent)]],0),"")</f>
        <v/>
      </c>
      <c r="OD26" s="30" t="str">
        <f>IFERROR(IF(AVERAGE(DATA[[#This Row],[Other staff 3: Current 2021/22 Minimum hourly pay rate ADJUSTED]],DATA[[#This Row],[Other staff 3: Current 2021/22 Maximum hourly pay rate ADJUSTED]])&lt;REAL_LIVING_WAGE_22_23,DATA[[#This Row],[Other staff 3: Numbers employed (Full Time Equivalent)]],0),"")</f>
        <v/>
      </c>
      <c r="OE26" s="30">
        <f>SUM(DATA[[#This Row],[Registered Manager FTE earning less than RLW 23yrs 2022/23]:[Other staff 3 FTE earning less than RLW 23yrs 2022/23]])</f>
        <v>171</v>
      </c>
      <c r="OF26"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26"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26"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26"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26"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1.7800000000000011</v>
      </c>
      <c r="OK26"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26"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1.2000000000000171</v>
      </c>
      <c r="OM26"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17.875000000000021</v>
      </c>
      <c r="ON26"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22</v>
      </c>
      <c r="OO26"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1.8000000000000043</v>
      </c>
      <c r="OP26"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3.3999999999999986</v>
      </c>
      <c r="OQ26"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26"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26"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6" s="30">
        <f>IFERROR(IF(DATA[[#This Row],[Registered manager: Numbers employed (Full Time Equivalent)]]=0,"",DATA[[#This Row],[Registered manager: Current 2021/22 Minimum hourly pay rate ADJUSTED 2]]*DATA[[#This Row],[Registered manager: Numbers employed (Full Time Equivalent)]]),"")</f>
        <v>13.5</v>
      </c>
      <c r="OU26" s="30">
        <f>IFERROR(IF(DATA[[#This Row],[Registered manager: Numbers employed (Full Time Equivalent)]]=0,"",DATA[[#This Row],[Registered manager: Current 2021/22 Maximum hourly pay rate ADJUSTED 2]]*DATA[[#This Row],[Registered manager: Numbers employed (Full Time Equivalent)]]),"")</f>
        <v>14.5</v>
      </c>
      <c r="OV26" s="30">
        <f>IFERROR(IF(DATA[[#This Row],[Registered manager: Numbers employed (Full Time Equivalent)]]=0,"",DATA[[#This Row],[Registered manager: Previous 2020/21 Minimum hourly pay rate ADJUSTED 2]]*DATA[[#This Row],[Registered manager: Numbers employed (Full Time Equivalent)]]),"")</f>
        <v>12.5</v>
      </c>
      <c r="OW26" s="30">
        <f>IFERROR(IF(DATA[[#This Row],[Registered manager: Numbers employed (Full Time Equivalent)]]=0,"",DATA[[#This Row],[Registered manager: Previous 2020/21 Maximum hourly pay rate ADJUSTED 2]]*DATA[[#This Row],[Registered manager: Numbers employed (Full Time Equivalent)]]),"")</f>
        <v>13.5</v>
      </c>
      <c r="OX26" s="30">
        <f>IFERROR(IF(DATA[[#This Row],[Deputy manager: Numbers employed (Full Time Equivalent)]]=0,"",DATA[[#This Row],[Deputy manager: Current 2021/22 Minimum hourly pay rate ADJUSTED 2]]*DATA[[#This Row],[Deputy manager: Numbers employed (Full Time Equivalent)]]),"")</f>
        <v>12.5</v>
      </c>
      <c r="OY26" s="30">
        <f>IFERROR(IF(DATA[[#This Row],[Deputy manager: Numbers employed (Full Time Equivalent)]]=0,"",DATA[[#This Row],[Deputy manager: Current 2021/22 Maximum hourly pay rate ADJUSTED 2]]*DATA[[#This Row],[Deputy manager: Numbers employed (Full Time Equivalent)]]),"")</f>
        <v>13.5</v>
      </c>
      <c r="OZ26" s="30">
        <f>IFERROR(IF(DATA[[#This Row],[Deputy manager: Numbers employed (Full Time Equivalent)]]=0,"",DATA[[#This Row],[Deputy manager: Previous 2020/21 Minimum hourly pay rate ADJUSTED 2]]*DATA[[#This Row],[Deputy manager: Numbers employed (Full Time Equivalent)]]),"")</f>
        <v>11.5</v>
      </c>
      <c r="PA26" s="30">
        <f>IFERROR(IF(DATA[[#This Row],[Deputy manager: Numbers employed (Full Time Equivalent)]]=0,"",DATA[[#This Row],[Deputy manager: Previous 2020/21 Maximum hourly pay rate ADJUSTED 2]]*DATA[[#This Row],[Deputy manager: Numbers employed (Full Time Equivalent)]]),"")</f>
        <v>12.5</v>
      </c>
      <c r="PB26" s="30">
        <f>IFERROR(IF(DATA[[#This Row],[Other manager 1: Numbers employed (Full Time Equivalent)]]=0,"",DATA[[#This Row],[Other manager 1: Current 2021/22 Minimum hourly pay rate ADJUSTED 2]]*DATA[[#This Row],[Other manager 1: Numbers employed (Full Time Equivalent)]]),"")</f>
        <v>31.5</v>
      </c>
      <c r="PC26" s="30">
        <f>IFERROR(IF(DATA[[#This Row],[Other manager 1: Numbers employed (Full Time Equivalent)]]=0,"",DATA[[#This Row],[Other manager 1: Current 2021/22 Maximum hourly pay rate ADJUSTED 2]]*DATA[[#This Row],[Other manager 1: Numbers employed (Full Time Equivalent)]]),"")</f>
        <v>36</v>
      </c>
      <c r="PD26" s="30">
        <f>IFERROR(IF(DATA[[#This Row],[Other manager 1: Numbers employed (Full Time Equivalent)]]=0,"",DATA[[#This Row],[Other manager 1: Previous 2020/21 Minimum hourly pay rate ADJUSTED 2]]*DATA[[#This Row],[Other manager 1: Numbers employed (Full Time Equivalent)]]),"")</f>
        <v>28.5</v>
      </c>
      <c r="PE26" s="30">
        <f>IFERROR(IF(DATA[[#This Row],[Other manager 1: Numbers employed (Full Time Equivalent)]]=0,"",DATA[[#This Row],[Other manager 1: Previous 2020/21 Maximum hourly pay rate ADJUSTED 2]]*DATA[[#This Row],[Other manager 1: Numbers employed (Full Time Equivalent)]]),"")</f>
        <v>30</v>
      </c>
      <c r="PF26" s="30">
        <f>IFERROR(IF(DATA[[#This Row],[Other manager 2: Numbers employed (Full Time Equivalent)]]=0,"",DATA[[#This Row],[Other manager 2: Current 2021/22 Minimum hourly pay rate ADJUSTED 2]]*DATA[[#This Row],[Other manager 2: Numbers employed (Full Time Equivalent)]]),"")</f>
        <v>80</v>
      </c>
      <c r="PG26" s="30">
        <f>IFERROR(IF(DATA[[#This Row],[Other manager 2: Numbers employed (Full Time Equivalent)]]=0,"",DATA[[#This Row],[Other manager 2: Current 2021/22 Maximum hourly pay rate ADJUSTED 2]]*DATA[[#This Row],[Other manager 2: Numbers employed (Full Time Equivalent)]]),"")</f>
        <v>84</v>
      </c>
      <c r="PH26" s="30">
        <f>IFERROR(IF(DATA[[#This Row],[Other manager 2: Numbers employed (Full Time Equivalent)]]=0,"",DATA[[#This Row],[Other manager 2: Previous 2020/21 Minimum hourly pay rate ADJUSTED 2]]*DATA[[#This Row],[Other manager 2: Numbers employed (Full Time Equivalent)]]),"")</f>
        <v>72</v>
      </c>
      <c r="PI26" s="30">
        <f>IFERROR(IF(DATA[[#This Row],[Other manager 2: Numbers employed (Full Time Equivalent)]]=0,"",DATA[[#This Row],[Other manager 2: Previous 2020/21 Maximum hourly pay rate ADJUSTED 2]]*DATA[[#This Row],[Other manager 2: Numbers employed (Full Time Equivalent)]]),"")</f>
        <v>76</v>
      </c>
      <c r="PJ26" s="30">
        <f>IFERROR(IF(DATA[[#This Row],[Other manager 3: Numbers employed (Full Time Equivalent)]]=0,"",DATA[[#This Row],[Other manager 3: Current 2021/22 Minimum hourly pay rate ADJUSTED 2]]*DATA[[#This Row],[Other manager 3: Numbers employed (Full Time Equivalent)]]),"")</f>
        <v>35.64</v>
      </c>
      <c r="PK26" s="30">
        <f>IFERROR(IF(DATA[[#This Row],[Other manager 3: Numbers employed (Full Time Equivalent)]]=0,"",DATA[[#This Row],[Other manager 3: Current 2021/22 Maximum hourly pay rate ADJUSTED 2]]*DATA[[#This Row],[Other manager 3: Numbers employed (Full Time Equivalent)]]),"")</f>
        <v>40</v>
      </c>
      <c r="PL26" s="30">
        <f>IFERROR(IF(DATA[[#This Row],[Other manager 3: Numbers employed (Full Time Equivalent)]]=0,"",DATA[[#This Row],[Other manager 3: Previous 2020/21 Minimum hourly pay rate ADJUSTED 2]]*DATA[[#This Row],[Other manager 3: Numbers employed (Full Time Equivalent)]]),"")</f>
        <v>35.64</v>
      </c>
      <c r="PM26" s="30">
        <f>IFERROR(IF(DATA[[#This Row],[Other manager 3: Numbers employed (Full Time Equivalent)]]=0,"",DATA[[#This Row],[Other manager 3: Previous 2020/21 Maximum hourly pay rate ADJUSTED 2]]*DATA[[#This Row],[Other manager 3: Numbers employed (Full Time Equivalent)]]),"")</f>
        <v>40</v>
      </c>
      <c r="PN26" s="30">
        <f>IFERROR(IF(DATA[[#This Row],[Care Assistant 1: Numbers employed (Full Time Equivalent)]]=0,"",DATA[[#This Row],[Care Assistant 1: Current 2021/22 Minimum hourly pay rate ADJUSTED 2]]*DATA[[#This Row],[Care Assistant 1: Numbers employed (Full Time Equivalent)]]),"")</f>
        <v>180</v>
      </c>
      <c r="PO26" s="30">
        <f>IFERROR(IF(DATA[[#This Row],[Care Assistant 1: Numbers employed (Full Time Equivalent)]]=0,"",DATA[[#This Row],[Care Assistant 1: Current 2021/22 Maximum hourly pay rate ADJUSTED 2]]*DATA[[#This Row],[Care Assistant 1: Numbers employed (Full Time Equivalent)]]),"")</f>
        <v>198</v>
      </c>
      <c r="PP26" s="30">
        <f>IFERROR(IF(DATA[[#This Row],[Care Assistant 1: Numbers employed (Full Time Equivalent)]]=0,"",DATA[[#This Row],[Care Assistant 1: Previous 2020/21 Minimum hourly pay rate ADJUSTED 2]]*DATA[[#This Row],[Care Assistant 1: Numbers employed (Full Time Equivalent)]]),"")</f>
        <v>171</v>
      </c>
      <c r="PQ26" s="30">
        <f>IFERROR(IF(DATA[[#This Row],[Care Assistant 1: Numbers employed (Full Time Equivalent)]]=0,"",DATA[[#This Row],[Care Assistant 1: Previous 2020/21 Maximum hourly pay rate ADJUSTED 2]]*DATA[[#This Row],[Care Assistant 1: Numbers employed (Full Time Equivalent)]]),"")</f>
        <v>180</v>
      </c>
      <c r="PR26" s="30">
        <f>IFERROR(IF(DATA[[#This Row],[Care Assistant 2: Numbers employed (Full Time Equivalent)]]=0,"",DATA[[#This Row],[Care Assistant 2: Current 2021/22 Minimum hourly pay rate ADJUSTED 2]]*DATA[[#This Row],[Care Assistant 2: Numbers employed (Full Time Equivalent)]]),"")</f>
        <v>468</v>
      </c>
      <c r="PS26" s="30">
        <f>IFERROR(IF(DATA[[#This Row],[Care Assistant 2: Numbers employed (Full Time Equivalent)]]=0,"",DATA[[#This Row],[Care Assistant 2: Current 2021/22 Maximum hourly pay rate ADJUSTED 2]]*DATA[[#This Row],[Care Assistant 2: Numbers employed (Full Time Equivalent)]]),"")</f>
        <v>480</v>
      </c>
      <c r="PT26" s="30">
        <f>IFERROR(IF(DATA[[#This Row],[Care Assistant 2: Numbers employed (Full Time Equivalent)]]=0,"",DATA[[#This Row],[Care Assistant 2: Previous 2020/21 Minimum hourly pay rate ADJUSTED 2]]*DATA[[#This Row],[Care Assistant 2: Numbers employed (Full Time Equivalent)]]),"")</f>
        <v>446.40000000000003</v>
      </c>
      <c r="PU26" s="30">
        <f>IFERROR(IF(DATA[[#This Row],[Care Assistant 2: Numbers employed (Full Time Equivalent)]]=0,"",DATA[[#This Row],[Care Assistant 2: Previous 2020/21 Maximum hourly pay rate ADJUSTED 2]]*DATA[[#This Row],[Care Assistant 2: Numbers employed (Full Time Equivalent)]]),"")</f>
        <v>456</v>
      </c>
      <c r="PV26" s="30">
        <f>IFERROR(IF(DATA[[#This Row],[Care Assistant 3: Numbers employed (Full Time Equivalent)]]=0,"",DATA[[#This Row],[Care Assistant 3: Current 2021/22 Minimum hourly pay rate ADJUSTED 2]]*DATA[[#This Row],[Care Assistant 3: Numbers employed (Full Time Equivalent)]]),"")</f>
        <v>617.5</v>
      </c>
      <c r="PW26" s="30">
        <f>IFERROR(IF(DATA[[#This Row],[Care Assistant 3: Numbers employed (Full Time Equivalent)]]=0,"",DATA[[#This Row],[Care Assistant 3: Current 2021/22 Maximum hourly pay rate ADJUSTED 2]]*DATA[[#This Row],[Care Assistant 3: Numbers employed (Full Time Equivalent)]]),"")</f>
        <v>633.75</v>
      </c>
      <c r="PX26" s="30">
        <f>IFERROR(IF(DATA[[#This Row],[Care Assistant 3: Numbers employed (Full Time Equivalent)]]=0,"",DATA[[#This Row],[Care Assistant 3: Previous 2020/21 Minimum hourly pay rate ADJUSTED 2]]*DATA[[#This Row],[Care Assistant 3: Numbers employed (Full Time Equivalent)]]),"")</f>
        <v>585</v>
      </c>
      <c r="PY26" s="30">
        <f>IFERROR(IF(DATA[[#This Row],[Care Assistant 3: Numbers employed (Full Time Equivalent)]]=0,"",DATA[[#This Row],[Care Assistant 3: Previous 2020/21 Maximum hourly pay rate ADJUSTED 2]]*DATA[[#This Row],[Care Assistant 3: Numbers employed (Full Time Equivalent)]]),"")</f>
        <v>604.5</v>
      </c>
      <c r="PZ26" s="30">
        <f>IFERROR(IF(DATA[[#This Row],[Care Assistant 4: Numbers employed (Full Time Equivalent)]]=0,"",DATA[[#This Row],[Care Assistant 4: Current 2021/22 Minimum hourly pay rate ADJUSTED 2]]*DATA[[#This Row],[Care Assistant 4: Numbers employed (Full Time Equivalent)]]),"")</f>
        <v>409.20000000000005</v>
      </c>
      <c r="QA26" s="30">
        <f>IFERROR(IF(DATA[[#This Row],[Care Assistant 4: Numbers employed (Full Time Equivalent)]]=0,"",DATA[[#This Row],[Care Assistant 4: Current 2021/22 Maximum hourly pay rate ADJUSTED 2]]*DATA[[#This Row],[Care Assistant 4: Numbers employed (Full Time Equivalent)]]),"")</f>
        <v>418</v>
      </c>
      <c r="QB26" s="30">
        <f>IFERROR(IF(DATA[[#This Row],[Care Assistant 4: Numbers employed (Full Time Equivalent)]]=0,"",DATA[[#This Row],[Care Assistant 4: Previous 2020/21 Minimum hourly pay rate ADJUSTED 2]]*DATA[[#This Row],[Care Assistant 4: Numbers employed (Full Time Equivalent)]]),"")</f>
        <v>387.20000000000005</v>
      </c>
      <c r="QC26" s="30">
        <f>IFERROR(IF(DATA[[#This Row],[Care Assistant 4: Numbers employed (Full Time Equivalent)]]=0,"",DATA[[#This Row],[Care Assistant 4: Previous 2020/21 Maximum hourly pay rate ADJUSTED 2]]*DATA[[#This Row],[Care Assistant 4: Numbers employed (Full Time Equivalent)]]),"")</f>
        <v>396</v>
      </c>
      <c r="QD26" s="30">
        <f>IFERROR(IF(DATA[[#This Row],[Administrative Officer 1: Numbers employed (Full Time Equivalent)]]=0,"",DATA[[#This Row],[Administrative Officer 1: Current 2021/22 Minimum hourly pay rate ADJUSTED 2]]*DATA[[#This Row],[Administrative Officer 1: Numbers employed (Full Time Equivalent)]]),"")</f>
        <v>55.199999999999996</v>
      </c>
      <c r="QE26" s="30">
        <f>IFERROR(IF(DATA[[#This Row],[Administrative Officer 1: Numbers employed (Full Time Equivalent)]]=0,"",DATA[[#This Row],[Administrative Officer 1: Current 2021/22 Maximum hourly pay rate ADJUSTED 2]]*DATA[[#This Row],[Administrative Officer 1: Numbers employed (Full Time Equivalent)]]),"")</f>
        <v>60</v>
      </c>
      <c r="QF26" s="30">
        <f>IFERROR(IF(DATA[[#This Row],[Administrative Officer 1: Numbers employed (Full Time Equivalent)]]=0,"",DATA[[#This Row],[Administrative Officer 1: Previous 2020/21 Minimum hourly pay rate ADJUSTED 2]]*DATA[[#This Row],[Administrative Officer 1: Numbers employed (Full Time Equivalent)]]),"")</f>
        <v>54</v>
      </c>
      <c r="QG26" s="30">
        <f>IFERROR(IF(DATA[[#This Row],[Administrative Officer 1: Numbers employed (Full Time Equivalent)]]=0,"",DATA[[#This Row],[Administrative Officer 1: Previous 2020/21 Maximum hourly pay rate ADJUSTED 2]]*DATA[[#This Row],[Administrative Officer 1: Numbers employed (Full Time Equivalent)]]),"")</f>
        <v>57</v>
      </c>
      <c r="QH26" s="30">
        <f>IFERROR(IF(DATA[[#This Row],[Administrative Officer 2: Numbers employed (Full Time Equivalent)]]=0,"",DATA[[#This Row],[Administrative Officer 2: Current 2021/22 Minimum hourly pay rate ADJUSTED 2]]*DATA[[#This Row],[Administrative Officer 2: Numbers employed (Full Time Equivalent)]]),"")</f>
        <v>35.6</v>
      </c>
      <c r="QI26" s="30">
        <f>IFERROR(IF(DATA[[#This Row],[Administrative Officer 2: Numbers employed (Full Time Equivalent)]]=0,"",DATA[[#This Row],[Administrative Officer 2: Current 2021/22 Maximum hourly pay rate ADJUSTED 2]]*DATA[[#This Row],[Administrative Officer 2: Numbers employed (Full Time Equivalent)]]),"")</f>
        <v>36.799999999999997</v>
      </c>
      <c r="QJ26" s="30">
        <f>IFERROR(IF(DATA[[#This Row],[Administrative Officer 2: Numbers employed (Full Time Equivalent)]]=0,"",DATA[[#This Row],[Administrative Officer 2: Previous 2020/21 Minimum hourly pay rate ADJUSTED 2]]*DATA[[#This Row],[Administrative Officer 2: Numbers employed (Full Time Equivalent)]]),"")</f>
        <v>34.880000000000003</v>
      </c>
      <c r="QK26" s="30">
        <f>IFERROR(IF(DATA[[#This Row],[Administrative Officer 2: Numbers employed (Full Time Equivalent)]]=0,"",DATA[[#This Row],[Administrative Officer 2: Previous 2020/21 Maximum hourly pay rate ADJUSTED 2]]*DATA[[#This Row],[Administrative Officer 2: Numbers employed (Full Time Equivalent)]]),"")</f>
        <v>36</v>
      </c>
      <c r="QL26" s="30" t="str">
        <f>IFERROR(IF(DATA[[#This Row],[Administrative Officer 3: Numbers employed (Full Time Equivalent)]]=0,"",DATA[[#This Row],[Administrative Officer 3: Current 2021/22 Minimum hourly pay rate ADJUSTED 2]]*DATA[[#This Row],[Administrative Officer 3: Numbers employed (Full Time Equivalent)]]),"")</f>
        <v/>
      </c>
      <c r="QM26" s="30" t="str">
        <f>IFERROR(IF(DATA[[#This Row],[Administrative Officer 3: Numbers employed (Full Time Equivalent)]]=0,"",DATA[[#This Row],[Administrative Officer 3: Current 2021/22 Maximum hourly pay rate ADJUSTED 2]]*DATA[[#This Row],[Administrative Officer 3: Numbers employed (Full Time Equivalent)]]),"")</f>
        <v/>
      </c>
      <c r="QN26" s="30" t="str">
        <f>IFERROR(IF(DATA[[#This Row],[Administrative Officer 3: Numbers employed (Full Time Equivalent)]]=0,"",DATA[[#This Row],[Administrative Officer 3: Previous 2020/21 Minimum hourly pay rate ADJUSTED 2]]*DATA[[#This Row],[Administrative Officer 3: Numbers employed (Full Time Equivalent)]]),"")</f>
        <v/>
      </c>
      <c r="QO26" s="30" t="str">
        <f>IFERROR(IF(DATA[[#This Row],[Administrative Officer 3: Numbers employed (Full Time Equivalent)]]=0,"",DATA[[#This Row],[Administrative Officer 3: Previous 2020/21 Maximum hourly pay rate ADJUSTED 2]]*DATA[[#This Row],[Administrative Officer 3: Numbers employed (Full Time Equivalent)]]),"")</f>
        <v/>
      </c>
      <c r="QP26" s="28" t="str">
        <f>IFERROR(IF(DATA[[#This Row],[Other staff 1: Numbers employed (Full Time Equivalent)]]=0,"",DATA[[#This Row],[Other staff 1: Current 2021/22 Minimum hourly pay rate ADJUSTED 2]]*DATA[[#This Row],[Other staff 1: Numbers employed (Full Time Equivalent)]]),"")</f>
        <v/>
      </c>
      <c r="QQ26" s="28" t="str">
        <f>IFERROR(IF(DATA[[#This Row],[Other staff 1: Numbers employed (Full Time Equivalent)]]=0,"",DATA[[#This Row],[Other staff 1: Current 2021/22 Maximum hourly pay rate ADJUSTED 2]]*DATA[[#This Row],[Other staff 1: Numbers employed (Full Time Equivalent)]]),"")</f>
        <v/>
      </c>
      <c r="QR26" s="28" t="str">
        <f>IFERROR(IF(DATA[[#This Row],[Other staff 1: Numbers employed (Full Time Equivalent)]]=0,"",DATA[[#This Row],[Other staff 1: Previous 2020/21 Minimum hourly pay rate ADJUSTED 2]]*DATA[[#This Row],[Other staff 1: Numbers employed (Full Time Equivalent)]]),"")</f>
        <v/>
      </c>
      <c r="QS26" s="28" t="str">
        <f>IFERROR(IF(DATA[[#This Row],[Other staff 1: Numbers employed (Full Time Equivalent)]]=0,"",DATA[[#This Row],[Other staff 1: Previous 2020/21 Maximum hourly pay rate ADJUSTED 2]]*DATA[[#This Row],[Other staff 1: Numbers employed (Full Time Equivalent)]]),"")</f>
        <v/>
      </c>
      <c r="QT26" s="28" t="str">
        <f>IFERROR(IF(DATA[[#This Row],[Other staff 2: Numbers employed (Full Time Equivalent)]]=0,"",DATA[[#This Row],[Other staff 2: Current 2021/22 Minimum hourly pay rate ADJUSTED 2]]*DATA[[#This Row],[Other staff 2: Numbers employed (Full Time Equivalent)]]),"")</f>
        <v/>
      </c>
      <c r="QU26" s="28" t="str">
        <f>IFERROR(IF(DATA[[#This Row],[Other staff 2: Numbers employed (Full Time Equivalent)]]=0,"",DATA[[#This Row],[Other staff 2: Current 2021/22 Maximum hourly pay rate ADJUSTED 2]]*DATA[[#This Row],[Other staff 2: Numbers employed (Full Time Equivalent)]]),"")</f>
        <v/>
      </c>
      <c r="QV26" s="28" t="str">
        <f>IFERROR(IF(DATA[[#This Row],[Other staff 2: Numbers employed (Full Time Equivalent)]]=0,"",DATA[[#This Row],[Other staff 2: Previous 2020/21 Minimum hourly pay rate ADJUSTED 2]]*DATA[[#This Row],[Other staff 2: Numbers employed (Full Time Equivalent)]]),"")</f>
        <v/>
      </c>
      <c r="QW26" s="28" t="str">
        <f>IFERROR(IF(DATA[[#This Row],[Other staff 2: Numbers employed (Full Time Equivalent)]]=0,"",DATA[[#This Row],[Other staff 2: Previous 2020/21 Maximum hourly pay rate ADJUSTED 2]]*DATA[[#This Row],[Other staff 2: Numbers employed (Full Time Equivalent)]]),"")</f>
        <v/>
      </c>
      <c r="QX26" s="28" t="str">
        <f>IFERROR(IF(DATA[[#This Row],[Other staff 3: Numbers employed (Full Time Equivalent)]]=0,"",DATA[[#This Row],[Other staff 3: Current 2021/22 Minimum hourly pay rate ADJUSTED 2]]*DATA[[#This Row],[Other staff 3: Numbers employed (Full Time Equivalent)]]),"")</f>
        <v/>
      </c>
      <c r="QY26" s="28" t="str">
        <f>IFERROR(IF(DATA[[#This Row],[Other staff 3: Numbers employed (Full Time Equivalent)]]=0,"",DATA[[#This Row],[Other staff 3: Current 2021/22 Maximum hourly pay rate ADJUSTED 2]]*DATA[[#This Row],[Other staff 3: Numbers employed (Full Time Equivalent)]]),"")</f>
        <v/>
      </c>
      <c r="QZ26" s="28" t="str">
        <f>IFERROR(IF(DATA[[#This Row],[Other staff 3: Numbers employed (Full Time Equivalent)]]=0,"",DATA[[#This Row],[Other staff 3: Previous 2020/21 Minimum hourly pay rate ADJUSTED 2]]*DATA[[#This Row],[Other staff 3: Numbers employed (Full Time Equivalent)]]),"")</f>
        <v/>
      </c>
      <c r="RA26" s="28" t="str">
        <f>IFERROR(IF(DATA[[#This Row],[Other staff 3: Numbers employed (Full Time Equivalent)]]=0,"",DATA[[#This Row],[Other staff 3: Previous 2020/21 Maximum hourly pay rate ADJUSTED 2]]*DATA[[#This Row],[Other staff 3: Numbers employed (Full Time Equivalent)]]),"")</f>
        <v/>
      </c>
      <c r="RB26"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26"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26"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3</v>
      </c>
      <c r="RE26"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8</v>
      </c>
      <c r="RF26"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4</v>
      </c>
      <c r="RG26"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18</v>
      </c>
      <c r="RH26"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48</v>
      </c>
      <c r="RI26"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65</v>
      </c>
      <c r="RJ26"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44</v>
      </c>
      <c r="RK26"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6</v>
      </c>
      <c r="RL26"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4</v>
      </c>
      <c r="RM26"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26"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26"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26"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7" spans="7:484" x14ac:dyDescent="0.25">
      <c r="G27" s="2">
        <v>21</v>
      </c>
      <c r="H27" s="2">
        <v>49</v>
      </c>
      <c r="I27" s="2">
        <v>0</v>
      </c>
      <c r="J27" s="2">
        <v>0</v>
      </c>
      <c r="K27" s="2">
        <v>0</v>
      </c>
      <c r="L27" s="2" t="s">
        <v>328</v>
      </c>
      <c r="M27" s="2" t="s">
        <v>365</v>
      </c>
      <c r="R27" s="2">
        <v>20.51</v>
      </c>
      <c r="S27" s="2">
        <v>20.51</v>
      </c>
      <c r="T27" s="2">
        <v>20.51</v>
      </c>
      <c r="U27" s="2">
        <v>20.51</v>
      </c>
      <c r="V27" s="2">
        <v>1</v>
      </c>
      <c r="W27" s="2">
        <v>15.9</v>
      </c>
      <c r="X27" s="2">
        <v>15.9</v>
      </c>
      <c r="Y27" s="2">
        <v>15.9</v>
      </c>
      <c r="Z27" s="2">
        <v>15.9</v>
      </c>
      <c r="AA27" s="2">
        <v>1</v>
      </c>
      <c r="AB27" s="2" t="s">
        <v>420</v>
      </c>
      <c r="AC27" s="2">
        <v>20.51</v>
      </c>
      <c r="AD27" s="2">
        <v>20.51</v>
      </c>
      <c r="AE27" s="2">
        <v>20.51</v>
      </c>
      <c r="AF27" s="2">
        <v>20.51</v>
      </c>
      <c r="AG27" s="2">
        <v>1</v>
      </c>
      <c r="AH27" s="2" t="s">
        <v>421</v>
      </c>
      <c r="AI27" s="2">
        <v>12.92</v>
      </c>
      <c r="AJ27" s="2">
        <v>12.92</v>
      </c>
      <c r="AK27" s="2">
        <v>12.92</v>
      </c>
      <c r="AL27" s="2">
        <v>12.92</v>
      </c>
      <c r="AM27" s="2">
        <v>1</v>
      </c>
      <c r="AN27" s="2" t="s">
        <v>422</v>
      </c>
      <c r="AO27" s="2">
        <v>10</v>
      </c>
      <c r="AP27" s="2">
        <v>10</v>
      </c>
      <c r="AQ27" s="2">
        <v>10</v>
      </c>
      <c r="AR27" s="2">
        <v>10</v>
      </c>
      <c r="AS27" s="2">
        <v>2</v>
      </c>
      <c r="AT27" s="2" t="s">
        <v>399</v>
      </c>
      <c r="AU27" s="2">
        <v>9.5</v>
      </c>
      <c r="AV27" s="2">
        <v>9.5</v>
      </c>
      <c r="AW27" s="2">
        <v>9</v>
      </c>
      <c r="AX27" s="2">
        <v>9</v>
      </c>
      <c r="AY27" s="2"/>
      <c r="AZ27" s="2" t="s">
        <v>400</v>
      </c>
      <c r="BA27" s="2">
        <v>9.75</v>
      </c>
      <c r="BB27" s="2">
        <v>9.75</v>
      </c>
      <c r="BC27" s="2">
        <v>9.15</v>
      </c>
      <c r="BD27" s="2">
        <v>9.15</v>
      </c>
      <c r="BE27" s="2">
        <v>0</v>
      </c>
      <c r="BF27" s="2" t="s">
        <v>316</v>
      </c>
      <c r="BG27" s="2">
        <v>0</v>
      </c>
      <c r="BH27" s="2">
        <v>0</v>
      </c>
      <c r="BI27" s="2">
        <v>0</v>
      </c>
      <c r="BJ27" s="2">
        <v>0</v>
      </c>
      <c r="BK27" s="2">
        <v>0</v>
      </c>
      <c r="BL27" s="2" t="s">
        <v>316</v>
      </c>
      <c r="BM27" s="2">
        <v>0</v>
      </c>
      <c r="BN27" s="2">
        <v>0</v>
      </c>
      <c r="BO27" s="2">
        <v>0</v>
      </c>
      <c r="BP27" s="2">
        <v>0</v>
      </c>
      <c r="BQ27" s="2">
        <v>0</v>
      </c>
      <c r="BR27" s="2" t="s">
        <v>423</v>
      </c>
      <c r="BS27" s="2">
        <v>10</v>
      </c>
      <c r="BT27" s="2">
        <v>10</v>
      </c>
      <c r="BU27" s="2">
        <v>10</v>
      </c>
      <c r="BV27" s="2">
        <v>10</v>
      </c>
      <c r="BW27" s="2">
        <v>1</v>
      </c>
      <c r="BX27" s="2" t="s">
        <v>424</v>
      </c>
      <c r="BY27" s="2">
        <v>8</v>
      </c>
      <c r="BZ27" s="2">
        <v>8</v>
      </c>
      <c r="CA27" s="2">
        <v>7.75</v>
      </c>
      <c r="CB27" s="2">
        <v>7.75</v>
      </c>
      <c r="CC27" s="2">
        <v>1</v>
      </c>
      <c r="CD27" s="2" t="s">
        <v>317</v>
      </c>
      <c r="CE27" s="2">
        <v>0</v>
      </c>
      <c r="CF27" s="2">
        <v>0</v>
      </c>
      <c r="CG27" s="2">
        <v>0</v>
      </c>
      <c r="CH27" s="2">
        <v>0</v>
      </c>
      <c r="CI27" s="2">
        <v>0</v>
      </c>
      <c r="CJ27" s="2" t="s">
        <v>318</v>
      </c>
      <c r="CK27" s="2">
        <v>0</v>
      </c>
      <c r="CL27" s="2">
        <v>0</v>
      </c>
      <c r="CM27" s="2">
        <v>0</v>
      </c>
      <c r="CN27" s="2">
        <v>0</v>
      </c>
      <c r="CO27" s="2">
        <v>0</v>
      </c>
      <c r="CP27" s="2" t="s">
        <v>318</v>
      </c>
      <c r="CQ27" s="2">
        <v>0</v>
      </c>
      <c r="CR27" s="2">
        <v>0</v>
      </c>
      <c r="CS27" s="2">
        <v>0</v>
      </c>
      <c r="CT27" s="2">
        <v>0</v>
      </c>
      <c r="CU27" s="2">
        <v>0</v>
      </c>
      <c r="CV27" s="2" t="s">
        <v>318</v>
      </c>
      <c r="CW27" s="2">
        <v>0</v>
      </c>
      <c r="CX27" s="2">
        <v>0</v>
      </c>
      <c r="CY27" s="2">
        <v>0</v>
      </c>
      <c r="CZ27" s="2">
        <v>0</v>
      </c>
      <c r="DA27" s="2">
        <v>0</v>
      </c>
      <c r="DB27" s="2">
        <v>0.02</v>
      </c>
      <c r="DC27" s="2">
        <v>700</v>
      </c>
      <c r="DD27" s="2">
        <v>3024</v>
      </c>
      <c r="DE27" s="2">
        <v>600</v>
      </c>
      <c r="DF27" s="2">
        <v>0</v>
      </c>
      <c r="DG27" s="2">
        <v>240</v>
      </c>
      <c r="DH27" s="2">
        <v>70</v>
      </c>
      <c r="DI27" s="2">
        <v>0</v>
      </c>
      <c r="DJ27" s="2">
        <v>0</v>
      </c>
      <c r="DK27" s="2">
        <v>0</v>
      </c>
      <c r="DL27" s="2">
        <v>0</v>
      </c>
      <c r="DM27" s="2">
        <v>0</v>
      </c>
      <c r="DN27" s="2">
        <v>0</v>
      </c>
      <c r="DO27" s="2">
        <v>17</v>
      </c>
      <c r="DP27" s="2">
        <v>18</v>
      </c>
      <c r="DQ27" s="2">
        <v>15</v>
      </c>
      <c r="DR27" s="18">
        <v>43770</v>
      </c>
      <c r="DS27" s="18">
        <v>37560</v>
      </c>
      <c r="DT27" s="2">
        <v>42000</v>
      </c>
      <c r="DU27" s="2">
        <v>155699</v>
      </c>
      <c r="DV27" s="2">
        <v>660902</v>
      </c>
      <c r="DW27" s="2">
        <v>35100</v>
      </c>
      <c r="DX27" s="2">
        <v>0</v>
      </c>
      <c r="DY27" s="2">
        <v>0</v>
      </c>
      <c r="DZ27" s="2">
        <v>0</v>
      </c>
      <c r="EA27" s="2">
        <v>50000</v>
      </c>
      <c r="EB27" s="2">
        <v>15000</v>
      </c>
      <c r="EC27" s="2">
        <v>24000</v>
      </c>
      <c r="ED27" s="2">
        <v>0</v>
      </c>
      <c r="EE27" s="2">
        <v>25000</v>
      </c>
      <c r="EF27" s="2">
        <v>30000</v>
      </c>
      <c r="EG27" s="2">
        <v>15000</v>
      </c>
      <c r="EH27" s="2" t="s">
        <v>324</v>
      </c>
      <c r="EI27" s="2">
        <v>0</v>
      </c>
      <c r="EJ27" s="2" t="s">
        <v>324</v>
      </c>
      <c r="EK27" s="2">
        <v>0</v>
      </c>
      <c r="EL27" s="2"/>
      <c r="EM27" s="2">
        <v>5257</v>
      </c>
      <c r="EN27" s="2">
        <v>2970</v>
      </c>
      <c r="EO27" s="2">
        <v>30000</v>
      </c>
      <c r="EP27" s="2">
        <v>0</v>
      </c>
      <c r="EQ27" s="2">
        <v>3690</v>
      </c>
      <c r="ER27" s="2">
        <v>0</v>
      </c>
      <c r="ES27" s="2">
        <v>0</v>
      </c>
      <c r="ET27" s="2" t="s">
        <v>324</v>
      </c>
      <c r="EU27" s="2">
        <v>0</v>
      </c>
      <c r="EV27" s="2" t="s">
        <v>324</v>
      </c>
      <c r="EW27" s="2">
        <v>0</v>
      </c>
      <c r="EX27" s="2">
        <v>0</v>
      </c>
      <c r="EY27" s="2">
        <v>0</v>
      </c>
      <c r="EZ27" s="2" t="s">
        <v>326</v>
      </c>
      <c r="FA27" s="2">
        <v>0</v>
      </c>
      <c r="FB27" s="2" t="s">
        <v>326</v>
      </c>
      <c r="FC27" s="2">
        <v>0</v>
      </c>
      <c r="FD27" s="2">
        <v>61985</v>
      </c>
      <c r="FE27" s="2"/>
      <c r="FF27" s="2">
        <v>0</v>
      </c>
      <c r="FG27" s="2"/>
      <c r="FH27" s="19">
        <v>44480.623900462961</v>
      </c>
      <c r="FI27" s="2" t="s">
        <v>345</v>
      </c>
      <c r="FJ27" s="2">
        <f>SUM(DATA[[#This Row],[Number of Home support clients:]],DATA[[#This Row],[Number of supported living clients:]])</f>
        <v>49</v>
      </c>
      <c r="FK27"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41-50</v>
      </c>
      <c r="FL27"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20.51</v>
      </c>
      <c r="FM27"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20.51</v>
      </c>
      <c r="FN27"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20.51</v>
      </c>
      <c r="FO27"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20.51</v>
      </c>
      <c r="FP27"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15.9</v>
      </c>
      <c r="FQ27"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15.9</v>
      </c>
      <c r="FR27"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15.9</v>
      </c>
      <c r="FS27"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15.9</v>
      </c>
      <c r="FT27"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20.51</v>
      </c>
      <c r="FU27"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20.51</v>
      </c>
      <c r="FV27"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20.51</v>
      </c>
      <c r="FW27"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20.51</v>
      </c>
      <c r="FX27"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12.92</v>
      </c>
      <c r="FY27"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12.92</v>
      </c>
      <c r="FZ27"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12.92</v>
      </c>
      <c r="GA27"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12.92</v>
      </c>
      <c r="GB27"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10</v>
      </c>
      <c r="GC27"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10</v>
      </c>
      <c r="GD27"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10</v>
      </c>
      <c r="GE27"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10</v>
      </c>
      <c r="GF27"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9.5</v>
      </c>
      <c r="GG27"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9.5</v>
      </c>
      <c r="GH27"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v>
      </c>
      <c r="GI27"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v>
      </c>
      <c r="GJ27"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9.75</v>
      </c>
      <c r="GK27"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9.75</v>
      </c>
      <c r="GL27"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9.15</v>
      </c>
      <c r="GM27"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9.15</v>
      </c>
      <c r="GN27"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27"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27"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27"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27"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27"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27"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27"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27"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v>
      </c>
      <c r="GW27"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v>
      </c>
      <c r="GX27"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v>
      </c>
      <c r="GY27"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v>
      </c>
      <c r="GZ27"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8</v>
      </c>
      <c r="HA27"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8</v>
      </c>
      <c r="HB27"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7.75</v>
      </c>
      <c r="HC27"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7.75</v>
      </c>
      <c r="HD27"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27"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27"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27"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27"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27"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27"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27"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27"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27"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27"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27"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27"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7"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7"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7"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7"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20.51</v>
      </c>
      <c r="HU27"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20.51</v>
      </c>
      <c r="HV27"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20.51</v>
      </c>
      <c r="HW27"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20.51</v>
      </c>
      <c r="HX27"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15.9</v>
      </c>
      <c r="HY27"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15.9</v>
      </c>
      <c r="HZ27"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15.9</v>
      </c>
      <c r="IA27"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15.9</v>
      </c>
      <c r="IB27"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20.51</v>
      </c>
      <c r="IC27"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20.51</v>
      </c>
      <c r="ID27"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20.51</v>
      </c>
      <c r="IE27"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20.51</v>
      </c>
      <c r="IF27"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12.92</v>
      </c>
      <c r="IG27"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12.92</v>
      </c>
      <c r="IH27"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12.92</v>
      </c>
      <c r="II27"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12.92</v>
      </c>
      <c r="IJ27"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10</v>
      </c>
      <c r="IK27"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10</v>
      </c>
      <c r="IL27"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10</v>
      </c>
      <c r="IM27"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10</v>
      </c>
      <c r="IN27"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9.5</v>
      </c>
      <c r="IO27"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9.5</v>
      </c>
      <c r="IP27"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v>
      </c>
      <c r="IQ27"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v>
      </c>
      <c r="IR27"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9.75</v>
      </c>
      <c r="IS27"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9.75</v>
      </c>
      <c r="IT27"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9.15</v>
      </c>
      <c r="IU27"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9.15</v>
      </c>
      <c r="IV27"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27"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27"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27"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27"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27"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27"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27"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27"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v>
      </c>
      <c r="JE27"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v>
      </c>
      <c r="JF27"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v>
      </c>
      <c r="JG27"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v>
      </c>
      <c r="JH27"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8</v>
      </c>
      <c r="JI27"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8</v>
      </c>
      <c r="JJ27"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7.75</v>
      </c>
      <c r="JK27"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7.75</v>
      </c>
      <c r="JL27"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27"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27"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27"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27"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27"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27"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27"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27"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27"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27"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27"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27"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7"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7"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7"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7"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6</v>
      </c>
      <c r="KC27" s="21">
        <f>SUM(DATA[[#This Row],[Care Assistant 1: Numbers employed (Full Time Equivalent)]],DATA[[#This Row],[Care Assistant 2: Numbers employed (Full Time Equivalent)]],DATA[[#This Row],[Care Assistant 3: Numbers employed (Full Time Equivalent)]],DATA[[#This Row],[Care Assistant 4: Numbers employed (Full Time Equivalent)]])</f>
        <v>0</v>
      </c>
      <c r="KD27" s="21">
        <f>SUM(DATA[[#This Row],[Administrative Officer 1: Numbers employed (Full Time Equivalent)]],DATA[[#This Row],[Administrative Officer 2: Numbers employed (Full Time Equivalent)]])</f>
        <v>2</v>
      </c>
      <c r="KE27" s="21">
        <f>SUM(DATA[[#This Row],[Other staff 1: Numbers employed (Full Time Equivalent)]],DATA[[#This Row],[Other staff 2: Numbers employed (Full Time Equivalent)]],DATA[[#This Row],[Other staff 3: Numbers employed (Full Time Equivalent)]])</f>
        <v>0</v>
      </c>
      <c r="KF27" s="21">
        <f>SUM(DATA[[#This Row],[Total FTE Management Employees]:[Total FTE Other Employees]])</f>
        <v>8</v>
      </c>
      <c r="KG27" s="21" t="str">
        <f>IF(SUM(DATA[[#This Row],[Home Support service split percentage (Expenditure):]],DATA[[#This Row],[Supported Living service split percentage (Expenditure):]])&gt;0, IF(DATA[[#This Row],[Home Support service split percentage (Expenditure):]]&gt;0.5,"Home Support","Supported Living"), "Unknown")</f>
        <v>Unknown</v>
      </c>
      <c r="KH27" s="21">
        <f>SUM(DATA[[#This Row],[Home Support: Birmingham City Council]:[Home Support: Self-funded]])</f>
        <v>4634</v>
      </c>
      <c r="KI27" s="21">
        <f>SUM(DATA[[#This Row],[Supported Living: Birmingham City Council]:[Supported Living: Self-funded]])</f>
        <v>0</v>
      </c>
      <c r="KJ27"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89.84</v>
      </c>
      <c r="KK27"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89.84</v>
      </c>
      <c r="KL27"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89.84</v>
      </c>
      <c r="KM27"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89.84</v>
      </c>
      <c r="KN27" s="21" t="b">
        <f>SUM(DATA[[#This Row],[Number of hours of care charged for in last full accounting year]:[Corporate Overheads: Other  - please specify (category) 1]])&gt;0</f>
        <v>1</v>
      </c>
      <c r="KO27" s="21">
        <f>SUM(DATA[[#This Row],[Total annual expenditure: Management staff]:[Total annual expenditure: Training and development]])</f>
        <v>916701</v>
      </c>
      <c r="KP27" s="21">
        <f>SUM(DATA[[#This Row],[Recruitment &amp; advertising (including DBS checks)]:[Non-Staffing Direct Cost: Other  - please specify (amount) 2]])</f>
        <v>94000</v>
      </c>
      <c r="KQ27" s="21">
        <f>SUM(DATA[[#This Row],[Insurance ]:[Indirect costs: Other 2 - please specify (amount)]])</f>
        <v>41917</v>
      </c>
      <c r="KR27" s="21">
        <f>SUM(DATA[[#This Row],[Central / Regional Management]],DATA[[#This Row],[Support Services (finance / HR / Payroll / legal etc.)]],DATA[[#This Row],[Corporate Overheads: Other  - please specify (amount) 1]],DATA[[#This Row],[Corporate Overheads: Other  - please specify (amount) 2]])</f>
        <v>0</v>
      </c>
      <c r="KS27"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3.7071190476190474</v>
      </c>
      <c r="KT27"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15.735761904761905</v>
      </c>
      <c r="KU27"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0.83571428571428574</v>
      </c>
      <c r="KV27"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27"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27"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27" s="30">
        <f>IF(OR(NOT(DATA[[#This Row],[Total annual expenditure: Travel Time]]&gt;0),NOT(DATA[[#This Row],[Number of hours of care charged for in last full accounting year]]&gt;0)),0,DATA[[#This Row],[Total annual expenditure: Travel Time]]/DATA[[#This Row],[Number of hours of care charged for in last full accounting year]])</f>
        <v>1.1904761904761905</v>
      </c>
      <c r="KZ27"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0.35714285714285715</v>
      </c>
      <c r="LA27"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0.5714285714285714</v>
      </c>
      <c r="LB27"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27" s="30">
        <f>IF(OR(NOT(DATA[[#This Row],[Care consumables &amp; uniforms]]&gt;0),NOT(DATA[[#This Row],[Number of hours of care charged for in last full accounting year]]&gt;0)),0,DATA[[#This Row],[Care consumables &amp; uniforms]]/DATA[[#This Row],[Number of hours of care charged for in last full accounting year]])</f>
        <v>0.59523809523809523</v>
      </c>
      <c r="LD27" s="30">
        <f>IF(OR(NOT(DATA[[#This Row],[Electronic call monitoring]]&gt;0),NOT(DATA[[#This Row],[Number of hours of care charged for in last full accounting year]]&gt;0)),0,DATA[[#This Row],[Electronic call monitoring]]/DATA[[#This Row],[Number of hours of care charged for in last full accounting year]])</f>
        <v>0.7142857142857143</v>
      </c>
      <c r="LE27" s="30">
        <f>IF(OR(NOT(DATA[[#This Row],[IT Equipment &amp; Telephoney]]&gt;0),NOT(DATA[[#This Row],[Number of hours of care charged for in last full accounting year]]&gt;0)),0,DATA[[#This Row],[IT Equipment &amp; Telephoney]]/DATA[[#This Row],[Number of hours of care charged for in last full accounting year]])</f>
        <v>0.35714285714285715</v>
      </c>
      <c r="LF27"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27"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27" s="30">
        <f>IF(OR(NOT(DATA[[#This Row],[Insurance ]]&gt;0),NOT(DATA[[#This Row],[Number of hours of care charged for in last full accounting year]]&gt;0)),0,DATA[[#This Row],[Insurance ]]/DATA[[#This Row],[Number of hours of care charged for in last full accounting year]])</f>
        <v>0</v>
      </c>
      <c r="LI27"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0.12516666666666668</v>
      </c>
      <c r="LJ27" s="30">
        <f>IF(OR(NOT(DATA[[#This Row],[Repairs and maintenance]]&gt;0),NOT(DATA[[#This Row],[Number of hours of care charged for in last full accounting year]]&gt;0)),0,DATA[[#This Row],[Repairs and maintenance]]/DATA[[#This Row],[Number of hours of care charged for in last full accounting year]])</f>
        <v>7.0714285714285716E-2</v>
      </c>
      <c r="LK27"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0.7142857142857143</v>
      </c>
      <c r="LL27" s="30">
        <f>IF(OR(NOT(DATA[[#This Row],[Registration &amp; Inspection fees ]]&gt;0),NOT(DATA[[#This Row],[Number of hours of care charged for in last full accounting year]]&gt;0)),0,DATA[[#This Row],[Registration &amp; Inspection fees ]]/DATA[[#This Row],[Number of hours of care charged for in last full accounting year]])</f>
        <v>0</v>
      </c>
      <c r="LM27" s="30">
        <f>IF(OR(NOT(DATA[[#This Row],[Subscriptions]]&gt;0),NOT(DATA[[#This Row],[Number of hours of care charged for in last full accounting year]]&gt;0)),0,DATA[[#This Row],[Subscriptions]]/DATA[[#This Row],[Number of hours of care charged for in last full accounting year]])</f>
        <v>8.7857142857142856E-2</v>
      </c>
      <c r="LN27" s="30">
        <f>IF(OR(NOT(DATA[[#This Row],[Cost of finance]]&gt;0),NOT(DATA[[#This Row],[Number of hours of care charged for in last full accounting year]]&gt;0)),0,DATA[[#This Row],[Cost of finance]]/DATA[[#This Row],[Number of hours of care charged for in last full accounting year]])</f>
        <v>0</v>
      </c>
      <c r="LO27" s="30">
        <f>IF(OR(NOT(DATA[[#This Row],[Other non-staff current expenses]]&gt;0),NOT(DATA[[#This Row],[Number of hours of care charged for in last full accounting year]]&gt;0)),0,DATA[[#This Row],[Other non-staff current expenses]]/DATA[[#This Row],[Number of hours of care charged for in last full accounting year]])</f>
        <v>0</v>
      </c>
      <c r="LP27"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27"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27" s="30">
        <f>IF(OR(NOT(DATA[[#This Row],[Central / Regional Management]]&gt;0),NOT(DATA[[#This Row],[Number of hours of care charged for in last full accounting year]]&gt;0)),0,DATA[[#This Row],[Central / Regional Management]]/DATA[[#This Row],[Number of hours of care charged for in last full accounting year]])</f>
        <v>0</v>
      </c>
      <c r="LS27"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27"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7"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7" s="30">
        <f>SUM(DATA[[#This Row],[Management staff HOURLY RATE]:[Corporate Overheads: Other  - please specify (amount) 2 HOURLY RATE]])</f>
        <v>25.062333333333335</v>
      </c>
      <c r="LW27" s="30">
        <f>IF(OR(NOT(DATA[[#This Row],[Net Operating Profit]]&gt;0),NOT(DATA[[#This Row],[Number of hours of care charged for in last full accounting year]]&gt;0)),"",DATA[[#This Row],[Net Operating Profit]]/DATA[[#This Row],[Number of hours of care charged for in last full accounting year]])</f>
        <v>1.4758333333333333</v>
      </c>
      <c r="LX27" s="30">
        <f>IF(OR(NOT(DATA[[#This Row],[Return on Capital employed]]&gt;0),NOT(DATA[[#This Row],[Number of hours of care charged for in last full accounting year]]&gt;0)),0,DATA[[#This Row],[Return on Capital employed]]/DATA[[#This Row],[Number of hours of care charged for in last full accounting year]])</f>
        <v>0</v>
      </c>
      <c r="LY27" s="31">
        <v>21</v>
      </c>
      <c r="LZ27" s="30" t="s">
        <v>345</v>
      </c>
      <c r="MA27" s="30" t="b">
        <f>DATA[[#This Row],[Number of Home support clients:]]&gt;0</f>
        <v>1</v>
      </c>
      <c r="MB27" s="30" t="b">
        <f>DATA[[#This Row],[Number of supported living clients:]]&gt;0</f>
        <v>0</v>
      </c>
      <c r="MC27" s="30" t="b">
        <f>DATA[[#This Row],[Total Home Support Hours]]&gt;0</f>
        <v>1</v>
      </c>
      <c r="MD27" s="30" t="b">
        <f>DATA[[#This Row],[Total Supported Living Hours]]&gt;0</f>
        <v>0</v>
      </c>
      <c r="ME27" s="30" t="b">
        <f>DATA[[#This Row],[Home Support service split percentage (Expenditure):]]&gt;0.5</f>
        <v>0</v>
      </c>
      <c r="MF27" s="30" t="b">
        <f>DATA[[#This Row],[Agency staff HOURLY RATE]]=0</f>
        <v>1</v>
      </c>
      <c r="MG27" s="30">
        <f>IFERROR(IF(AVERAGE(DATA[[#This Row],[Registered manager: Current 2021/22 Minimum hourly pay rate ADJUSTED]],DATA[[#This Row],[Registered manager: Current 2021/22 Maximum hourly pay rate ADJUSTED]])&lt;LIVING_WAGE_22_23,DATA[[#This Row],[Registered manager: Numbers employed (Full Time Equivalent)]],0),"")</f>
        <v>0</v>
      </c>
      <c r="MH27" s="30">
        <f>IFERROR(IF(AVERAGE(DATA[[#This Row],[Deputy manager: Current 2021/22 Minimum hourly pay rate ADJUSTED]],DATA[[#This Row],[Deputy manager: Current 2021/22 Maximum hourly pay rate ADJUSTED]])&lt;LIVING_WAGE_22_23,DATA[[#This Row],[Deputy manager: Numbers employed (Full Time Equivalent)]],0),"")</f>
        <v>0</v>
      </c>
      <c r="MI27" s="30">
        <f>IFERROR(IF(AVERAGE(DATA[[#This Row],[Other manager 1: Current 2021/22 Minimum hourly pay rate ADJUSTED]],DATA[[#This Row],[Other manager 1: Current 2021/22 Maximum hourly pay rate ADJUSTED]])&lt;LIVING_WAGE_22_23,DATA[[#This Row],[Other manager 1: Numbers employed (Full Time Equivalent)]],0),"")</f>
        <v>0</v>
      </c>
      <c r="MJ27" s="30">
        <f>IFERROR(IF(AVERAGE(DATA[[#This Row],[Other manager 2: Current 2021/22 Minimum hourly pay rate ADJUSTED]],DATA[[#This Row],[Other manager 2: Current 2021/22 Maximum hourly pay rate ADJUSTED]])&lt;LIVING_WAGE_22_23,DATA[[#This Row],[Other manager 2: Numbers employed (Full Time Equivalent)]],0),"")</f>
        <v>0</v>
      </c>
      <c r="MK27" s="30">
        <f>IFERROR(IF(AVERAGE(DATA[[#This Row],[Other manager 3: Current 2021/22 Minimum hourly pay rate ADJUSTED]],DATA[[#This Row],[Other manager 3: Current 2021/22 Maximum hourly pay rate ADJUSTED]])&lt;LIVING_WAGE_22_23,DATA[[#This Row],[Other manager 3: Numbers employed (Full Time Equivalent)]],0),"")</f>
        <v>0</v>
      </c>
      <c r="ML27" s="30">
        <f>IFERROR(IF(AVERAGE(DATA[[#This Row],[Care Assistant 1: Current 2021/22 Minimum hourly pay rate ADJUSTED]],DATA[[#This Row],[Care Assistant 1: Current 2021/22 Maximum hourly pay rate ADJUSTED]])&lt;LIVING_WAGE_22_23,DATA[[#This Row],[Care Assistant 1: Numbers employed (Full Time Equivalent)]],0),"")</f>
        <v>0</v>
      </c>
      <c r="MM27" s="30">
        <f>IFERROR(IF(AVERAGE(DATA[[#This Row],[Care Assistant 2: Current 2021/22 Minimum hourly pay rate ADJUSTED]],DATA[[#This Row],[Care Assistant 2: Current 2021/22 Maximum hourly pay rate ADJUSTED]])&lt;LIVING_WAGE_22_23,DATA[[#This Row],[Care Assistant 2: Numbers employed (Full Time Equivalent)]],0),"")</f>
        <v>0</v>
      </c>
      <c r="MN27" s="30" t="str">
        <f>IFERROR(IF(AVERAGE(DATA[[#This Row],[Care Assistant 3: Current 2021/22 Minimum hourly pay rate ADJUSTED]],DATA[[#This Row],[Care Assistant 3: Current 2021/22 Maximum hourly pay rate ADJUSTED]])&lt;LIVING_WAGE_22_23,DATA[[#This Row],[Care Assistant 3: Numbers employed (Full Time Equivalent)]],0),"")</f>
        <v/>
      </c>
      <c r="MO27" s="30" t="str">
        <f>IFERROR(IF(AVERAGE(DATA[[#This Row],[Care Assistant 4: Current 2021/22 Minimum hourly pay rate ADJUSTED]],DATA[[#This Row],[Care Assistant 4: Current 2021/22 Maximum hourly pay rate ADJUSTED]])&lt;LIVING_WAGE_22_23,DATA[[#This Row],[Care Assistant 4: Numbers employed (Full Time Equivalent)]],0),"")</f>
        <v/>
      </c>
      <c r="MP27"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27"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1</v>
      </c>
      <c r="MR27" s="30" t="str">
        <f>IFERROR(IF(AVERAGE(DATA[[#This Row],[Other staff 1: Current 2021/22 Minimum hourly pay rate ADJUSTED]],DATA[[#This Row],[Other staff 1: Current 2021/22 Maximum hourly pay rate ADJUSTED]])&lt;LIVING_WAGE_22_23,DATA[[#This Row],[Other staff 1: Numbers employed (Full Time Equivalent)]],0),"")</f>
        <v/>
      </c>
      <c r="MS27" s="30" t="str">
        <f>IFERROR(IF(AVERAGE(DATA[[#This Row],[Other staff 2: Current 2021/22 Minimum hourly pay rate ADJUSTED]],DATA[[#This Row],[Other staff 2: Current 2021/22 Maximum hourly pay rate ADJUSTED]])&lt;LIVING_WAGE_22_23,DATA[[#This Row],[Other staff 2: Numbers employed (Full Time Equivalent)]],0),"")</f>
        <v/>
      </c>
      <c r="MT27" s="30" t="str">
        <f>IFERROR(IF(AVERAGE(DATA[[#This Row],[Other staff 3: Current 2021/22 Minimum hourly pay rate ADJUSTED]],DATA[[#This Row],[Other staff 3: Current 2021/22 Maximum hourly pay rate ADJUSTED]])&lt;LIVING_WAGE_22_23,DATA[[#This Row],[Other staff 3: Numbers employed (Full Time Equivalent)]],0),"")</f>
        <v/>
      </c>
      <c r="MU27" s="30">
        <f>SUM(DATA[[#This Row],[Registered Manager FTE earning less than NLW 23yrs 2022/23]:[Other staff 3 FTE earning less than NLW 23yrs 2022/23]])</f>
        <v>1</v>
      </c>
      <c r="MV27"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27"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27"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27"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27"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27"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27"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27"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27"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27"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27"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1.5</v>
      </c>
      <c r="NG27"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27"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27"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7" s="30" t="b">
        <v>1</v>
      </c>
      <c r="NK27" s="30" t="b">
        <v>1</v>
      </c>
      <c r="NL27" s="30" t="s">
        <v>505</v>
      </c>
      <c r="NM27" s="30">
        <f>SUM(DATA[[#This Row],[Management staff HOURLY RATE]:[Training and development HOURLY RATE]])</f>
        <v>21.826214285714286</v>
      </c>
      <c r="NN27" s="30">
        <f>SUM(DATA[[#This Row],[Recruitment &amp; advertising (including DBS checks) HOURLY RATE]:[Non-Staffing Direct Cost: Other  - please specify (amount) 2 HOURLY RATE]])</f>
        <v>2.2380952380952381</v>
      </c>
      <c r="NO27" s="30">
        <f>SUM(DATA[[#This Row],[Insurance  HOURLY RATE]:[Indirect costs: Other  - please specify (amount) 2 HOURLY RATE]])</f>
        <v>0.99802380952380954</v>
      </c>
      <c r="NP27" s="30">
        <f>SUM(DATA[[#This Row],[Central / Regional Management HOURLY RATE]:[Corporate Overheads: Other  - please specify (amount) 2 HOURLY RATE]])</f>
        <v>0</v>
      </c>
      <c r="NQ27"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27" s="30">
        <f>IFERROR(IF(AVERAGE(DATA[[#This Row],[Deputy manager: Current 2021/22 Minimum hourly pay rate ADJUSTED]],DATA[[#This Row],[Deputy manager: Current 2021/22 Maximum hourly pay rate ADJUSTED]])&lt;REAL_LIVING_WAGE_22_23,DATA[[#This Row],[Deputy manager: Numbers employed (Full Time Equivalent)]],0),"")</f>
        <v>0</v>
      </c>
      <c r="NS27" s="30">
        <f>IFERROR(IF(AVERAGE(DATA[[#This Row],[Other manager 1: Current 2021/22 Minimum hourly pay rate ADJUSTED]],DATA[[#This Row],[Other manager 1: Current 2021/22 Maximum hourly pay rate ADJUSTED]])&lt;REAL_LIVING_WAGE_22_23,DATA[[#This Row],[Other manager 1: Numbers employed (Full Time Equivalent)]],0),"")</f>
        <v>0</v>
      </c>
      <c r="NT27" s="30">
        <f>IFERROR(IF(AVERAGE(DATA[[#This Row],[Other manager 2: Current 2021/22 Minimum hourly pay rate ADJUSTED]],DATA[[#This Row],[Other manager 2: Current 2021/22 Maximum hourly pay rate ADJUSTED]])&lt;REAL_LIVING_WAGE_22_23,DATA[[#This Row],[Other manager 2: Numbers employed (Full Time Equivalent)]],0),"")</f>
        <v>0</v>
      </c>
      <c r="NU27" s="30">
        <f>IFERROR(IF(AVERAGE(DATA[[#This Row],[Other manager 3: Current 2021/22 Minimum hourly pay rate ADJUSTED]],DATA[[#This Row],[Other manager 3: Current 2021/22 Maximum hourly pay rate ADJUSTED]])&lt;REAL_LIVING_WAGE_22_23,DATA[[#This Row],[Other manager 3: Numbers employed (Full Time Equivalent)]],0),"")</f>
        <v>0</v>
      </c>
      <c r="NV27" s="30">
        <f>IFERROR(IF(AVERAGE(DATA[[#This Row],[Care Assistant 1: Current 2021/22 Minimum hourly pay rate ADJUSTED]],DATA[[#This Row],[Care Assistant 1: Current 2021/22 Maximum hourly pay rate ADJUSTED]])&lt;REAL_LIVING_WAGE_22_23,DATA[[#This Row],[Care Assistant 1: Numbers employed (Full Time Equivalent)]],0),"")</f>
        <v>0</v>
      </c>
      <c r="NW27" s="30">
        <f>IFERROR(IF(AVERAGE(DATA[[#This Row],[Care Assistant 2: Current 2021/22 Minimum hourly pay rate ADJUSTED]],DATA[[#This Row],[Care Assistant 2: Current 2021/22 Maximum hourly pay rate ADJUSTED]])&lt;REAL_LIVING_WAGE_22_23,DATA[[#This Row],[Care Assistant 2: Numbers employed (Full Time Equivalent)]],0),"")</f>
        <v>0</v>
      </c>
      <c r="NX27"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27"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27"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27"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1</v>
      </c>
      <c r="OB27" s="30" t="str">
        <f>IFERROR(IF(AVERAGE(DATA[[#This Row],[Other staff 1: Current 2021/22 Minimum hourly pay rate ADJUSTED]],DATA[[#This Row],[Other staff 1: Current 2021/22 Maximum hourly pay rate ADJUSTED]])&lt;REAL_LIVING_WAGE_22_23,DATA[[#This Row],[Other staff 1: Numbers employed (Full Time Equivalent)]],0),"")</f>
        <v/>
      </c>
      <c r="OC27" s="30" t="str">
        <f>IFERROR(IF(AVERAGE(DATA[[#This Row],[Other staff 2: Current 2021/22 Minimum hourly pay rate ADJUSTED]],DATA[[#This Row],[Other staff 2: Current 2021/22 Maximum hourly pay rate ADJUSTED]])&lt;REAL_LIVING_WAGE_22_23,DATA[[#This Row],[Other staff 2: Numbers employed (Full Time Equivalent)]],0),"")</f>
        <v/>
      </c>
      <c r="OD27" s="30" t="str">
        <f>IFERROR(IF(AVERAGE(DATA[[#This Row],[Other staff 3: Current 2021/22 Minimum hourly pay rate ADJUSTED]],DATA[[#This Row],[Other staff 3: Current 2021/22 Maximum hourly pay rate ADJUSTED]])&lt;REAL_LIVING_WAGE_22_23,DATA[[#This Row],[Other staff 3: Numbers employed (Full Time Equivalent)]],0),"")</f>
        <v/>
      </c>
      <c r="OE27" s="30">
        <f>SUM(DATA[[#This Row],[Registered Manager FTE earning less than RLW 23yrs 2022/23]:[Other staff 3 FTE earning less than RLW 23yrs 2022/23]])</f>
        <v>1</v>
      </c>
      <c r="OF27"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27"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27"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27"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27"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27"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27"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27"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27"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27"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27"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1.9000000000000004</v>
      </c>
      <c r="OQ27"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27"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27"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7" s="30">
        <f>IFERROR(IF(DATA[[#This Row],[Registered manager: Numbers employed (Full Time Equivalent)]]=0,"",DATA[[#This Row],[Registered manager: Current 2021/22 Minimum hourly pay rate ADJUSTED 2]]*DATA[[#This Row],[Registered manager: Numbers employed (Full Time Equivalent)]]),"")</f>
        <v>20.51</v>
      </c>
      <c r="OU27" s="30">
        <f>IFERROR(IF(DATA[[#This Row],[Registered manager: Numbers employed (Full Time Equivalent)]]=0,"",DATA[[#This Row],[Registered manager: Current 2021/22 Maximum hourly pay rate ADJUSTED 2]]*DATA[[#This Row],[Registered manager: Numbers employed (Full Time Equivalent)]]),"")</f>
        <v>20.51</v>
      </c>
      <c r="OV27" s="30">
        <f>IFERROR(IF(DATA[[#This Row],[Registered manager: Numbers employed (Full Time Equivalent)]]=0,"",DATA[[#This Row],[Registered manager: Previous 2020/21 Minimum hourly pay rate ADJUSTED 2]]*DATA[[#This Row],[Registered manager: Numbers employed (Full Time Equivalent)]]),"")</f>
        <v>20.51</v>
      </c>
      <c r="OW27" s="30">
        <f>IFERROR(IF(DATA[[#This Row],[Registered manager: Numbers employed (Full Time Equivalent)]]=0,"",DATA[[#This Row],[Registered manager: Previous 2020/21 Maximum hourly pay rate ADJUSTED 2]]*DATA[[#This Row],[Registered manager: Numbers employed (Full Time Equivalent)]]),"")</f>
        <v>20.51</v>
      </c>
      <c r="OX27" s="30">
        <f>IFERROR(IF(DATA[[#This Row],[Deputy manager: Numbers employed (Full Time Equivalent)]]=0,"",DATA[[#This Row],[Deputy manager: Current 2021/22 Minimum hourly pay rate ADJUSTED 2]]*DATA[[#This Row],[Deputy manager: Numbers employed (Full Time Equivalent)]]),"")</f>
        <v>15.9</v>
      </c>
      <c r="OY27" s="30">
        <f>IFERROR(IF(DATA[[#This Row],[Deputy manager: Numbers employed (Full Time Equivalent)]]=0,"",DATA[[#This Row],[Deputy manager: Current 2021/22 Maximum hourly pay rate ADJUSTED 2]]*DATA[[#This Row],[Deputy manager: Numbers employed (Full Time Equivalent)]]),"")</f>
        <v>15.9</v>
      </c>
      <c r="OZ27" s="30">
        <f>IFERROR(IF(DATA[[#This Row],[Deputy manager: Numbers employed (Full Time Equivalent)]]=0,"",DATA[[#This Row],[Deputy manager: Previous 2020/21 Minimum hourly pay rate ADJUSTED 2]]*DATA[[#This Row],[Deputy manager: Numbers employed (Full Time Equivalent)]]),"")</f>
        <v>15.9</v>
      </c>
      <c r="PA27" s="30">
        <f>IFERROR(IF(DATA[[#This Row],[Deputy manager: Numbers employed (Full Time Equivalent)]]=0,"",DATA[[#This Row],[Deputy manager: Previous 2020/21 Maximum hourly pay rate ADJUSTED 2]]*DATA[[#This Row],[Deputy manager: Numbers employed (Full Time Equivalent)]]),"")</f>
        <v>15.9</v>
      </c>
      <c r="PB27" s="30">
        <f>IFERROR(IF(DATA[[#This Row],[Other manager 1: Numbers employed (Full Time Equivalent)]]=0,"",DATA[[#This Row],[Other manager 1: Current 2021/22 Minimum hourly pay rate ADJUSTED 2]]*DATA[[#This Row],[Other manager 1: Numbers employed (Full Time Equivalent)]]),"")</f>
        <v>20.51</v>
      </c>
      <c r="PC27" s="30">
        <f>IFERROR(IF(DATA[[#This Row],[Other manager 1: Numbers employed (Full Time Equivalent)]]=0,"",DATA[[#This Row],[Other manager 1: Current 2021/22 Maximum hourly pay rate ADJUSTED 2]]*DATA[[#This Row],[Other manager 1: Numbers employed (Full Time Equivalent)]]),"")</f>
        <v>20.51</v>
      </c>
      <c r="PD27" s="30">
        <f>IFERROR(IF(DATA[[#This Row],[Other manager 1: Numbers employed (Full Time Equivalent)]]=0,"",DATA[[#This Row],[Other manager 1: Previous 2020/21 Minimum hourly pay rate ADJUSTED 2]]*DATA[[#This Row],[Other manager 1: Numbers employed (Full Time Equivalent)]]),"")</f>
        <v>20.51</v>
      </c>
      <c r="PE27" s="30">
        <f>IFERROR(IF(DATA[[#This Row],[Other manager 1: Numbers employed (Full Time Equivalent)]]=0,"",DATA[[#This Row],[Other manager 1: Previous 2020/21 Maximum hourly pay rate ADJUSTED 2]]*DATA[[#This Row],[Other manager 1: Numbers employed (Full Time Equivalent)]]),"")</f>
        <v>20.51</v>
      </c>
      <c r="PF27" s="30">
        <f>IFERROR(IF(DATA[[#This Row],[Other manager 2: Numbers employed (Full Time Equivalent)]]=0,"",DATA[[#This Row],[Other manager 2: Current 2021/22 Minimum hourly pay rate ADJUSTED 2]]*DATA[[#This Row],[Other manager 2: Numbers employed (Full Time Equivalent)]]),"")</f>
        <v>12.92</v>
      </c>
      <c r="PG27" s="30">
        <f>IFERROR(IF(DATA[[#This Row],[Other manager 2: Numbers employed (Full Time Equivalent)]]=0,"",DATA[[#This Row],[Other manager 2: Current 2021/22 Maximum hourly pay rate ADJUSTED 2]]*DATA[[#This Row],[Other manager 2: Numbers employed (Full Time Equivalent)]]),"")</f>
        <v>12.92</v>
      </c>
      <c r="PH27" s="30">
        <f>IFERROR(IF(DATA[[#This Row],[Other manager 2: Numbers employed (Full Time Equivalent)]]=0,"",DATA[[#This Row],[Other manager 2: Previous 2020/21 Minimum hourly pay rate ADJUSTED 2]]*DATA[[#This Row],[Other manager 2: Numbers employed (Full Time Equivalent)]]),"")</f>
        <v>12.92</v>
      </c>
      <c r="PI27" s="30">
        <f>IFERROR(IF(DATA[[#This Row],[Other manager 2: Numbers employed (Full Time Equivalent)]]=0,"",DATA[[#This Row],[Other manager 2: Previous 2020/21 Maximum hourly pay rate ADJUSTED 2]]*DATA[[#This Row],[Other manager 2: Numbers employed (Full Time Equivalent)]]),"")</f>
        <v>12.92</v>
      </c>
      <c r="PJ27" s="30">
        <f>IFERROR(IF(DATA[[#This Row],[Other manager 3: Numbers employed (Full Time Equivalent)]]=0,"",DATA[[#This Row],[Other manager 3: Current 2021/22 Minimum hourly pay rate ADJUSTED 2]]*DATA[[#This Row],[Other manager 3: Numbers employed (Full Time Equivalent)]]),"")</f>
        <v>20</v>
      </c>
      <c r="PK27" s="30">
        <f>IFERROR(IF(DATA[[#This Row],[Other manager 3: Numbers employed (Full Time Equivalent)]]=0,"",DATA[[#This Row],[Other manager 3: Current 2021/22 Maximum hourly pay rate ADJUSTED 2]]*DATA[[#This Row],[Other manager 3: Numbers employed (Full Time Equivalent)]]),"")</f>
        <v>20</v>
      </c>
      <c r="PL27" s="30">
        <f>IFERROR(IF(DATA[[#This Row],[Other manager 3: Numbers employed (Full Time Equivalent)]]=0,"",DATA[[#This Row],[Other manager 3: Previous 2020/21 Minimum hourly pay rate ADJUSTED 2]]*DATA[[#This Row],[Other manager 3: Numbers employed (Full Time Equivalent)]]),"")</f>
        <v>20</v>
      </c>
      <c r="PM27" s="30">
        <f>IFERROR(IF(DATA[[#This Row],[Other manager 3: Numbers employed (Full Time Equivalent)]]=0,"",DATA[[#This Row],[Other manager 3: Previous 2020/21 Maximum hourly pay rate ADJUSTED 2]]*DATA[[#This Row],[Other manager 3: Numbers employed (Full Time Equivalent)]]),"")</f>
        <v>20</v>
      </c>
      <c r="PN27" s="30" t="str">
        <f>IFERROR(IF(DATA[[#This Row],[Care Assistant 1: Numbers employed (Full Time Equivalent)]]=0,"",DATA[[#This Row],[Care Assistant 1: Current 2021/22 Minimum hourly pay rate ADJUSTED 2]]*DATA[[#This Row],[Care Assistant 1: Numbers employed (Full Time Equivalent)]]),"")</f>
        <v/>
      </c>
      <c r="PO27" s="30" t="str">
        <f>IFERROR(IF(DATA[[#This Row],[Care Assistant 1: Numbers employed (Full Time Equivalent)]]=0,"",DATA[[#This Row],[Care Assistant 1: Current 2021/22 Maximum hourly pay rate ADJUSTED 2]]*DATA[[#This Row],[Care Assistant 1: Numbers employed (Full Time Equivalent)]]),"")</f>
        <v/>
      </c>
      <c r="PP27" s="30" t="str">
        <f>IFERROR(IF(DATA[[#This Row],[Care Assistant 1: Numbers employed (Full Time Equivalent)]]=0,"",DATA[[#This Row],[Care Assistant 1: Previous 2020/21 Minimum hourly pay rate ADJUSTED 2]]*DATA[[#This Row],[Care Assistant 1: Numbers employed (Full Time Equivalent)]]),"")</f>
        <v/>
      </c>
      <c r="PQ27" s="30" t="str">
        <f>IFERROR(IF(DATA[[#This Row],[Care Assistant 1: Numbers employed (Full Time Equivalent)]]=0,"",DATA[[#This Row],[Care Assistant 1: Previous 2020/21 Maximum hourly pay rate ADJUSTED 2]]*DATA[[#This Row],[Care Assistant 1: Numbers employed (Full Time Equivalent)]]),"")</f>
        <v/>
      </c>
      <c r="PR27" s="30" t="str">
        <f>IFERROR(IF(DATA[[#This Row],[Care Assistant 2: Numbers employed (Full Time Equivalent)]]=0,"",DATA[[#This Row],[Care Assistant 2: Current 2021/22 Minimum hourly pay rate ADJUSTED 2]]*DATA[[#This Row],[Care Assistant 2: Numbers employed (Full Time Equivalent)]]),"")</f>
        <v/>
      </c>
      <c r="PS27" s="30" t="str">
        <f>IFERROR(IF(DATA[[#This Row],[Care Assistant 2: Numbers employed (Full Time Equivalent)]]=0,"",DATA[[#This Row],[Care Assistant 2: Current 2021/22 Maximum hourly pay rate ADJUSTED 2]]*DATA[[#This Row],[Care Assistant 2: Numbers employed (Full Time Equivalent)]]),"")</f>
        <v/>
      </c>
      <c r="PT27" s="30" t="str">
        <f>IFERROR(IF(DATA[[#This Row],[Care Assistant 2: Numbers employed (Full Time Equivalent)]]=0,"",DATA[[#This Row],[Care Assistant 2: Previous 2020/21 Minimum hourly pay rate ADJUSTED 2]]*DATA[[#This Row],[Care Assistant 2: Numbers employed (Full Time Equivalent)]]),"")</f>
        <v/>
      </c>
      <c r="PU27" s="30" t="str">
        <f>IFERROR(IF(DATA[[#This Row],[Care Assistant 2: Numbers employed (Full Time Equivalent)]]=0,"",DATA[[#This Row],[Care Assistant 2: Previous 2020/21 Maximum hourly pay rate ADJUSTED 2]]*DATA[[#This Row],[Care Assistant 2: Numbers employed (Full Time Equivalent)]]),"")</f>
        <v/>
      </c>
      <c r="PV27" s="30" t="str">
        <f>IFERROR(IF(DATA[[#This Row],[Care Assistant 3: Numbers employed (Full Time Equivalent)]]=0,"",DATA[[#This Row],[Care Assistant 3: Current 2021/22 Minimum hourly pay rate ADJUSTED 2]]*DATA[[#This Row],[Care Assistant 3: Numbers employed (Full Time Equivalent)]]),"")</f>
        <v/>
      </c>
      <c r="PW27" s="30" t="str">
        <f>IFERROR(IF(DATA[[#This Row],[Care Assistant 3: Numbers employed (Full Time Equivalent)]]=0,"",DATA[[#This Row],[Care Assistant 3: Current 2021/22 Maximum hourly pay rate ADJUSTED 2]]*DATA[[#This Row],[Care Assistant 3: Numbers employed (Full Time Equivalent)]]),"")</f>
        <v/>
      </c>
      <c r="PX27" s="30" t="str">
        <f>IFERROR(IF(DATA[[#This Row],[Care Assistant 3: Numbers employed (Full Time Equivalent)]]=0,"",DATA[[#This Row],[Care Assistant 3: Previous 2020/21 Minimum hourly pay rate ADJUSTED 2]]*DATA[[#This Row],[Care Assistant 3: Numbers employed (Full Time Equivalent)]]),"")</f>
        <v/>
      </c>
      <c r="PY27" s="30" t="str">
        <f>IFERROR(IF(DATA[[#This Row],[Care Assistant 3: Numbers employed (Full Time Equivalent)]]=0,"",DATA[[#This Row],[Care Assistant 3: Previous 2020/21 Maximum hourly pay rate ADJUSTED 2]]*DATA[[#This Row],[Care Assistant 3: Numbers employed (Full Time Equivalent)]]),"")</f>
        <v/>
      </c>
      <c r="PZ27" s="30" t="str">
        <f>IFERROR(IF(DATA[[#This Row],[Care Assistant 4: Numbers employed (Full Time Equivalent)]]=0,"",DATA[[#This Row],[Care Assistant 4: Current 2021/22 Minimum hourly pay rate ADJUSTED 2]]*DATA[[#This Row],[Care Assistant 4: Numbers employed (Full Time Equivalent)]]),"")</f>
        <v/>
      </c>
      <c r="QA27" s="30" t="str">
        <f>IFERROR(IF(DATA[[#This Row],[Care Assistant 4: Numbers employed (Full Time Equivalent)]]=0,"",DATA[[#This Row],[Care Assistant 4: Current 2021/22 Maximum hourly pay rate ADJUSTED 2]]*DATA[[#This Row],[Care Assistant 4: Numbers employed (Full Time Equivalent)]]),"")</f>
        <v/>
      </c>
      <c r="QB27" s="30" t="str">
        <f>IFERROR(IF(DATA[[#This Row],[Care Assistant 4: Numbers employed (Full Time Equivalent)]]=0,"",DATA[[#This Row],[Care Assistant 4: Previous 2020/21 Minimum hourly pay rate ADJUSTED 2]]*DATA[[#This Row],[Care Assistant 4: Numbers employed (Full Time Equivalent)]]),"")</f>
        <v/>
      </c>
      <c r="QC27" s="30" t="str">
        <f>IFERROR(IF(DATA[[#This Row],[Care Assistant 4: Numbers employed (Full Time Equivalent)]]=0,"",DATA[[#This Row],[Care Assistant 4: Previous 2020/21 Maximum hourly pay rate ADJUSTED 2]]*DATA[[#This Row],[Care Assistant 4: Numbers employed (Full Time Equivalent)]]),"")</f>
        <v/>
      </c>
      <c r="QD27" s="30">
        <f>IFERROR(IF(DATA[[#This Row],[Administrative Officer 1: Numbers employed (Full Time Equivalent)]]=0,"",DATA[[#This Row],[Administrative Officer 1: Current 2021/22 Minimum hourly pay rate ADJUSTED 2]]*DATA[[#This Row],[Administrative Officer 1: Numbers employed (Full Time Equivalent)]]),"")</f>
        <v>10</v>
      </c>
      <c r="QE27" s="30">
        <f>IFERROR(IF(DATA[[#This Row],[Administrative Officer 1: Numbers employed (Full Time Equivalent)]]=0,"",DATA[[#This Row],[Administrative Officer 1: Current 2021/22 Maximum hourly pay rate ADJUSTED 2]]*DATA[[#This Row],[Administrative Officer 1: Numbers employed (Full Time Equivalent)]]),"")</f>
        <v>10</v>
      </c>
      <c r="QF27" s="30">
        <f>IFERROR(IF(DATA[[#This Row],[Administrative Officer 1: Numbers employed (Full Time Equivalent)]]=0,"",DATA[[#This Row],[Administrative Officer 1: Previous 2020/21 Minimum hourly pay rate ADJUSTED 2]]*DATA[[#This Row],[Administrative Officer 1: Numbers employed (Full Time Equivalent)]]),"")</f>
        <v>10</v>
      </c>
      <c r="QG27" s="30">
        <f>IFERROR(IF(DATA[[#This Row],[Administrative Officer 1: Numbers employed (Full Time Equivalent)]]=0,"",DATA[[#This Row],[Administrative Officer 1: Previous 2020/21 Maximum hourly pay rate ADJUSTED 2]]*DATA[[#This Row],[Administrative Officer 1: Numbers employed (Full Time Equivalent)]]),"")</f>
        <v>10</v>
      </c>
      <c r="QH27" s="30">
        <f>IFERROR(IF(DATA[[#This Row],[Administrative Officer 2: Numbers employed (Full Time Equivalent)]]=0,"",DATA[[#This Row],[Administrative Officer 2: Current 2021/22 Minimum hourly pay rate ADJUSTED 2]]*DATA[[#This Row],[Administrative Officer 2: Numbers employed (Full Time Equivalent)]]),"")</f>
        <v>8</v>
      </c>
      <c r="QI27" s="30">
        <f>IFERROR(IF(DATA[[#This Row],[Administrative Officer 2: Numbers employed (Full Time Equivalent)]]=0,"",DATA[[#This Row],[Administrative Officer 2: Current 2021/22 Maximum hourly pay rate ADJUSTED 2]]*DATA[[#This Row],[Administrative Officer 2: Numbers employed (Full Time Equivalent)]]),"")</f>
        <v>8</v>
      </c>
      <c r="QJ27" s="30">
        <f>IFERROR(IF(DATA[[#This Row],[Administrative Officer 2: Numbers employed (Full Time Equivalent)]]=0,"",DATA[[#This Row],[Administrative Officer 2: Previous 2020/21 Minimum hourly pay rate ADJUSTED 2]]*DATA[[#This Row],[Administrative Officer 2: Numbers employed (Full Time Equivalent)]]),"")</f>
        <v>7.75</v>
      </c>
      <c r="QK27" s="30">
        <f>IFERROR(IF(DATA[[#This Row],[Administrative Officer 2: Numbers employed (Full Time Equivalent)]]=0,"",DATA[[#This Row],[Administrative Officer 2: Previous 2020/21 Maximum hourly pay rate ADJUSTED 2]]*DATA[[#This Row],[Administrative Officer 2: Numbers employed (Full Time Equivalent)]]),"")</f>
        <v>7.75</v>
      </c>
      <c r="QL27" s="30" t="str">
        <f>IFERROR(IF(DATA[[#This Row],[Administrative Officer 3: Numbers employed (Full Time Equivalent)]]=0,"",DATA[[#This Row],[Administrative Officer 3: Current 2021/22 Minimum hourly pay rate ADJUSTED 2]]*DATA[[#This Row],[Administrative Officer 3: Numbers employed (Full Time Equivalent)]]),"")</f>
        <v/>
      </c>
      <c r="QM27" s="30" t="str">
        <f>IFERROR(IF(DATA[[#This Row],[Administrative Officer 3: Numbers employed (Full Time Equivalent)]]=0,"",DATA[[#This Row],[Administrative Officer 3: Current 2021/22 Maximum hourly pay rate ADJUSTED 2]]*DATA[[#This Row],[Administrative Officer 3: Numbers employed (Full Time Equivalent)]]),"")</f>
        <v/>
      </c>
      <c r="QN27" s="30" t="str">
        <f>IFERROR(IF(DATA[[#This Row],[Administrative Officer 3: Numbers employed (Full Time Equivalent)]]=0,"",DATA[[#This Row],[Administrative Officer 3: Previous 2020/21 Minimum hourly pay rate ADJUSTED 2]]*DATA[[#This Row],[Administrative Officer 3: Numbers employed (Full Time Equivalent)]]),"")</f>
        <v/>
      </c>
      <c r="QO27" s="30" t="str">
        <f>IFERROR(IF(DATA[[#This Row],[Administrative Officer 3: Numbers employed (Full Time Equivalent)]]=0,"",DATA[[#This Row],[Administrative Officer 3: Previous 2020/21 Maximum hourly pay rate ADJUSTED 2]]*DATA[[#This Row],[Administrative Officer 3: Numbers employed (Full Time Equivalent)]]),"")</f>
        <v/>
      </c>
      <c r="QP27" s="28" t="str">
        <f>IFERROR(IF(DATA[[#This Row],[Other staff 1: Numbers employed (Full Time Equivalent)]]=0,"",DATA[[#This Row],[Other staff 1: Current 2021/22 Minimum hourly pay rate ADJUSTED 2]]*DATA[[#This Row],[Other staff 1: Numbers employed (Full Time Equivalent)]]),"")</f>
        <v/>
      </c>
      <c r="QQ27" s="28" t="str">
        <f>IFERROR(IF(DATA[[#This Row],[Other staff 1: Numbers employed (Full Time Equivalent)]]=0,"",DATA[[#This Row],[Other staff 1: Current 2021/22 Maximum hourly pay rate ADJUSTED 2]]*DATA[[#This Row],[Other staff 1: Numbers employed (Full Time Equivalent)]]),"")</f>
        <v/>
      </c>
      <c r="QR27" s="28" t="str">
        <f>IFERROR(IF(DATA[[#This Row],[Other staff 1: Numbers employed (Full Time Equivalent)]]=0,"",DATA[[#This Row],[Other staff 1: Previous 2020/21 Minimum hourly pay rate ADJUSTED 2]]*DATA[[#This Row],[Other staff 1: Numbers employed (Full Time Equivalent)]]),"")</f>
        <v/>
      </c>
      <c r="QS27" s="28" t="str">
        <f>IFERROR(IF(DATA[[#This Row],[Other staff 1: Numbers employed (Full Time Equivalent)]]=0,"",DATA[[#This Row],[Other staff 1: Previous 2020/21 Maximum hourly pay rate ADJUSTED 2]]*DATA[[#This Row],[Other staff 1: Numbers employed (Full Time Equivalent)]]),"")</f>
        <v/>
      </c>
      <c r="QT27" s="28" t="str">
        <f>IFERROR(IF(DATA[[#This Row],[Other staff 2: Numbers employed (Full Time Equivalent)]]=0,"",DATA[[#This Row],[Other staff 2: Current 2021/22 Minimum hourly pay rate ADJUSTED 2]]*DATA[[#This Row],[Other staff 2: Numbers employed (Full Time Equivalent)]]),"")</f>
        <v/>
      </c>
      <c r="QU27" s="28" t="str">
        <f>IFERROR(IF(DATA[[#This Row],[Other staff 2: Numbers employed (Full Time Equivalent)]]=0,"",DATA[[#This Row],[Other staff 2: Current 2021/22 Maximum hourly pay rate ADJUSTED 2]]*DATA[[#This Row],[Other staff 2: Numbers employed (Full Time Equivalent)]]),"")</f>
        <v/>
      </c>
      <c r="QV27" s="28" t="str">
        <f>IFERROR(IF(DATA[[#This Row],[Other staff 2: Numbers employed (Full Time Equivalent)]]=0,"",DATA[[#This Row],[Other staff 2: Previous 2020/21 Minimum hourly pay rate ADJUSTED 2]]*DATA[[#This Row],[Other staff 2: Numbers employed (Full Time Equivalent)]]),"")</f>
        <v/>
      </c>
      <c r="QW27" s="28" t="str">
        <f>IFERROR(IF(DATA[[#This Row],[Other staff 2: Numbers employed (Full Time Equivalent)]]=0,"",DATA[[#This Row],[Other staff 2: Previous 2020/21 Maximum hourly pay rate ADJUSTED 2]]*DATA[[#This Row],[Other staff 2: Numbers employed (Full Time Equivalent)]]),"")</f>
        <v/>
      </c>
      <c r="QX27" s="28" t="str">
        <f>IFERROR(IF(DATA[[#This Row],[Other staff 3: Numbers employed (Full Time Equivalent)]]=0,"",DATA[[#This Row],[Other staff 3: Current 2021/22 Minimum hourly pay rate ADJUSTED 2]]*DATA[[#This Row],[Other staff 3: Numbers employed (Full Time Equivalent)]]),"")</f>
        <v/>
      </c>
      <c r="QY27" s="28" t="str">
        <f>IFERROR(IF(DATA[[#This Row],[Other staff 3: Numbers employed (Full Time Equivalent)]]=0,"",DATA[[#This Row],[Other staff 3: Current 2021/22 Maximum hourly pay rate ADJUSTED 2]]*DATA[[#This Row],[Other staff 3: Numbers employed (Full Time Equivalent)]]),"")</f>
        <v/>
      </c>
      <c r="QZ27" s="28" t="str">
        <f>IFERROR(IF(DATA[[#This Row],[Other staff 3: Numbers employed (Full Time Equivalent)]]=0,"",DATA[[#This Row],[Other staff 3: Previous 2020/21 Minimum hourly pay rate ADJUSTED 2]]*DATA[[#This Row],[Other staff 3: Numbers employed (Full Time Equivalent)]]),"")</f>
        <v/>
      </c>
      <c r="RA27" s="28" t="str">
        <f>IFERROR(IF(DATA[[#This Row],[Other staff 3: Numbers employed (Full Time Equivalent)]]=0,"",DATA[[#This Row],[Other staff 3: Previous 2020/21 Maximum hourly pay rate ADJUSTED 2]]*DATA[[#This Row],[Other staff 3: Numbers employed (Full Time Equivalent)]]),"")</f>
        <v/>
      </c>
      <c r="RB27"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27"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27"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27"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27"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2</v>
      </c>
      <c r="RG27"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0</v>
      </c>
      <c r="RH27"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27"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27"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27"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27"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27"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27"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27"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27"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8" spans="7:484" x14ac:dyDescent="0.25">
      <c r="G28" s="2">
        <v>22</v>
      </c>
      <c r="H28" s="2">
        <v>49</v>
      </c>
      <c r="I28" s="2">
        <v>0</v>
      </c>
      <c r="J28" s="2">
        <v>0</v>
      </c>
      <c r="K28" s="2">
        <v>0</v>
      </c>
      <c r="L28" s="2" t="s">
        <v>328</v>
      </c>
      <c r="M28" s="2" t="s">
        <v>365</v>
      </c>
      <c r="R28" s="2">
        <v>20.51</v>
      </c>
      <c r="S28" s="2">
        <v>20.51</v>
      </c>
      <c r="T28" s="2">
        <v>20.51</v>
      </c>
      <c r="U28" s="2">
        <v>20.51</v>
      </c>
      <c r="V28" s="2">
        <v>1</v>
      </c>
      <c r="W28" s="2">
        <v>15.9</v>
      </c>
      <c r="X28" s="2">
        <v>15.9</v>
      </c>
      <c r="Y28" s="2">
        <v>15.9</v>
      </c>
      <c r="Z28" s="2">
        <v>15.9</v>
      </c>
      <c r="AA28" s="2">
        <v>1</v>
      </c>
      <c r="AB28" s="2" t="s">
        <v>420</v>
      </c>
      <c r="AC28" s="2">
        <v>20.51</v>
      </c>
      <c r="AD28" s="2">
        <v>20.51</v>
      </c>
      <c r="AE28" s="2">
        <v>20.51</v>
      </c>
      <c r="AF28" s="2">
        <v>20.51</v>
      </c>
      <c r="AG28" s="2">
        <v>1</v>
      </c>
      <c r="AH28" s="2" t="s">
        <v>421</v>
      </c>
      <c r="AI28" s="2">
        <v>12.92</v>
      </c>
      <c r="AJ28" s="2">
        <v>12.92</v>
      </c>
      <c r="AK28" s="2">
        <v>12.92</v>
      </c>
      <c r="AL28" s="2">
        <v>12.92</v>
      </c>
      <c r="AM28" s="2">
        <v>1</v>
      </c>
      <c r="AN28" s="2" t="s">
        <v>422</v>
      </c>
      <c r="AO28" s="2">
        <v>10</v>
      </c>
      <c r="AP28" s="2">
        <v>10</v>
      </c>
      <c r="AQ28" s="2">
        <v>10</v>
      </c>
      <c r="AR28" s="2">
        <v>10</v>
      </c>
      <c r="AS28" s="2">
        <v>2</v>
      </c>
      <c r="AT28" s="2" t="s">
        <v>399</v>
      </c>
      <c r="AU28" s="2">
        <v>9.5</v>
      </c>
      <c r="AV28" s="2">
        <v>9.5</v>
      </c>
      <c r="AW28" s="2">
        <v>9</v>
      </c>
      <c r="AX28" s="2">
        <v>9</v>
      </c>
      <c r="AY28" s="2"/>
      <c r="AZ28" s="2" t="s">
        <v>400</v>
      </c>
      <c r="BA28" s="2">
        <v>9.75</v>
      </c>
      <c r="BB28" s="2">
        <v>9.75</v>
      </c>
      <c r="BC28" s="2">
        <v>9.15</v>
      </c>
      <c r="BD28" s="2">
        <v>9.15</v>
      </c>
      <c r="BE28" s="2">
        <v>0</v>
      </c>
      <c r="BF28" s="2" t="s">
        <v>316</v>
      </c>
      <c r="BG28" s="2">
        <v>0</v>
      </c>
      <c r="BH28" s="2">
        <v>0</v>
      </c>
      <c r="BI28" s="2">
        <v>0</v>
      </c>
      <c r="BJ28" s="2">
        <v>0</v>
      </c>
      <c r="BK28" s="2">
        <v>0</v>
      </c>
      <c r="BL28" s="2" t="s">
        <v>316</v>
      </c>
      <c r="BM28" s="2">
        <v>0</v>
      </c>
      <c r="BN28" s="2">
        <v>0</v>
      </c>
      <c r="BO28" s="2">
        <v>0</v>
      </c>
      <c r="BP28" s="2">
        <v>0</v>
      </c>
      <c r="BQ28" s="2">
        <v>0</v>
      </c>
      <c r="BR28" s="2" t="s">
        <v>423</v>
      </c>
      <c r="BS28" s="2">
        <v>10</v>
      </c>
      <c r="BT28" s="2">
        <v>10</v>
      </c>
      <c r="BU28" s="2">
        <v>10</v>
      </c>
      <c r="BV28" s="2">
        <v>10</v>
      </c>
      <c r="BW28" s="2">
        <v>1</v>
      </c>
      <c r="BX28" s="2" t="s">
        <v>424</v>
      </c>
      <c r="BY28" s="2">
        <v>8</v>
      </c>
      <c r="BZ28" s="2">
        <v>8</v>
      </c>
      <c r="CA28" s="2">
        <v>7.75</v>
      </c>
      <c r="CB28" s="2">
        <v>7.75</v>
      </c>
      <c r="CC28" s="2">
        <v>1</v>
      </c>
      <c r="CD28" s="2" t="s">
        <v>317</v>
      </c>
      <c r="CE28" s="2">
        <v>0</v>
      </c>
      <c r="CF28" s="2">
        <v>0</v>
      </c>
      <c r="CG28" s="2">
        <v>0</v>
      </c>
      <c r="CH28" s="2">
        <v>0</v>
      </c>
      <c r="CI28" s="2">
        <v>0</v>
      </c>
      <c r="CJ28" s="2" t="s">
        <v>318</v>
      </c>
      <c r="CK28" s="2">
        <v>0</v>
      </c>
      <c r="CL28" s="2">
        <v>0</v>
      </c>
      <c r="CM28" s="2">
        <v>0</v>
      </c>
      <c r="CN28" s="2">
        <v>0</v>
      </c>
      <c r="CO28" s="2">
        <v>0</v>
      </c>
      <c r="CP28" s="2" t="s">
        <v>318</v>
      </c>
      <c r="CQ28" s="2">
        <v>0</v>
      </c>
      <c r="CR28" s="2">
        <v>0</v>
      </c>
      <c r="CS28" s="2">
        <v>0</v>
      </c>
      <c r="CT28" s="2">
        <v>0</v>
      </c>
      <c r="CU28" s="2">
        <v>0</v>
      </c>
      <c r="CV28" s="2" t="s">
        <v>318</v>
      </c>
      <c r="CW28" s="2">
        <v>0</v>
      </c>
      <c r="CX28" s="2">
        <v>0</v>
      </c>
      <c r="CY28" s="2">
        <v>0</v>
      </c>
      <c r="CZ28" s="2">
        <v>0</v>
      </c>
      <c r="DA28" s="2">
        <v>0</v>
      </c>
      <c r="DB28" s="2">
        <v>0.02</v>
      </c>
      <c r="DC28" s="2">
        <v>700</v>
      </c>
      <c r="DD28" s="2">
        <v>3024</v>
      </c>
      <c r="DE28" s="2">
        <v>600</v>
      </c>
      <c r="DF28" s="2">
        <v>0</v>
      </c>
      <c r="DG28" s="2">
        <v>240</v>
      </c>
      <c r="DH28" s="2">
        <v>70</v>
      </c>
      <c r="DI28" s="2">
        <v>0</v>
      </c>
      <c r="DJ28" s="2">
        <v>0</v>
      </c>
      <c r="DK28" s="2">
        <v>0</v>
      </c>
      <c r="DL28" s="2">
        <v>0</v>
      </c>
      <c r="DM28" s="2">
        <v>0</v>
      </c>
      <c r="DN28" s="2">
        <v>0</v>
      </c>
      <c r="DO28" s="2">
        <v>17</v>
      </c>
      <c r="DP28" s="2">
        <v>18</v>
      </c>
      <c r="DQ28" s="2">
        <v>15</v>
      </c>
      <c r="DR28" s="18">
        <v>43770</v>
      </c>
      <c r="DS28" s="18">
        <v>37560</v>
      </c>
      <c r="DT28" s="2">
        <v>42000</v>
      </c>
      <c r="DU28" s="2">
        <v>155699</v>
      </c>
      <c r="DV28" s="2">
        <v>660902</v>
      </c>
      <c r="DW28" s="2">
        <v>35100</v>
      </c>
      <c r="DX28" s="2">
        <v>0</v>
      </c>
      <c r="DY28" s="2">
        <v>0</v>
      </c>
      <c r="DZ28" s="2">
        <v>0</v>
      </c>
      <c r="EA28" s="2">
        <v>50000</v>
      </c>
      <c r="EB28" s="2">
        <v>15000</v>
      </c>
      <c r="EC28" s="2">
        <v>24000</v>
      </c>
      <c r="ED28" s="2">
        <v>0</v>
      </c>
      <c r="EE28" s="2">
        <v>25000</v>
      </c>
      <c r="EF28" s="2">
        <v>30000</v>
      </c>
      <c r="EG28" s="2">
        <v>15000</v>
      </c>
      <c r="EH28" s="2" t="s">
        <v>324</v>
      </c>
      <c r="EI28" s="2">
        <v>0</v>
      </c>
      <c r="EJ28" s="2" t="s">
        <v>324</v>
      </c>
      <c r="EK28" s="2">
        <v>0</v>
      </c>
      <c r="EL28" s="2">
        <v>5257</v>
      </c>
      <c r="EM28" s="2">
        <v>44965</v>
      </c>
      <c r="EN28" s="2">
        <v>2970</v>
      </c>
      <c r="EO28" s="2">
        <v>30000</v>
      </c>
      <c r="EP28" s="2">
        <v>0</v>
      </c>
      <c r="EQ28" s="2">
        <v>3690</v>
      </c>
      <c r="ER28" s="2">
        <v>0</v>
      </c>
      <c r="ES28" s="2">
        <v>0</v>
      </c>
      <c r="ET28" s="2" t="s">
        <v>324</v>
      </c>
      <c r="EU28" s="2">
        <v>0</v>
      </c>
      <c r="EV28" s="2" t="s">
        <v>324</v>
      </c>
      <c r="EW28" s="2">
        <v>0</v>
      </c>
      <c r="EX28" s="2">
        <v>0</v>
      </c>
      <c r="EY28" s="2">
        <v>19114</v>
      </c>
      <c r="EZ28" s="2" t="s">
        <v>326</v>
      </c>
      <c r="FA28" s="2">
        <v>0</v>
      </c>
      <c r="FB28" s="2" t="s">
        <v>326</v>
      </c>
      <c r="FC28" s="2">
        <v>0</v>
      </c>
      <c r="FD28" s="2">
        <v>34015</v>
      </c>
      <c r="FE28" s="2">
        <v>0</v>
      </c>
      <c r="FF28" s="2">
        <v>0</v>
      </c>
      <c r="FG28" s="2"/>
      <c r="FH28" s="19">
        <v>44480.623923611114</v>
      </c>
      <c r="FI28" s="2" t="s">
        <v>345</v>
      </c>
      <c r="FJ28" s="2">
        <f>SUM(DATA[[#This Row],[Number of Home support clients:]],DATA[[#This Row],[Number of supported living clients:]])</f>
        <v>49</v>
      </c>
      <c r="FK28"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41-50</v>
      </c>
      <c r="FL28"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20.51</v>
      </c>
      <c r="FM28"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20.51</v>
      </c>
      <c r="FN28"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20.51</v>
      </c>
      <c r="FO28"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20.51</v>
      </c>
      <c r="FP28"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15.9</v>
      </c>
      <c r="FQ28"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15.9</v>
      </c>
      <c r="FR28"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15.9</v>
      </c>
      <c r="FS28"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15.9</v>
      </c>
      <c r="FT28"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20.51</v>
      </c>
      <c r="FU28"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20.51</v>
      </c>
      <c r="FV28"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20.51</v>
      </c>
      <c r="FW28"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20.51</v>
      </c>
      <c r="FX28"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12.92</v>
      </c>
      <c r="FY28"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12.92</v>
      </c>
      <c r="FZ28"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12.92</v>
      </c>
      <c r="GA28"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12.92</v>
      </c>
      <c r="GB28"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10</v>
      </c>
      <c r="GC28"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10</v>
      </c>
      <c r="GD28"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10</v>
      </c>
      <c r="GE28"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10</v>
      </c>
      <c r="GF28"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9.5</v>
      </c>
      <c r="GG28"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9.5</v>
      </c>
      <c r="GH28"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v>
      </c>
      <c r="GI28"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v>
      </c>
      <c r="GJ28"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9.75</v>
      </c>
      <c r="GK28"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9.75</v>
      </c>
      <c r="GL28"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9.15</v>
      </c>
      <c r="GM28"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9.15</v>
      </c>
      <c r="GN28"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28"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28"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28"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28"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28"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28"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28"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28"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v>
      </c>
      <c r="GW28"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v>
      </c>
      <c r="GX28"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v>
      </c>
      <c r="GY28"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v>
      </c>
      <c r="GZ28"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8</v>
      </c>
      <c r="HA28"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8</v>
      </c>
      <c r="HB28"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7.75</v>
      </c>
      <c r="HC28"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7.75</v>
      </c>
      <c r="HD28"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28"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28"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28"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28"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28"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28"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28"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28"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28"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28"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28"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28"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8"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8"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8"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8"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20.51</v>
      </c>
      <c r="HU28"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20.51</v>
      </c>
      <c r="HV28"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20.51</v>
      </c>
      <c r="HW28"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20.51</v>
      </c>
      <c r="HX28"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15.9</v>
      </c>
      <c r="HY28"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15.9</v>
      </c>
      <c r="HZ28"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15.9</v>
      </c>
      <c r="IA28"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15.9</v>
      </c>
      <c r="IB28"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20.51</v>
      </c>
      <c r="IC28"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20.51</v>
      </c>
      <c r="ID28"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20.51</v>
      </c>
      <c r="IE28"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20.51</v>
      </c>
      <c r="IF28"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12.92</v>
      </c>
      <c r="IG28"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12.92</v>
      </c>
      <c r="IH28"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12.92</v>
      </c>
      <c r="II28"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12.92</v>
      </c>
      <c r="IJ28"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10</v>
      </c>
      <c r="IK28"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10</v>
      </c>
      <c r="IL28"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10</v>
      </c>
      <c r="IM28"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10</v>
      </c>
      <c r="IN28"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9.5</v>
      </c>
      <c r="IO28"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9.5</v>
      </c>
      <c r="IP28"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v>
      </c>
      <c r="IQ28"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v>
      </c>
      <c r="IR28"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9.75</v>
      </c>
      <c r="IS28"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9.75</v>
      </c>
      <c r="IT28"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9.15</v>
      </c>
      <c r="IU28"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9.15</v>
      </c>
      <c r="IV28"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28"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28"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28"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28"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28"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28"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28"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28"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v>
      </c>
      <c r="JE28"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v>
      </c>
      <c r="JF28"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v>
      </c>
      <c r="JG28"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v>
      </c>
      <c r="JH28"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8</v>
      </c>
      <c r="JI28"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8</v>
      </c>
      <c r="JJ28"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7.75</v>
      </c>
      <c r="JK28"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7.75</v>
      </c>
      <c r="JL28"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28"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28"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28"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28"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28"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28"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28"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28"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28"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28"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28"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28"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8"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8"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8"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8"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6</v>
      </c>
      <c r="KC28" s="21">
        <f>SUM(DATA[[#This Row],[Care Assistant 1: Numbers employed (Full Time Equivalent)]],DATA[[#This Row],[Care Assistant 2: Numbers employed (Full Time Equivalent)]],DATA[[#This Row],[Care Assistant 3: Numbers employed (Full Time Equivalent)]],DATA[[#This Row],[Care Assistant 4: Numbers employed (Full Time Equivalent)]])</f>
        <v>0</v>
      </c>
      <c r="KD28" s="21">
        <f>SUM(DATA[[#This Row],[Administrative Officer 1: Numbers employed (Full Time Equivalent)]],DATA[[#This Row],[Administrative Officer 2: Numbers employed (Full Time Equivalent)]])</f>
        <v>2</v>
      </c>
      <c r="KE28" s="21">
        <f>SUM(DATA[[#This Row],[Other staff 1: Numbers employed (Full Time Equivalent)]],DATA[[#This Row],[Other staff 2: Numbers employed (Full Time Equivalent)]],DATA[[#This Row],[Other staff 3: Numbers employed (Full Time Equivalent)]])</f>
        <v>0</v>
      </c>
      <c r="KF28" s="21">
        <f>SUM(DATA[[#This Row],[Total FTE Management Employees]:[Total FTE Other Employees]])</f>
        <v>8</v>
      </c>
      <c r="KG28" s="21" t="str">
        <f>IF(SUM(DATA[[#This Row],[Home Support service split percentage (Expenditure):]],DATA[[#This Row],[Supported Living service split percentage (Expenditure):]])&gt;0, IF(DATA[[#This Row],[Home Support service split percentage (Expenditure):]]&gt;0.5,"Home Support","Supported Living"), "Unknown")</f>
        <v>Unknown</v>
      </c>
      <c r="KH28" s="21">
        <f>SUM(DATA[[#This Row],[Home Support: Birmingham City Council]:[Home Support: Self-funded]])</f>
        <v>4634</v>
      </c>
      <c r="KI28" s="21">
        <f>SUM(DATA[[#This Row],[Supported Living: Birmingham City Council]:[Supported Living: Self-funded]])</f>
        <v>0</v>
      </c>
      <c r="KJ28"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89.84</v>
      </c>
      <c r="KK28"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89.84</v>
      </c>
      <c r="KL28"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89.84</v>
      </c>
      <c r="KM28"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89.84</v>
      </c>
      <c r="KN28" s="21" t="b">
        <f>SUM(DATA[[#This Row],[Number of hours of care charged for in last full accounting year]:[Corporate Overheads: Other  - please specify (category) 1]])&gt;0</f>
        <v>1</v>
      </c>
      <c r="KO28" s="21">
        <f>SUM(DATA[[#This Row],[Total annual expenditure: Management staff]:[Total annual expenditure: Training and development]])</f>
        <v>916701</v>
      </c>
      <c r="KP28" s="21">
        <f>SUM(DATA[[#This Row],[Recruitment &amp; advertising (including DBS checks)]:[Non-Staffing Direct Cost: Other  - please specify (amount) 2]])</f>
        <v>94000</v>
      </c>
      <c r="KQ28" s="21">
        <f>SUM(DATA[[#This Row],[Insurance ]:[Indirect costs: Other 2 - please specify (amount)]])</f>
        <v>86882</v>
      </c>
      <c r="KR28" s="21">
        <f>SUM(DATA[[#This Row],[Central / Regional Management]],DATA[[#This Row],[Support Services (finance / HR / Payroll / legal etc.)]],DATA[[#This Row],[Corporate Overheads: Other  - please specify (amount) 1]],DATA[[#This Row],[Corporate Overheads: Other  - please specify (amount) 2]])</f>
        <v>19114</v>
      </c>
      <c r="KS28"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3.7071190476190474</v>
      </c>
      <c r="KT28"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15.735761904761905</v>
      </c>
      <c r="KU28"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0.83571428571428574</v>
      </c>
      <c r="KV28"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28"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28"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28" s="30">
        <f>IF(OR(NOT(DATA[[#This Row],[Total annual expenditure: Travel Time]]&gt;0),NOT(DATA[[#This Row],[Number of hours of care charged for in last full accounting year]]&gt;0)),0,DATA[[#This Row],[Total annual expenditure: Travel Time]]/DATA[[#This Row],[Number of hours of care charged for in last full accounting year]])</f>
        <v>1.1904761904761905</v>
      </c>
      <c r="KZ28"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0.35714285714285715</v>
      </c>
      <c r="LA28"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0.5714285714285714</v>
      </c>
      <c r="LB28"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28" s="30">
        <f>IF(OR(NOT(DATA[[#This Row],[Care consumables &amp; uniforms]]&gt;0),NOT(DATA[[#This Row],[Number of hours of care charged for in last full accounting year]]&gt;0)),0,DATA[[#This Row],[Care consumables &amp; uniforms]]/DATA[[#This Row],[Number of hours of care charged for in last full accounting year]])</f>
        <v>0.59523809523809523</v>
      </c>
      <c r="LD28" s="30">
        <f>IF(OR(NOT(DATA[[#This Row],[Electronic call monitoring]]&gt;0),NOT(DATA[[#This Row],[Number of hours of care charged for in last full accounting year]]&gt;0)),0,DATA[[#This Row],[Electronic call monitoring]]/DATA[[#This Row],[Number of hours of care charged for in last full accounting year]])</f>
        <v>0.7142857142857143</v>
      </c>
      <c r="LE28" s="30">
        <f>IF(OR(NOT(DATA[[#This Row],[IT Equipment &amp; Telephoney]]&gt;0),NOT(DATA[[#This Row],[Number of hours of care charged for in last full accounting year]]&gt;0)),0,DATA[[#This Row],[IT Equipment &amp; Telephoney]]/DATA[[#This Row],[Number of hours of care charged for in last full accounting year]])</f>
        <v>0.35714285714285715</v>
      </c>
      <c r="LF28"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28"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28" s="30">
        <f>IF(OR(NOT(DATA[[#This Row],[Insurance ]]&gt;0),NOT(DATA[[#This Row],[Number of hours of care charged for in last full accounting year]]&gt;0)),0,DATA[[#This Row],[Insurance ]]/DATA[[#This Row],[Number of hours of care charged for in last full accounting year]])</f>
        <v>0.12516666666666668</v>
      </c>
      <c r="LI28"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1.0705952380952382</v>
      </c>
      <c r="LJ28" s="30">
        <f>IF(OR(NOT(DATA[[#This Row],[Repairs and maintenance]]&gt;0),NOT(DATA[[#This Row],[Number of hours of care charged for in last full accounting year]]&gt;0)),0,DATA[[#This Row],[Repairs and maintenance]]/DATA[[#This Row],[Number of hours of care charged for in last full accounting year]])</f>
        <v>7.0714285714285716E-2</v>
      </c>
      <c r="LK28"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0.7142857142857143</v>
      </c>
      <c r="LL28" s="30">
        <f>IF(OR(NOT(DATA[[#This Row],[Registration &amp; Inspection fees ]]&gt;0),NOT(DATA[[#This Row],[Number of hours of care charged for in last full accounting year]]&gt;0)),0,DATA[[#This Row],[Registration &amp; Inspection fees ]]/DATA[[#This Row],[Number of hours of care charged for in last full accounting year]])</f>
        <v>0</v>
      </c>
      <c r="LM28" s="30">
        <f>IF(OR(NOT(DATA[[#This Row],[Subscriptions]]&gt;0),NOT(DATA[[#This Row],[Number of hours of care charged for in last full accounting year]]&gt;0)),0,DATA[[#This Row],[Subscriptions]]/DATA[[#This Row],[Number of hours of care charged for in last full accounting year]])</f>
        <v>8.7857142857142856E-2</v>
      </c>
      <c r="LN28" s="30">
        <f>IF(OR(NOT(DATA[[#This Row],[Cost of finance]]&gt;0),NOT(DATA[[#This Row],[Number of hours of care charged for in last full accounting year]]&gt;0)),0,DATA[[#This Row],[Cost of finance]]/DATA[[#This Row],[Number of hours of care charged for in last full accounting year]])</f>
        <v>0</v>
      </c>
      <c r="LO28" s="30">
        <f>IF(OR(NOT(DATA[[#This Row],[Other non-staff current expenses]]&gt;0),NOT(DATA[[#This Row],[Number of hours of care charged for in last full accounting year]]&gt;0)),0,DATA[[#This Row],[Other non-staff current expenses]]/DATA[[#This Row],[Number of hours of care charged for in last full accounting year]])</f>
        <v>0</v>
      </c>
      <c r="LP28"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28"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28" s="30">
        <f>IF(OR(NOT(DATA[[#This Row],[Central / Regional Management]]&gt;0),NOT(DATA[[#This Row],[Number of hours of care charged for in last full accounting year]]&gt;0)),0,DATA[[#This Row],[Central / Regional Management]]/DATA[[#This Row],[Number of hours of care charged for in last full accounting year]])</f>
        <v>0</v>
      </c>
      <c r="LS28"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0.45509523809523811</v>
      </c>
      <c r="LT28"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8"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8" s="30">
        <f>SUM(DATA[[#This Row],[Management staff HOURLY RATE]:[Corporate Overheads: Other  - please specify (amount) 2 HOURLY RATE]])</f>
        <v>26.588023809523811</v>
      </c>
      <c r="LW28" s="30">
        <f>IF(OR(NOT(DATA[[#This Row],[Net Operating Profit]]&gt;0),NOT(DATA[[#This Row],[Number of hours of care charged for in last full accounting year]]&gt;0)),"",DATA[[#This Row],[Net Operating Profit]]/DATA[[#This Row],[Number of hours of care charged for in last full accounting year]])</f>
        <v>0.80988095238095237</v>
      </c>
      <c r="LX28" s="30">
        <f>IF(OR(NOT(DATA[[#This Row],[Return on Capital employed]]&gt;0),NOT(DATA[[#This Row],[Number of hours of care charged for in last full accounting year]]&gt;0)),0,DATA[[#This Row],[Return on Capital employed]]/DATA[[#This Row],[Number of hours of care charged for in last full accounting year]])</f>
        <v>0</v>
      </c>
      <c r="LY28" s="31">
        <v>22</v>
      </c>
      <c r="LZ28" s="30" t="s">
        <v>345</v>
      </c>
      <c r="MA28" s="30" t="b">
        <f>DATA[[#This Row],[Number of Home support clients:]]&gt;0</f>
        <v>1</v>
      </c>
      <c r="MB28" s="30" t="b">
        <f>DATA[[#This Row],[Number of supported living clients:]]&gt;0</f>
        <v>0</v>
      </c>
      <c r="MC28" s="30" t="b">
        <f>DATA[[#This Row],[Total Home Support Hours]]&gt;0</f>
        <v>1</v>
      </c>
      <c r="MD28" s="30" t="b">
        <f>DATA[[#This Row],[Total Supported Living Hours]]&gt;0</f>
        <v>0</v>
      </c>
      <c r="ME28" s="30" t="b">
        <f>DATA[[#This Row],[Home Support service split percentage (Expenditure):]]&gt;0.5</f>
        <v>0</v>
      </c>
      <c r="MF28" s="30" t="b">
        <f>DATA[[#This Row],[Agency staff HOURLY RATE]]=0</f>
        <v>1</v>
      </c>
      <c r="MG28" s="30">
        <f>IFERROR(IF(AVERAGE(DATA[[#This Row],[Registered manager: Current 2021/22 Minimum hourly pay rate ADJUSTED]],DATA[[#This Row],[Registered manager: Current 2021/22 Maximum hourly pay rate ADJUSTED]])&lt;LIVING_WAGE_22_23,DATA[[#This Row],[Registered manager: Numbers employed (Full Time Equivalent)]],0),"")</f>
        <v>0</v>
      </c>
      <c r="MH28" s="30">
        <f>IFERROR(IF(AVERAGE(DATA[[#This Row],[Deputy manager: Current 2021/22 Minimum hourly pay rate ADJUSTED]],DATA[[#This Row],[Deputy manager: Current 2021/22 Maximum hourly pay rate ADJUSTED]])&lt;LIVING_WAGE_22_23,DATA[[#This Row],[Deputy manager: Numbers employed (Full Time Equivalent)]],0),"")</f>
        <v>0</v>
      </c>
      <c r="MI28" s="30">
        <f>IFERROR(IF(AVERAGE(DATA[[#This Row],[Other manager 1: Current 2021/22 Minimum hourly pay rate ADJUSTED]],DATA[[#This Row],[Other manager 1: Current 2021/22 Maximum hourly pay rate ADJUSTED]])&lt;LIVING_WAGE_22_23,DATA[[#This Row],[Other manager 1: Numbers employed (Full Time Equivalent)]],0),"")</f>
        <v>0</v>
      </c>
      <c r="MJ28" s="30">
        <f>IFERROR(IF(AVERAGE(DATA[[#This Row],[Other manager 2: Current 2021/22 Minimum hourly pay rate ADJUSTED]],DATA[[#This Row],[Other manager 2: Current 2021/22 Maximum hourly pay rate ADJUSTED]])&lt;LIVING_WAGE_22_23,DATA[[#This Row],[Other manager 2: Numbers employed (Full Time Equivalent)]],0),"")</f>
        <v>0</v>
      </c>
      <c r="MK28" s="30">
        <f>IFERROR(IF(AVERAGE(DATA[[#This Row],[Other manager 3: Current 2021/22 Minimum hourly pay rate ADJUSTED]],DATA[[#This Row],[Other manager 3: Current 2021/22 Maximum hourly pay rate ADJUSTED]])&lt;LIVING_WAGE_22_23,DATA[[#This Row],[Other manager 3: Numbers employed (Full Time Equivalent)]],0),"")</f>
        <v>0</v>
      </c>
      <c r="ML28" s="30">
        <f>IFERROR(IF(AVERAGE(DATA[[#This Row],[Care Assistant 1: Current 2021/22 Minimum hourly pay rate ADJUSTED]],DATA[[#This Row],[Care Assistant 1: Current 2021/22 Maximum hourly pay rate ADJUSTED]])&lt;LIVING_WAGE_22_23,DATA[[#This Row],[Care Assistant 1: Numbers employed (Full Time Equivalent)]],0),"")</f>
        <v>0</v>
      </c>
      <c r="MM28" s="30">
        <f>IFERROR(IF(AVERAGE(DATA[[#This Row],[Care Assistant 2: Current 2021/22 Minimum hourly pay rate ADJUSTED]],DATA[[#This Row],[Care Assistant 2: Current 2021/22 Maximum hourly pay rate ADJUSTED]])&lt;LIVING_WAGE_22_23,DATA[[#This Row],[Care Assistant 2: Numbers employed (Full Time Equivalent)]],0),"")</f>
        <v>0</v>
      </c>
      <c r="MN28" s="30" t="str">
        <f>IFERROR(IF(AVERAGE(DATA[[#This Row],[Care Assistant 3: Current 2021/22 Minimum hourly pay rate ADJUSTED]],DATA[[#This Row],[Care Assistant 3: Current 2021/22 Maximum hourly pay rate ADJUSTED]])&lt;LIVING_WAGE_22_23,DATA[[#This Row],[Care Assistant 3: Numbers employed (Full Time Equivalent)]],0),"")</f>
        <v/>
      </c>
      <c r="MO28" s="30" t="str">
        <f>IFERROR(IF(AVERAGE(DATA[[#This Row],[Care Assistant 4: Current 2021/22 Minimum hourly pay rate ADJUSTED]],DATA[[#This Row],[Care Assistant 4: Current 2021/22 Maximum hourly pay rate ADJUSTED]])&lt;LIVING_WAGE_22_23,DATA[[#This Row],[Care Assistant 4: Numbers employed (Full Time Equivalent)]],0),"")</f>
        <v/>
      </c>
      <c r="MP28"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28"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1</v>
      </c>
      <c r="MR28" s="30" t="str">
        <f>IFERROR(IF(AVERAGE(DATA[[#This Row],[Other staff 1: Current 2021/22 Minimum hourly pay rate ADJUSTED]],DATA[[#This Row],[Other staff 1: Current 2021/22 Maximum hourly pay rate ADJUSTED]])&lt;LIVING_WAGE_22_23,DATA[[#This Row],[Other staff 1: Numbers employed (Full Time Equivalent)]],0),"")</f>
        <v/>
      </c>
      <c r="MS28" s="30" t="str">
        <f>IFERROR(IF(AVERAGE(DATA[[#This Row],[Other staff 2: Current 2021/22 Minimum hourly pay rate ADJUSTED]],DATA[[#This Row],[Other staff 2: Current 2021/22 Maximum hourly pay rate ADJUSTED]])&lt;LIVING_WAGE_22_23,DATA[[#This Row],[Other staff 2: Numbers employed (Full Time Equivalent)]],0),"")</f>
        <v/>
      </c>
      <c r="MT28" s="30" t="str">
        <f>IFERROR(IF(AVERAGE(DATA[[#This Row],[Other staff 3: Current 2021/22 Minimum hourly pay rate ADJUSTED]],DATA[[#This Row],[Other staff 3: Current 2021/22 Maximum hourly pay rate ADJUSTED]])&lt;LIVING_WAGE_22_23,DATA[[#This Row],[Other staff 3: Numbers employed (Full Time Equivalent)]],0),"")</f>
        <v/>
      </c>
      <c r="MU28" s="30">
        <f>SUM(DATA[[#This Row],[Registered Manager FTE earning less than NLW 23yrs 2022/23]:[Other staff 3 FTE earning less than NLW 23yrs 2022/23]])</f>
        <v>1</v>
      </c>
      <c r="MV28"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28"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28"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28"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28"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28"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28"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28"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28"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28"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28"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1.5</v>
      </c>
      <c r="NG28"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28"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28"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8" s="30" t="b">
        <v>1</v>
      </c>
      <c r="NK28" s="30" t="b">
        <v>1</v>
      </c>
      <c r="NL28" s="30" t="s">
        <v>505</v>
      </c>
      <c r="NM28" s="30">
        <f>SUM(DATA[[#This Row],[Management staff HOURLY RATE]:[Training and development HOURLY RATE]])</f>
        <v>21.826214285714286</v>
      </c>
      <c r="NN28" s="30">
        <f>SUM(DATA[[#This Row],[Recruitment &amp; advertising (including DBS checks) HOURLY RATE]:[Non-Staffing Direct Cost: Other  - please specify (amount) 2 HOURLY RATE]])</f>
        <v>2.2380952380952381</v>
      </c>
      <c r="NO28" s="30">
        <f>SUM(DATA[[#This Row],[Insurance  HOURLY RATE]:[Indirect costs: Other  - please specify (amount) 2 HOURLY RATE]])</f>
        <v>2.0686190476190474</v>
      </c>
      <c r="NP28" s="30">
        <f>SUM(DATA[[#This Row],[Central / Regional Management HOURLY RATE]:[Corporate Overheads: Other  - please specify (amount) 2 HOURLY RATE]])</f>
        <v>0.45509523809523811</v>
      </c>
      <c r="NQ28"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28" s="30">
        <f>IFERROR(IF(AVERAGE(DATA[[#This Row],[Deputy manager: Current 2021/22 Minimum hourly pay rate ADJUSTED]],DATA[[#This Row],[Deputy manager: Current 2021/22 Maximum hourly pay rate ADJUSTED]])&lt;REAL_LIVING_WAGE_22_23,DATA[[#This Row],[Deputy manager: Numbers employed (Full Time Equivalent)]],0),"")</f>
        <v>0</v>
      </c>
      <c r="NS28" s="30">
        <f>IFERROR(IF(AVERAGE(DATA[[#This Row],[Other manager 1: Current 2021/22 Minimum hourly pay rate ADJUSTED]],DATA[[#This Row],[Other manager 1: Current 2021/22 Maximum hourly pay rate ADJUSTED]])&lt;REAL_LIVING_WAGE_22_23,DATA[[#This Row],[Other manager 1: Numbers employed (Full Time Equivalent)]],0),"")</f>
        <v>0</v>
      </c>
      <c r="NT28" s="30">
        <f>IFERROR(IF(AVERAGE(DATA[[#This Row],[Other manager 2: Current 2021/22 Minimum hourly pay rate ADJUSTED]],DATA[[#This Row],[Other manager 2: Current 2021/22 Maximum hourly pay rate ADJUSTED]])&lt;REAL_LIVING_WAGE_22_23,DATA[[#This Row],[Other manager 2: Numbers employed (Full Time Equivalent)]],0),"")</f>
        <v>0</v>
      </c>
      <c r="NU28" s="30">
        <f>IFERROR(IF(AVERAGE(DATA[[#This Row],[Other manager 3: Current 2021/22 Minimum hourly pay rate ADJUSTED]],DATA[[#This Row],[Other manager 3: Current 2021/22 Maximum hourly pay rate ADJUSTED]])&lt;REAL_LIVING_WAGE_22_23,DATA[[#This Row],[Other manager 3: Numbers employed (Full Time Equivalent)]],0),"")</f>
        <v>0</v>
      </c>
      <c r="NV28" s="30">
        <f>IFERROR(IF(AVERAGE(DATA[[#This Row],[Care Assistant 1: Current 2021/22 Minimum hourly pay rate ADJUSTED]],DATA[[#This Row],[Care Assistant 1: Current 2021/22 Maximum hourly pay rate ADJUSTED]])&lt;REAL_LIVING_WAGE_22_23,DATA[[#This Row],[Care Assistant 1: Numbers employed (Full Time Equivalent)]],0),"")</f>
        <v>0</v>
      </c>
      <c r="NW28" s="30">
        <f>IFERROR(IF(AVERAGE(DATA[[#This Row],[Care Assistant 2: Current 2021/22 Minimum hourly pay rate ADJUSTED]],DATA[[#This Row],[Care Assistant 2: Current 2021/22 Maximum hourly pay rate ADJUSTED]])&lt;REAL_LIVING_WAGE_22_23,DATA[[#This Row],[Care Assistant 2: Numbers employed (Full Time Equivalent)]],0),"")</f>
        <v>0</v>
      </c>
      <c r="NX28"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28"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28"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28"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1</v>
      </c>
      <c r="OB28" s="30" t="str">
        <f>IFERROR(IF(AVERAGE(DATA[[#This Row],[Other staff 1: Current 2021/22 Minimum hourly pay rate ADJUSTED]],DATA[[#This Row],[Other staff 1: Current 2021/22 Maximum hourly pay rate ADJUSTED]])&lt;REAL_LIVING_WAGE_22_23,DATA[[#This Row],[Other staff 1: Numbers employed (Full Time Equivalent)]],0),"")</f>
        <v/>
      </c>
      <c r="OC28" s="30" t="str">
        <f>IFERROR(IF(AVERAGE(DATA[[#This Row],[Other staff 2: Current 2021/22 Minimum hourly pay rate ADJUSTED]],DATA[[#This Row],[Other staff 2: Current 2021/22 Maximum hourly pay rate ADJUSTED]])&lt;REAL_LIVING_WAGE_22_23,DATA[[#This Row],[Other staff 2: Numbers employed (Full Time Equivalent)]],0),"")</f>
        <v/>
      </c>
      <c r="OD28" s="30" t="str">
        <f>IFERROR(IF(AVERAGE(DATA[[#This Row],[Other staff 3: Current 2021/22 Minimum hourly pay rate ADJUSTED]],DATA[[#This Row],[Other staff 3: Current 2021/22 Maximum hourly pay rate ADJUSTED]])&lt;REAL_LIVING_WAGE_22_23,DATA[[#This Row],[Other staff 3: Numbers employed (Full Time Equivalent)]],0),"")</f>
        <v/>
      </c>
      <c r="OE28" s="30">
        <f>SUM(DATA[[#This Row],[Registered Manager FTE earning less than RLW 23yrs 2022/23]:[Other staff 3 FTE earning less than RLW 23yrs 2022/23]])</f>
        <v>1</v>
      </c>
      <c r="OF28"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28"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28"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28"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28"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28"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28"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28"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28"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28"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28"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1.9000000000000004</v>
      </c>
      <c r="OQ28"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28"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28"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8" s="30">
        <f>IFERROR(IF(DATA[[#This Row],[Registered manager: Numbers employed (Full Time Equivalent)]]=0,"",DATA[[#This Row],[Registered manager: Current 2021/22 Minimum hourly pay rate ADJUSTED 2]]*DATA[[#This Row],[Registered manager: Numbers employed (Full Time Equivalent)]]),"")</f>
        <v>20.51</v>
      </c>
      <c r="OU28" s="30">
        <f>IFERROR(IF(DATA[[#This Row],[Registered manager: Numbers employed (Full Time Equivalent)]]=0,"",DATA[[#This Row],[Registered manager: Current 2021/22 Maximum hourly pay rate ADJUSTED 2]]*DATA[[#This Row],[Registered manager: Numbers employed (Full Time Equivalent)]]),"")</f>
        <v>20.51</v>
      </c>
      <c r="OV28" s="30">
        <f>IFERROR(IF(DATA[[#This Row],[Registered manager: Numbers employed (Full Time Equivalent)]]=0,"",DATA[[#This Row],[Registered manager: Previous 2020/21 Minimum hourly pay rate ADJUSTED 2]]*DATA[[#This Row],[Registered manager: Numbers employed (Full Time Equivalent)]]),"")</f>
        <v>20.51</v>
      </c>
      <c r="OW28" s="30">
        <f>IFERROR(IF(DATA[[#This Row],[Registered manager: Numbers employed (Full Time Equivalent)]]=0,"",DATA[[#This Row],[Registered manager: Previous 2020/21 Maximum hourly pay rate ADJUSTED 2]]*DATA[[#This Row],[Registered manager: Numbers employed (Full Time Equivalent)]]),"")</f>
        <v>20.51</v>
      </c>
      <c r="OX28" s="30">
        <f>IFERROR(IF(DATA[[#This Row],[Deputy manager: Numbers employed (Full Time Equivalent)]]=0,"",DATA[[#This Row],[Deputy manager: Current 2021/22 Minimum hourly pay rate ADJUSTED 2]]*DATA[[#This Row],[Deputy manager: Numbers employed (Full Time Equivalent)]]),"")</f>
        <v>15.9</v>
      </c>
      <c r="OY28" s="30">
        <f>IFERROR(IF(DATA[[#This Row],[Deputy manager: Numbers employed (Full Time Equivalent)]]=0,"",DATA[[#This Row],[Deputy manager: Current 2021/22 Maximum hourly pay rate ADJUSTED 2]]*DATA[[#This Row],[Deputy manager: Numbers employed (Full Time Equivalent)]]),"")</f>
        <v>15.9</v>
      </c>
      <c r="OZ28" s="30">
        <f>IFERROR(IF(DATA[[#This Row],[Deputy manager: Numbers employed (Full Time Equivalent)]]=0,"",DATA[[#This Row],[Deputy manager: Previous 2020/21 Minimum hourly pay rate ADJUSTED 2]]*DATA[[#This Row],[Deputy manager: Numbers employed (Full Time Equivalent)]]),"")</f>
        <v>15.9</v>
      </c>
      <c r="PA28" s="30">
        <f>IFERROR(IF(DATA[[#This Row],[Deputy manager: Numbers employed (Full Time Equivalent)]]=0,"",DATA[[#This Row],[Deputy manager: Previous 2020/21 Maximum hourly pay rate ADJUSTED 2]]*DATA[[#This Row],[Deputy manager: Numbers employed (Full Time Equivalent)]]),"")</f>
        <v>15.9</v>
      </c>
      <c r="PB28" s="30">
        <f>IFERROR(IF(DATA[[#This Row],[Other manager 1: Numbers employed (Full Time Equivalent)]]=0,"",DATA[[#This Row],[Other manager 1: Current 2021/22 Minimum hourly pay rate ADJUSTED 2]]*DATA[[#This Row],[Other manager 1: Numbers employed (Full Time Equivalent)]]),"")</f>
        <v>20.51</v>
      </c>
      <c r="PC28" s="30">
        <f>IFERROR(IF(DATA[[#This Row],[Other manager 1: Numbers employed (Full Time Equivalent)]]=0,"",DATA[[#This Row],[Other manager 1: Current 2021/22 Maximum hourly pay rate ADJUSTED 2]]*DATA[[#This Row],[Other manager 1: Numbers employed (Full Time Equivalent)]]),"")</f>
        <v>20.51</v>
      </c>
      <c r="PD28" s="30">
        <f>IFERROR(IF(DATA[[#This Row],[Other manager 1: Numbers employed (Full Time Equivalent)]]=0,"",DATA[[#This Row],[Other manager 1: Previous 2020/21 Minimum hourly pay rate ADJUSTED 2]]*DATA[[#This Row],[Other manager 1: Numbers employed (Full Time Equivalent)]]),"")</f>
        <v>20.51</v>
      </c>
      <c r="PE28" s="30">
        <f>IFERROR(IF(DATA[[#This Row],[Other manager 1: Numbers employed (Full Time Equivalent)]]=0,"",DATA[[#This Row],[Other manager 1: Previous 2020/21 Maximum hourly pay rate ADJUSTED 2]]*DATA[[#This Row],[Other manager 1: Numbers employed (Full Time Equivalent)]]),"")</f>
        <v>20.51</v>
      </c>
      <c r="PF28" s="30">
        <f>IFERROR(IF(DATA[[#This Row],[Other manager 2: Numbers employed (Full Time Equivalent)]]=0,"",DATA[[#This Row],[Other manager 2: Current 2021/22 Minimum hourly pay rate ADJUSTED 2]]*DATA[[#This Row],[Other manager 2: Numbers employed (Full Time Equivalent)]]),"")</f>
        <v>12.92</v>
      </c>
      <c r="PG28" s="30">
        <f>IFERROR(IF(DATA[[#This Row],[Other manager 2: Numbers employed (Full Time Equivalent)]]=0,"",DATA[[#This Row],[Other manager 2: Current 2021/22 Maximum hourly pay rate ADJUSTED 2]]*DATA[[#This Row],[Other manager 2: Numbers employed (Full Time Equivalent)]]),"")</f>
        <v>12.92</v>
      </c>
      <c r="PH28" s="30">
        <f>IFERROR(IF(DATA[[#This Row],[Other manager 2: Numbers employed (Full Time Equivalent)]]=0,"",DATA[[#This Row],[Other manager 2: Previous 2020/21 Minimum hourly pay rate ADJUSTED 2]]*DATA[[#This Row],[Other manager 2: Numbers employed (Full Time Equivalent)]]),"")</f>
        <v>12.92</v>
      </c>
      <c r="PI28" s="30">
        <f>IFERROR(IF(DATA[[#This Row],[Other manager 2: Numbers employed (Full Time Equivalent)]]=0,"",DATA[[#This Row],[Other manager 2: Previous 2020/21 Maximum hourly pay rate ADJUSTED 2]]*DATA[[#This Row],[Other manager 2: Numbers employed (Full Time Equivalent)]]),"")</f>
        <v>12.92</v>
      </c>
      <c r="PJ28" s="30">
        <f>IFERROR(IF(DATA[[#This Row],[Other manager 3: Numbers employed (Full Time Equivalent)]]=0,"",DATA[[#This Row],[Other manager 3: Current 2021/22 Minimum hourly pay rate ADJUSTED 2]]*DATA[[#This Row],[Other manager 3: Numbers employed (Full Time Equivalent)]]),"")</f>
        <v>20</v>
      </c>
      <c r="PK28" s="30">
        <f>IFERROR(IF(DATA[[#This Row],[Other manager 3: Numbers employed (Full Time Equivalent)]]=0,"",DATA[[#This Row],[Other manager 3: Current 2021/22 Maximum hourly pay rate ADJUSTED 2]]*DATA[[#This Row],[Other manager 3: Numbers employed (Full Time Equivalent)]]),"")</f>
        <v>20</v>
      </c>
      <c r="PL28" s="30">
        <f>IFERROR(IF(DATA[[#This Row],[Other manager 3: Numbers employed (Full Time Equivalent)]]=0,"",DATA[[#This Row],[Other manager 3: Previous 2020/21 Minimum hourly pay rate ADJUSTED 2]]*DATA[[#This Row],[Other manager 3: Numbers employed (Full Time Equivalent)]]),"")</f>
        <v>20</v>
      </c>
      <c r="PM28" s="30">
        <f>IFERROR(IF(DATA[[#This Row],[Other manager 3: Numbers employed (Full Time Equivalent)]]=0,"",DATA[[#This Row],[Other manager 3: Previous 2020/21 Maximum hourly pay rate ADJUSTED 2]]*DATA[[#This Row],[Other manager 3: Numbers employed (Full Time Equivalent)]]),"")</f>
        <v>20</v>
      </c>
      <c r="PN28" s="30" t="str">
        <f>IFERROR(IF(DATA[[#This Row],[Care Assistant 1: Numbers employed (Full Time Equivalent)]]=0,"",DATA[[#This Row],[Care Assistant 1: Current 2021/22 Minimum hourly pay rate ADJUSTED 2]]*DATA[[#This Row],[Care Assistant 1: Numbers employed (Full Time Equivalent)]]),"")</f>
        <v/>
      </c>
      <c r="PO28" s="30" t="str">
        <f>IFERROR(IF(DATA[[#This Row],[Care Assistant 1: Numbers employed (Full Time Equivalent)]]=0,"",DATA[[#This Row],[Care Assistant 1: Current 2021/22 Maximum hourly pay rate ADJUSTED 2]]*DATA[[#This Row],[Care Assistant 1: Numbers employed (Full Time Equivalent)]]),"")</f>
        <v/>
      </c>
      <c r="PP28" s="30" t="str">
        <f>IFERROR(IF(DATA[[#This Row],[Care Assistant 1: Numbers employed (Full Time Equivalent)]]=0,"",DATA[[#This Row],[Care Assistant 1: Previous 2020/21 Minimum hourly pay rate ADJUSTED 2]]*DATA[[#This Row],[Care Assistant 1: Numbers employed (Full Time Equivalent)]]),"")</f>
        <v/>
      </c>
      <c r="PQ28" s="30" t="str">
        <f>IFERROR(IF(DATA[[#This Row],[Care Assistant 1: Numbers employed (Full Time Equivalent)]]=0,"",DATA[[#This Row],[Care Assistant 1: Previous 2020/21 Maximum hourly pay rate ADJUSTED 2]]*DATA[[#This Row],[Care Assistant 1: Numbers employed (Full Time Equivalent)]]),"")</f>
        <v/>
      </c>
      <c r="PR28" s="30" t="str">
        <f>IFERROR(IF(DATA[[#This Row],[Care Assistant 2: Numbers employed (Full Time Equivalent)]]=0,"",DATA[[#This Row],[Care Assistant 2: Current 2021/22 Minimum hourly pay rate ADJUSTED 2]]*DATA[[#This Row],[Care Assistant 2: Numbers employed (Full Time Equivalent)]]),"")</f>
        <v/>
      </c>
      <c r="PS28" s="30" t="str">
        <f>IFERROR(IF(DATA[[#This Row],[Care Assistant 2: Numbers employed (Full Time Equivalent)]]=0,"",DATA[[#This Row],[Care Assistant 2: Current 2021/22 Maximum hourly pay rate ADJUSTED 2]]*DATA[[#This Row],[Care Assistant 2: Numbers employed (Full Time Equivalent)]]),"")</f>
        <v/>
      </c>
      <c r="PT28" s="30" t="str">
        <f>IFERROR(IF(DATA[[#This Row],[Care Assistant 2: Numbers employed (Full Time Equivalent)]]=0,"",DATA[[#This Row],[Care Assistant 2: Previous 2020/21 Minimum hourly pay rate ADJUSTED 2]]*DATA[[#This Row],[Care Assistant 2: Numbers employed (Full Time Equivalent)]]),"")</f>
        <v/>
      </c>
      <c r="PU28" s="30" t="str">
        <f>IFERROR(IF(DATA[[#This Row],[Care Assistant 2: Numbers employed (Full Time Equivalent)]]=0,"",DATA[[#This Row],[Care Assistant 2: Previous 2020/21 Maximum hourly pay rate ADJUSTED 2]]*DATA[[#This Row],[Care Assistant 2: Numbers employed (Full Time Equivalent)]]),"")</f>
        <v/>
      </c>
      <c r="PV28" s="30" t="str">
        <f>IFERROR(IF(DATA[[#This Row],[Care Assistant 3: Numbers employed (Full Time Equivalent)]]=0,"",DATA[[#This Row],[Care Assistant 3: Current 2021/22 Minimum hourly pay rate ADJUSTED 2]]*DATA[[#This Row],[Care Assistant 3: Numbers employed (Full Time Equivalent)]]),"")</f>
        <v/>
      </c>
      <c r="PW28" s="30" t="str">
        <f>IFERROR(IF(DATA[[#This Row],[Care Assistant 3: Numbers employed (Full Time Equivalent)]]=0,"",DATA[[#This Row],[Care Assistant 3: Current 2021/22 Maximum hourly pay rate ADJUSTED 2]]*DATA[[#This Row],[Care Assistant 3: Numbers employed (Full Time Equivalent)]]),"")</f>
        <v/>
      </c>
      <c r="PX28" s="30" t="str">
        <f>IFERROR(IF(DATA[[#This Row],[Care Assistant 3: Numbers employed (Full Time Equivalent)]]=0,"",DATA[[#This Row],[Care Assistant 3: Previous 2020/21 Minimum hourly pay rate ADJUSTED 2]]*DATA[[#This Row],[Care Assistant 3: Numbers employed (Full Time Equivalent)]]),"")</f>
        <v/>
      </c>
      <c r="PY28" s="30" t="str">
        <f>IFERROR(IF(DATA[[#This Row],[Care Assistant 3: Numbers employed (Full Time Equivalent)]]=0,"",DATA[[#This Row],[Care Assistant 3: Previous 2020/21 Maximum hourly pay rate ADJUSTED 2]]*DATA[[#This Row],[Care Assistant 3: Numbers employed (Full Time Equivalent)]]),"")</f>
        <v/>
      </c>
      <c r="PZ28" s="30" t="str">
        <f>IFERROR(IF(DATA[[#This Row],[Care Assistant 4: Numbers employed (Full Time Equivalent)]]=0,"",DATA[[#This Row],[Care Assistant 4: Current 2021/22 Minimum hourly pay rate ADJUSTED 2]]*DATA[[#This Row],[Care Assistant 4: Numbers employed (Full Time Equivalent)]]),"")</f>
        <v/>
      </c>
      <c r="QA28" s="30" t="str">
        <f>IFERROR(IF(DATA[[#This Row],[Care Assistant 4: Numbers employed (Full Time Equivalent)]]=0,"",DATA[[#This Row],[Care Assistant 4: Current 2021/22 Maximum hourly pay rate ADJUSTED 2]]*DATA[[#This Row],[Care Assistant 4: Numbers employed (Full Time Equivalent)]]),"")</f>
        <v/>
      </c>
      <c r="QB28" s="30" t="str">
        <f>IFERROR(IF(DATA[[#This Row],[Care Assistant 4: Numbers employed (Full Time Equivalent)]]=0,"",DATA[[#This Row],[Care Assistant 4: Previous 2020/21 Minimum hourly pay rate ADJUSTED 2]]*DATA[[#This Row],[Care Assistant 4: Numbers employed (Full Time Equivalent)]]),"")</f>
        <v/>
      </c>
      <c r="QC28" s="30" t="str">
        <f>IFERROR(IF(DATA[[#This Row],[Care Assistant 4: Numbers employed (Full Time Equivalent)]]=0,"",DATA[[#This Row],[Care Assistant 4: Previous 2020/21 Maximum hourly pay rate ADJUSTED 2]]*DATA[[#This Row],[Care Assistant 4: Numbers employed (Full Time Equivalent)]]),"")</f>
        <v/>
      </c>
      <c r="QD28" s="30">
        <f>IFERROR(IF(DATA[[#This Row],[Administrative Officer 1: Numbers employed (Full Time Equivalent)]]=0,"",DATA[[#This Row],[Administrative Officer 1: Current 2021/22 Minimum hourly pay rate ADJUSTED 2]]*DATA[[#This Row],[Administrative Officer 1: Numbers employed (Full Time Equivalent)]]),"")</f>
        <v>10</v>
      </c>
      <c r="QE28" s="30">
        <f>IFERROR(IF(DATA[[#This Row],[Administrative Officer 1: Numbers employed (Full Time Equivalent)]]=0,"",DATA[[#This Row],[Administrative Officer 1: Current 2021/22 Maximum hourly pay rate ADJUSTED 2]]*DATA[[#This Row],[Administrative Officer 1: Numbers employed (Full Time Equivalent)]]),"")</f>
        <v>10</v>
      </c>
      <c r="QF28" s="30">
        <f>IFERROR(IF(DATA[[#This Row],[Administrative Officer 1: Numbers employed (Full Time Equivalent)]]=0,"",DATA[[#This Row],[Administrative Officer 1: Previous 2020/21 Minimum hourly pay rate ADJUSTED 2]]*DATA[[#This Row],[Administrative Officer 1: Numbers employed (Full Time Equivalent)]]),"")</f>
        <v>10</v>
      </c>
      <c r="QG28" s="30">
        <f>IFERROR(IF(DATA[[#This Row],[Administrative Officer 1: Numbers employed (Full Time Equivalent)]]=0,"",DATA[[#This Row],[Administrative Officer 1: Previous 2020/21 Maximum hourly pay rate ADJUSTED 2]]*DATA[[#This Row],[Administrative Officer 1: Numbers employed (Full Time Equivalent)]]),"")</f>
        <v>10</v>
      </c>
      <c r="QH28" s="30">
        <f>IFERROR(IF(DATA[[#This Row],[Administrative Officer 2: Numbers employed (Full Time Equivalent)]]=0,"",DATA[[#This Row],[Administrative Officer 2: Current 2021/22 Minimum hourly pay rate ADJUSTED 2]]*DATA[[#This Row],[Administrative Officer 2: Numbers employed (Full Time Equivalent)]]),"")</f>
        <v>8</v>
      </c>
      <c r="QI28" s="30">
        <f>IFERROR(IF(DATA[[#This Row],[Administrative Officer 2: Numbers employed (Full Time Equivalent)]]=0,"",DATA[[#This Row],[Administrative Officer 2: Current 2021/22 Maximum hourly pay rate ADJUSTED 2]]*DATA[[#This Row],[Administrative Officer 2: Numbers employed (Full Time Equivalent)]]),"")</f>
        <v>8</v>
      </c>
      <c r="QJ28" s="30">
        <f>IFERROR(IF(DATA[[#This Row],[Administrative Officer 2: Numbers employed (Full Time Equivalent)]]=0,"",DATA[[#This Row],[Administrative Officer 2: Previous 2020/21 Minimum hourly pay rate ADJUSTED 2]]*DATA[[#This Row],[Administrative Officer 2: Numbers employed (Full Time Equivalent)]]),"")</f>
        <v>7.75</v>
      </c>
      <c r="QK28" s="30">
        <f>IFERROR(IF(DATA[[#This Row],[Administrative Officer 2: Numbers employed (Full Time Equivalent)]]=0,"",DATA[[#This Row],[Administrative Officer 2: Previous 2020/21 Maximum hourly pay rate ADJUSTED 2]]*DATA[[#This Row],[Administrative Officer 2: Numbers employed (Full Time Equivalent)]]),"")</f>
        <v>7.75</v>
      </c>
      <c r="QL28" s="30" t="str">
        <f>IFERROR(IF(DATA[[#This Row],[Administrative Officer 3: Numbers employed (Full Time Equivalent)]]=0,"",DATA[[#This Row],[Administrative Officer 3: Current 2021/22 Minimum hourly pay rate ADJUSTED 2]]*DATA[[#This Row],[Administrative Officer 3: Numbers employed (Full Time Equivalent)]]),"")</f>
        <v/>
      </c>
      <c r="QM28" s="30" t="str">
        <f>IFERROR(IF(DATA[[#This Row],[Administrative Officer 3: Numbers employed (Full Time Equivalent)]]=0,"",DATA[[#This Row],[Administrative Officer 3: Current 2021/22 Maximum hourly pay rate ADJUSTED 2]]*DATA[[#This Row],[Administrative Officer 3: Numbers employed (Full Time Equivalent)]]),"")</f>
        <v/>
      </c>
      <c r="QN28" s="30" t="str">
        <f>IFERROR(IF(DATA[[#This Row],[Administrative Officer 3: Numbers employed (Full Time Equivalent)]]=0,"",DATA[[#This Row],[Administrative Officer 3: Previous 2020/21 Minimum hourly pay rate ADJUSTED 2]]*DATA[[#This Row],[Administrative Officer 3: Numbers employed (Full Time Equivalent)]]),"")</f>
        <v/>
      </c>
      <c r="QO28" s="30" t="str">
        <f>IFERROR(IF(DATA[[#This Row],[Administrative Officer 3: Numbers employed (Full Time Equivalent)]]=0,"",DATA[[#This Row],[Administrative Officer 3: Previous 2020/21 Maximum hourly pay rate ADJUSTED 2]]*DATA[[#This Row],[Administrative Officer 3: Numbers employed (Full Time Equivalent)]]),"")</f>
        <v/>
      </c>
      <c r="QP28" s="28" t="str">
        <f>IFERROR(IF(DATA[[#This Row],[Other staff 1: Numbers employed (Full Time Equivalent)]]=0,"",DATA[[#This Row],[Other staff 1: Current 2021/22 Minimum hourly pay rate ADJUSTED 2]]*DATA[[#This Row],[Other staff 1: Numbers employed (Full Time Equivalent)]]),"")</f>
        <v/>
      </c>
      <c r="QQ28" s="28" t="str">
        <f>IFERROR(IF(DATA[[#This Row],[Other staff 1: Numbers employed (Full Time Equivalent)]]=0,"",DATA[[#This Row],[Other staff 1: Current 2021/22 Maximum hourly pay rate ADJUSTED 2]]*DATA[[#This Row],[Other staff 1: Numbers employed (Full Time Equivalent)]]),"")</f>
        <v/>
      </c>
      <c r="QR28" s="28" t="str">
        <f>IFERROR(IF(DATA[[#This Row],[Other staff 1: Numbers employed (Full Time Equivalent)]]=0,"",DATA[[#This Row],[Other staff 1: Previous 2020/21 Minimum hourly pay rate ADJUSTED 2]]*DATA[[#This Row],[Other staff 1: Numbers employed (Full Time Equivalent)]]),"")</f>
        <v/>
      </c>
      <c r="QS28" s="28" t="str">
        <f>IFERROR(IF(DATA[[#This Row],[Other staff 1: Numbers employed (Full Time Equivalent)]]=0,"",DATA[[#This Row],[Other staff 1: Previous 2020/21 Maximum hourly pay rate ADJUSTED 2]]*DATA[[#This Row],[Other staff 1: Numbers employed (Full Time Equivalent)]]),"")</f>
        <v/>
      </c>
      <c r="QT28" s="28" t="str">
        <f>IFERROR(IF(DATA[[#This Row],[Other staff 2: Numbers employed (Full Time Equivalent)]]=0,"",DATA[[#This Row],[Other staff 2: Current 2021/22 Minimum hourly pay rate ADJUSTED 2]]*DATA[[#This Row],[Other staff 2: Numbers employed (Full Time Equivalent)]]),"")</f>
        <v/>
      </c>
      <c r="QU28" s="28" t="str">
        <f>IFERROR(IF(DATA[[#This Row],[Other staff 2: Numbers employed (Full Time Equivalent)]]=0,"",DATA[[#This Row],[Other staff 2: Current 2021/22 Maximum hourly pay rate ADJUSTED 2]]*DATA[[#This Row],[Other staff 2: Numbers employed (Full Time Equivalent)]]),"")</f>
        <v/>
      </c>
      <c r="QV28" s="28" t="str">
        <f>IFERROR(IF(DATA[[#This Row],[Other staff 2: Numbers employed (Full Time Equivalent)]]=0,"",DATA[[#This Row],[Other staff 2: Previous 2020/21 Minimum hourly pay rate ADJUSTED 2]]*DATA[[#This Row],[Other staff 2: Numbers employed (Full Time Equivalent)]]),"")</f>
        <v/>
      </c>
      <c r="QW28" s="28" t="str">
        <f>IFERROR(IF(DATA[[#This Row],[Other staff 2: Numbers employed (Full Time Equivalent)]]=0,"",DATA[[#This Row],[Other staff 2: Previous 2020/21 Maximum hourly pay rate ADJUSTED 2]]*DATA[[#This Row],[Other staff 2: Numbers employed (Full Time Equivalent)]]),"")</f>
        <v/>
      </c>
      <c r="QX28" s="28" t="str">
        <f>IFERROR(IF(DATA[[#This Row],[Other staff 3: Numbers employed (Full Time Equivalent)]]=0,"",DATA[[#This Row],[Other staff 3: Current 2021/22 Minimum hourly pay rate ADJUSTED 2]]*DATA[[#This Row],[Other staff 3: Numbers employed (Full Time Equivalent)]]),"")</f>
        <v/>
      </c>
      <c r="QY28" s="28" t="str">
        <f>IFERROR(IF(DATA[[#This Row],[Other staff 3: Numbers employed (Full Time Equivalent)]]=0,"",DATA[[#This Row],[Other staff 3: Current 2021/22 Maximum hourly pay rate ADJUSTED 2]]*DATA[[#This Row],[Other staff 3: Numbers employed (Full Time Equivalent)]]),"")</f>
        <v/>
      </c>
      <c r="QZ28" s="28" t="str">
        <f>IFERROR(IF(DATA[[#This Row],[Other staff 3: Numbers employed (Full Time Equivalent)]]=0,"",DATA[[#This Row],[Other staff 3: Previous 2020/21 Minimum hourly pay rate ADJUSTED 2]]*DATA[[#This Row],[Other staff 3: Numbers employed (Full Time Equivalent)]]),"")</f>
        <v/>
      </c>
      <c r="RA28" s="28" t="str">
        <f>IFERROR(IF(DATA[[#This Row],[Other staff 3: Numbers employed (Full Time Equivalent)]]=0,"",DATA[[#This Row],[Other staff 3: Previous 2020/21 Maximum hourly pay rate ADJUSTED 2]]*DATA[[#This Row],[Other staff 3: Numbers employed (Full Time Equivalent)]]),"")</f>
        <v/>
      </c>
      <c r="RB28"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28"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28"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28"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28"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2</v>
      </c>
      <c r="RG28"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0</v>
      </c>
      <c r="RH28"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28"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28"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28"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28"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28"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28"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28"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28"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29" spans="7:484" x14ac:dyDescent="0.25">
      <c r="G29" s="2">
        <v>23</v>
      </c>
      <c r="H29" s="2">
        <v>17</v>
      </c>
      <c r="I29" s="2">
        <v>0</v>
      </c>
      <c r="J29" s="2">
        <v>0.85</v>
      </c>
      <c r="K29" s="2">
        <v>0</v>
      </c>
      <c r="L29" s="2" t="s">
        <v>328</v>
      </c>
      <c r="M29" s="2" t="s">
        <v>365</v>
      </c>
      <c r="R29" s="2">
        <v>12</v>
      </c>
      <c r="S29" s="2">
        <v>13</v>
      </c>
      <c r="T29" s="2">
        <v>12</v>
      </c>
      <c r="U29" s="2">
        <v>12</v>
      </c>
      <c r="V29" s="2">
        <v>0</v>
      </c>
      <c r="W29" s="2">
        <v>12</v>
      </c>
      <c r="X29" s="2">
        <v>13</v>
      </c>
      <c r="Y29" s="2">
        <v>12</v>
      </c>
      <c r="Z29" s="2">
        <v>12</v>
      </c>
      <c r="AA29" s="2">
        <v>1</v>
      </c>
      <c r="AB29" s="2" t="s">
        <v>315</v>
      </c>
      <c r="AC29" s="2">
        <v>0</v>
      </c>
      <c r="AD29" s="2">
        <v>0</v>
      </c>
      <c r="AE29" s="2">
        <v>0</v>
      </c>
      <c r="AF29" s="2">
        <v>0</v>
      </c>
      <c r="AG29" s="2">
        <v>0</v>
      </c>
      <c r="AH29" s="2" t="s">
        <v>315</v>
      </c>
      <c r="AI29" s="2">
        <v>0</v>
      </c>
      <c r="AJ29" s="2">
        <v>0</v>
      </c>
      <c r="AK29" s="2">
        <v>0</v>
      </c>
      <c r="AL29" s="2">
        <v>0</v>
      </c>
      <c r="AM29" s="2">
        <v>0</v>
      </c>
      <c r="AN29" s="2" t="s">
        <v>315</v>
      </c>
      <c r="AO29" s="2">
        <v>0</v>
      </c>
      <c r="AP29" s="2">
        <v>0</v>
      </c>
      <c r="AQ29" s="2">
        <v>0</v>
      </c>
      <c r="AR29" s="2">
        <v>0</v>
      </c>
      <c r="AS29" s="2">
        <v>0</v>
      </c>
      <c r="AT29" s="2" t="s">
        <v>316</v>
      </c>
      <c r="AU29" s="2">
        <v>8.4</v>
      </c>
      <c r="AV29" s="2">
        <v>9.1</v>
      </c>
      <c r="AW29" s="2">
        <v>8.1</v>
      </c>
      <c r="AX29" s="2">
        <v>9</v>
      </c>
      <c r="AY29" s="2">
        <v>13</v>
      </c>
      <c r="AZ29" s="2" t="s">
        <v>316</v>
      </c>
      <c r="BA29" s="2">
        <v>0</v>
      </c>
      <c r="BB29" s="2">
        <v>0</v>
      </c>
      <c r="BC29" s="2">
        <v>0</v>
      </c>
      <c r="BD29" s="2">
        <v>0</v>
      </c>
      <c r="BE29" s="2">
        <v>0</v>
      </c>
      <c r="BF29" s="2" t="s">
        <v>316</v>
      </c>
      <c r="BG29" s="2">
        <v>0</v>
      </c>
      <c r="BH29" s="2">
        <v>0</v>
      </c>
      <c r="BI29" s="2">
        <v>0</v>
      </c>
      <c r="BJ29" s="2">
        <v>0</v>
      </c>
      <c r="BK29" s="2">
        <v>0</v>
      </c>
      <c r="BL29" s="2" t="s">
        <v>316</v>
      </c>
      <c r="BM29" s="2">
        <v>0</v>
      </c>
      <c r="BN29" s="2">
        <v>0</v>
      </c>
      <c r="BO29" s="2">
        <v>0</v>
      </c>
      <c r="BP29" s="2">
        <v>0</v>
      </c>
      <c r="BQ29" s="2">
        <v>0</v>
      </c>
      <c r="BR29" s="2" t="s">
        <v>317</v>
      </c>
      <c r="BS29" s="2">
        <v>9</v>
      </c>
      <c r="BT29" s="2">
        <v>9.1</v>
      </c>
      <c r="BU29" s="2">
        <v>9</v>
      </c>
      <c r="BV29" s="2">
        <v>9.1</v>
      </c>
      <c r="BW29" s="2">
        <v>1</v>
      </c>
      <c r="BX29" s="2" t="s">
        <v>317</v>
      </c>
      <c r="BY29" s="2">
        <v>0</v>
      </c>
      <c r="BZ29" s="2">
        <v>0</v>
      </c>
      <c r="CA29" s="2">
        <v>0</v>
      </c>
      <c r="CB29" s="2">
        <v>0</v>
      </c>
      <c r="CC29" s="2">
        <v>0</v>
      </c>
      <c r="CD29" s="2" t="s">
        <v>317</v>
      </c>
      <c r="CE29" s="2">
        <v>0</v>
      </c>
      <c r="CF29" s="2">
        <v>0</v>
      </c>
      <c r="CG29" s="2">
        <v>0</v>
      </c>
      <c r="CH29" s="2">
        <v>0</v>
      </c>
      <c r="CI29" s="2">
        <v>0</v>
      </c>
      <c r="CJ29" s="2" t="s">
        <v>425</v>
      </c>
      <c r="CK29" s="2">
        <v>10</v>
      </c>
      <c r="CL29" s="2">
        <v>10</v>
      </c>
      <c r="CM29" s="2">
        <v>10</v>
      </c>
      <c r="CN29" s="2">
        <v>10</v>
      </c>
      <c r="CO29" s="2">
        <v>1</v>
      </c>
      <c r="CP29" s="2" t="s">
        <v>318</v>
      </c>
      <c r="CQ29" s="2">
        <v>0</v>
      </c>
      <c r="CR29" s="2">
        <v>0</v>
      </c>
      <c r="CS29" s="2">
        <v>0</v>
      </c>
      <c r="CT29" s="2">
        <v>0</v>
      </c>
      <c r="CU29" s="2">
        <v>0</v>
      </c>
      <c r="CV29" s="2" t="s">
        <v>318</v>
      </c>
      <c r="CW29" s="2">
        <v>0</v>
      </c>
      <c r="CX29" s="2">
        <v>0</v>
      </c>
      <c r="CY29" s="2">
        <v>0</v>
      </c>
      <c r="CZ29" s="2">
        <v>0</v>
      </c>
      <c r="DA29" s="2">
        <v>0</v>
      </c>
      <c r="DB29" s="2">
        <v>0.03</v>
      </c>
      <c r="DC29" s="2">
        <v>164</v>
      </c>
      <c r="DD29" s="2">
        <v>0</v>
      </c>
      <c r="DE29" s="2">
        <v>7</v>
      </c>
      <c r="DF29" s="2">
        <v>0</v>
      </c>
      <c r="DG29" s="2">
        <v>79</v>
      </c>
      <c r="DH29" s="2">
        <v>0</v>
      </c>
      <c r="DI29" s="2">
        <v>0</v>
      </c>
      <c r="DJ29" s="2">
        <v>0</v>
      </c>
      <c r="DK29" s="2">
        <v>0</v>
      </c>
      <c r="DL29" s="2">
        <v>0</v>
      </c>
      <c r="DM29" s="2">
        <v>0</v>
      </c>
      <c r="DN29" s="2">
        <v>0</v>
      </c>
      <c r="DO29" s="2">
        <v>15</v>
      </c>
      <c r="DP29" s="2">
        <v>15</v>
      </c>
      <c r="DQ29" s="2">
        <v>17</v>
      </c>
      <c r="DR29" s="18">
        <v>43922</v>
      </c>
      <c r="DS29" s="18">
        <v>44286</v>
      </c>
      <c r="DT29" s="2">
        <v>12000</v>
      </c>
      <c r="DU29" s="2">
        <v>23400</v>
      </c>
      <c r="DV29" s="2">
        <v>81000</v>
      </c>
      <c r="DW29" s="2">
        <v>13800</v>
      </c>
      <c r="DX29" s="2">
        <v>2000</v>
      </c>
      <c r="DY29" s="2">
        <v>5000</v>
      </c>
      <c r="DZ29" s="2">
        <v>5000</v>
      </c>
      <c r="EA29" s="2">
        <v>2000</v>
      </c>
      <c r="EB29" s="2">
        <v>3000</v>
      </c>
      <c r="EC29" s="2">
        <v>800</v>
      </c>
      <c r="ED29" s="2">
        <v>3000</v>
      </c>
      <c r="EE29" s="2">
        <v>1200</v>
      </c>
      <c r="EF29" s="2">
        <v>1416</v>
      </c>
      <c r="EG29" s="2">
        <v>964</v>
      </c>
      <c r="EH29" s="2" t="s">
        <v>324</v>
      </c>
      <c r="EI29" s="2">
        <v>0</v>
      </c>
      <c r="EJ29" s="2" t="s">
        <v>324</v>
      </c>
      <c r="EK29" s="2">
        <v>0</v>
      </c>
      <c r="EL29" s="2">
        <v>1440</v>
      </c>
      <c r="EM29" s="2">
        <v>700</v>
      </c>
      <c r="EN29" s="2">
        <v>300</v>
      </c>
      <c r="EO29" s="2">
        <v>3900</v>
      </c>
      <c r="EP29" s="2">
        <v>864</v>
      </c>
      <c r="EQ29" s="2">
        <v>1200</v>
      </c>
      <c r="ER29" s="2">
        <v>0</v>
      </c>
      <c r="ES29" s="2">
        <v>0</v>
      </c>
      <c r="ET29" s="2" t="s">
        <v>324</v>
      </c>
      <c r="EU29" s="2">
        <v>0</v>
      </c>
      <c r="EV29" s="2" t="s">
        <v>324</v>
      </c>
      <c r="EW29" s="2">
        <v>0</v>
      </c>
      <c r="EX29" s="2">
        <v>0</v>
      </c>
      <c r="EY29" s="2">
        <v>800</v>
      </c>
      <c r="EZ29" s="2" t="s">
        <v>326</v>
      </c>
      <c r="FA29" s="2">
        <v>0</v>
      </c>
      <c r="FB29" s="2" t="s">
        <v>326</v>
      </c>
      <c r="FC29" s="2">
        <v>0</v>
      </c>
      <c r="FD29" s="2">
        <v>15216</v>
      </c>
      <c r="FE29" s="2">
        <v>1000</v>
      </c>
      <c r="FF29" s="2">
        <v>3000</v>
      </c>
      <c r="FG29" s="2"/>
      <c r="FH29" s="19">
        <v>44480.62395833333</v>
      </c>
      <c r="FI29" s="2" t="s">
        <v>345</v>
      </c>
      <c r="FJ29" s="2">
        <f>SUM(DATA[[#This Row],[Number of Home support clients:]],DATA[[#This Row],[Number of supported living clients:]])</f>
        <v>17</v>
      </c>
      <c r="FK29"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29"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12</v>
      </c>
      <c r="FM29"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13</v>
      </c>
      <c r="FN29"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12</v>
      </c>
      <c r="FO29"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12</v>
      </c>
      <c r="FP29"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12</v>
      </c>
      <c r="FQ29"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13</v>
      </c>
      <c r="FR29"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12</v>
      </c>
      <c r="FS29"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12</v>
      </c>
      <c r="FT29"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29"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29"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29"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29"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29"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29"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29"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29"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29"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29"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29"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29"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8.4</v>
      </c>
      <c r="GG29"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9.1</v>
      </c>
      <c r="GH29"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8.1</v>
      </c>
      <c r="GI29"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v>
      </c>
      <c r="GJ29"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29"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29"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29"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29"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29"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29"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29"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29"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29"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29"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29"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29"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v>
      </c>
      <c r="GW29"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9.1</v>
      </c>
      <c r="GX29"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v>
      </c>
      <c r="GY29"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9.1</v>
      </c>
      <c r="GZ29"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29"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29"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29"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29"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29"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29"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29"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29"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10</v>
      </c>
      <c r="HI29"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10</v>
      </c>
      <c r="HJ29"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10</v>
      </c>
      <c r="HK29"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10</v>
      </c>
      <c r="HL29"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29"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29"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29"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29"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29"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29"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29"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29"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12</v>
      </c>
      <c r="HU29"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13</v>
      </c>
      <c r="HV29"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12</v>
      </c>
      <c r="HW29"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12</v>
      </c>
      <c r="HX29"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12</v>
      </c>
      <c r="HY29"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13</v>
      </c>
      <c r="HZ29"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12</v>
      </c>
      <c r="IA29"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12</v>
      </c>
      <c r="IB29"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29"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29"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29"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29"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29"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29"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29"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29"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29"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29"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29"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29"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8.4</v>
      </c>
      <c r="IO29"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9.1</v>
      </c>
      <c r="IP29"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8.1</v>
      </c>
      <c r="IQ29"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v>
      </c>
      <c r="IR29"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29"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29"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29"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29"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29"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29"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29"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29"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29"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29"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29"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29"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v>
      </c>
      <c r="JE29"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9.1</v>
      </c>
      <c r="JF29"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v>
      </c>
      <c r="JG29"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9.1</v>
      </c>
      <c r="JH29"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29"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29"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29"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29"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29"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29"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29"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29"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10</v>
      </c>
      <c r="JQ29"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10</v>
      </c>
      <c r="JR29"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10</v>
      </c>
      <c r="JS29"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10</v>
      </c>
      <c r="JT29"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29"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29"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29"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29"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29"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29"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29"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29"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v>
      </c>
      <c r="KC29" s="21">
        <f>SUM(DATA[[#This Row],[Care Assistant 1: Numbers employed (Full Time Equivalent)]],DATA[[#This Row],[Care Assistant 2: Numbers employed (Full Time Equivalent)]],DATA[[#This Row],[Care Assistant 3: Numbers employed (Full Time Equivalent)]],DATA[[#This Row],[Care Assistant 4: Numbers employed (Full Time Equivalent)]])</f>
        <v>13</v>
      </c>
      <c r="KD29" s="21">
        <f>SUM(DATA[[#This Row],[Administrative Officer 1: Numbers employed (Full Time Equivalent)]],DATA[[#This Row],[Administrative Officer 2: Numbers employed (Full Time Equivalent)]])</f>
        <v>1</v>
      </c>
      <c r="KE29" s="21">
        <f>SUM(DATA[[#This Row],[Other staff 1: Numbers employed (Full Time Equivalent)]],DATA[[#This Row],[Other staff 2: Numbers employed (Full Time Equivalent)]],DATA[[#This Row],[Other staff 3: Numbers employed (Full Time Equivalent)]])</f>
        <v>1</v>
      </c>
      <c r="KF29" s="21">
        <f>SUM(DATA[[#This Row],[Total FTE Management Employees]:[Total FTE Other Employees]])</f>
        <v>16</v>
      </c>
      <c r="KG29" s="21" t="str">
        <f>IF(SUM(DATA[[#This Row],[Home Support service split percentage (Expenditure):]],DATA[[#This Row],[Supported Living service split percentage (Expenditure):]])&gt;0, IF(DATA[[#This Row],[Home Support service split percentage (Expenditure):]]&gt;0.5,"Home Support","Supported Living"), "Unknown")</f>
        <v>Home Support</v>
      </c>
      <c r="KH29" s="21">
        <f>SUM(DATA[[#This Row],[Home Support: Birmingham City Council]:[Home Support: Self-funded]])</f>
        <v>250</v>
      </c>
      <c r="KI29" s="21">
        <f>SUM(DATA[[#This Row],[Supported Living: Birmingham City Council]:[Supported Living: Self-funded]])</f>
        <v>0</v>
      </c>
      <c r="KJ29"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29"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29"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29"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29" s="21" t="b">
        <f>SUM(DATA[[#This Row],[Number of hours of care charged for in last full accounting year]:[Corporate Overheads: Other  - please specify (category) 1]])&gt;0</f>
        <v>1</v>
      </c>
      <c r="KO29" s="21">
        <f>SUM(DATA[[#This Row],[Total annual expenditure: Management staff]:[Total annual expenditure: Training and development]])</f>
        <v>135200</v>
      </c>
      <c r="KP29" s="21">
        <f>SUM(DATA[[#This Row],[Recruitment &amp; advertising (including DBS checks)]:[Non-Staffing Direct Cost: Other  - please specify (amount) 2]])</f>
        <v>7380</v>
      </c>
      <c r="KQ29" s="21">
        <f>SUM(DATA[[#This Row],[Insurance ]:[Indirect costs: Other 2 - please specify (amount)]])</f>
        <v>8404</v>
      </c>
      <c r="KR29" s="21">
        <f>SUM(DATA[[#This Row],[Central / Regional Management]],DATA[[#This Row],[Support Services (finance / HR / Payroll / legal etc.)]],DATA[[#This Row],[Corporate Overheads: Other  - please specify (amount) 1]],DATA[[#This Row],[Corporate Overheads: Other  - please specify (amount) 2]])</f>
        <v>800</v>
      </c>
      <c r="KS29"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1.95</v>
      </c>
      <c r="KT29"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6.75</v>
      </c>
      <c r="KU29"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1.1499999999999999</v>
      </c>
      <c r="KV29" s="30">
        <f>IF(OR(NOT(DATA[[#This Row],[Total annual expenditure: Other staff]]&gt;0),NOT(DATA[[#This Row],[Number of hours of care charged for in last full accounting year]]&gt;0)),0,DATA[[#This Row],[Total annual expenditure: Other staff]]/DATA[[#This Row],[Number of hours of care charged for in last full accounting year]])</f>
        <v>0.16666666666666666</v>
      </c>
      <c r="KW29" s="30">
        <f>IF(OR(NOT(DATA[[#This Row],[Total annual expenditure: Agency staff]]&gt;0),NOT(DATA[[#This Row],[Number of hours of care charged for in last full accounting year]]&gt;0)),0,DATA[[#This Row],[Total annual expenditure: Agency staff]]/DATA[[#This Row],[Number of hours of care charged for in last full accounting year]])</f>
        <v>0.41666666666666669</v>
      </c>
      <c r="KX29" s="30">
        <f>IF(OR(NOT(DATA[[#This Row],[Total annual expenditure: Travel Cost]]&gt;0),NOT(DATA[[#This Row],[Number of hours of care charged for in last full accounting year]]&gt;0)),0,DATA[[#This Row],[Total annual expenditure: Travel Cost]]/DATA[[#This Row],[Number of hours of care charged for in last full accounting year]])</f>
        <v>0.41666666666666669</v>
      </c>
      <c r="KY29" s="30">
        <f>IF(OR(NOT(DATA[[#This Row],[Total annual expenditure: Travel Time]]&gt;0),NOT(DATA[[#This Row],[Number of hours of care charged for in last full accounting year]]&gt;0)),0,DATA[[#This Row],[Total annual expenditure: Travel Time]]/DATA[[#This Row],[Number of hours of care charged for in last full accounting year]])</f>
        <v>0.16666666666666666</v>
      </c>
      <c r="KZ29"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0.25</v>
      </c>
      <c r="LA29"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6.6666666666666666E-2</v>
      </c>
      <c r="LB29"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0.25</v>
      </c>
      <c r="LC29" s="30">
        <f>IF(OR(NOT(DATA[[#This Row],[Care consumables &amp; uniforms]]&gt;0),NOT(DATA[[#This Row],[Number of hours of care charged for in last full accounting year]]&gt;0)),0,DATA[[#This Row],[Care consumables &amp; uniforms]]/DATA[[#This Row],[Number of hours of care charged for in last full accounting year]])</f>
        <v>0.1</v>
      </c>
      <c r="LD29" s="30">
        <f>IF(OR(NOT(DATA[[#This Row],[Electronic call monitoring]]&gt;0),NOT(DATA[[#This Row],[Number of hours of care charged for in last full accounting year]]&gt;0)),0,DATA[[#This Row],[Electronic call monitoring]]/DATA[[#This Row],[Number of hours of care charged for in last full accounting year]])</f>
        <v>0.11799999999999999</v>
      </c>
      <c r="LE29" s="30">
        <f>IF(OR(NOT(DATA[[#This Row],[IT Equipment &amp; Telephoney]]&gt;0),NOT(DATA[[#This Row],[Number of hours of care charged for in last full accounting year]]&gt;0)),0,DATA[[#This Row],[IT Equipment &amp; Telephoney]]/DATA[[#This Row],[Number of hours of care charged for in last full accounting year]])</f>
        <v>8.033333333333334E-2</v>
      </c>
      <c r="LF29"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29"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29" s="30">
        <f>IF(OR(NOT(DATA[[#This Row],[Insurance ]]&gt;0),NOT(DATA[[#This Row],[Number of hours of care charged for in last full accounting year]]&gt;0)),0,DATA[[#This Row],[Insurance ]]/DATA[[#This Row],[Number of hours of care charged for in last full accounting year]])</f>
        <v>0.12</v>
      </c>
      <c r="LI29"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5.8333333333333334E-2</v>
      </c>
      <c r="LJ29" s="30">
        <f>IF(OR(NOT(DATA[[#This Row],[Repairs and maintenance]]&gt;0),NOT(DATA[[#This Row],[Number of hours of care charged for in last full accounting year]]&gt;0)),0,DATA[[#This Row],[Repairs and maintenance]]/DATA[[#This Row],[Number of hours of care charged for in last full accounting year]])</f>
        <v>2.5000000000000001E-2</v>
      </c>
      <c r="LK29"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0.32500000000000001</v>
      </c>
      <c r="LL29" s="30">
        <f>IF(OR(NOT(DATA[[#This Row],[Registration &amp; Inspection fees ]]&gt;0),NOT(DATA[[#This Row],[Number of hours of care charged for in last full accounting year]]&gt;0)),0,DATA[[#This Row],[Registration &amp; Inspection fees ]]/DATA[[#This Row],[Number of hours of care charged for in last full accounting year]])</f>
        <v>7.1999999999999995E-2</v>
      </c>
      <c r="LM29" s="30">
        <f>IF(OR(NOT(DATA[[#This Row],[Subscriptions]]&gt;0),NOT(DATA[[#This Row],[Number of hours of care charged for in last full accounting year]]&gt;0)),0,DATA[[#This Row],[Subscriptions]]/DATA[[#This Row],[Number of hours of care charged for in last full accounting year]])</f>
        <v>0.1</v>
      </c>
      <c r="LN29" s="30">
        <f>IF(OR(NOT(DATA[[#This Row],[Cost of finance]]&gt;0),NOT(DATA[[#This Row],[Number of hours of care charged for in last full accounting year]]&gt;0)),0,DATA[[#This Row],[Cost of finance]]/DATA[[#This Row],[Number of hours of care charged for in last full accounting year]])</f>
        <v>0</v>
      </c>
      <c r="LO29" s="30">
        <f>IF(OR(NOT(DATA[[#This Row],[Other non-staff current expenses]]&gt;0),NOT(DATA[[#This Row],[Number of hours of care charged for in last full accounting year]]&gt;0)),0,DATA[[#This Row],[Other non-staff current expenses]]/DATA[[#This Row],[Number of hours of care charged for in last full accounting year]])</f>
        <v>0</v>
      </c>
      <c r="LP29"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29"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29" s="30">
        <f>IF(OR(NOT(DATA[[#This Row],[Central / Regional Management]]&gt;0),NOT(DATA[[#This Row],[Number of hours of care charged for in last full accounting year]]&gt;0)),0,DATA[[#This Row],[Central / Regional Management]]/DATA[[#This Row],[Number of hours of care charged for in last full accounting year]])</f>
        <v>0</v>
      </c>
      <c r="LS29"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6.6666666666666666E-2</v>
      </c>
      <c r="LT29"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29"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29" s="30">
        <f>SUM(DATA[[#This Row],[Management staff HOURLY RATE]:[Corporate Overheads: Other  - please specify (amount) 2 HOURLY RATE]])</f>
        <v>12.648666666666662</v>
      </c>
      <c r="LW29" s="30">
        <f>IF(OR(NOT(DATA[[#This Row],[Net Operating Profit]]&gt;0),NOT(DATA[[#This Row],[Number of hours of care charged for in last full accounting year]]&gt;0)),"",DATA[[#This Row],[Net Operating Profit]]/DATA[[#This Row],[Number of hours of care charged for in last full accounting year]])</f>
        <v>1.268</v>
      </c>
      <c r="LX29" s="30">
        <f>IF(OR(NOT(DATA[[#This Row],[Return on Capital employed]]&gt;0),NOT(DATA[[#This Row],[Number of hours of care charged for in last full accounting year]]&gt;0)),0,DATA[[#This Row],[Return on Capital employed]]/DATA[[#This Row],[Number of hours of care charged for in last full accounting year]])</f>
        <v>8.3333333333333329E-2</v>
      </c>
      <c r="LY29" s="31">
        <v>23</v>
      </c>
      <c r="LZ29" s="30" t="s">
        <v>345</v>
      </c>
      <c r="MA29" s="30" t="b">
        <f>DATA[[#This Row],[Number of Home support clients:]]&gt;0</f>
        <v>1</v>
      </c>
      <c r="MB29" s="30" t="b">
        <f>DATA[[#This Row],[Number of supported living clients:]]&gt;0</f>
        <v>0</v>
      </c>
      <c r="MC29" s="30" t="b">
        <f>DATA[[#This Row],[Total Home Support Hours]]&gt;0</f>
        <v>1</v>
      </c>
      <c r="MD29" s="30" t="b">
        <f>DATA[[#This Row],[Total Supported Living Hours]]&gt;0</f>
        <v>0</v>
      </c>
      <c r="ME29" s="30" t="b">
        <f>DATA[[#This Row],[Home Support service split percentage (Expenditure):]]&gt;0.5</f>
        <v>1</v>
      </c>
      <c r="MF29" s="30" t="b">
        <f>DATA[[#This Row],[Agency staff HOURLY RATE]]=0</f>
        <v>0</v>
      </c>
      <c r="MG29" s="30">
        <f>IFERROR(IF(AVERAGE(DATA[[#This Row],[Registered manager: Current 2021/22 Minimum hourly pay rate ADJUSTED]],DATA[[#This Row],[Registered manager: Current 2021/22 Maximum hourly pay rate ADJUSTED]])&lt;LIVING_WAGE_22_23,DATA[[#This Row],[Registered manager: Numbers employed (Full Time Equivalent)]],0),"")</f>
        <v>0</v>
      </c>
      <c r="MH29" s="30">
        <f>IFERROR(IF(AVERAGE(DATA[[#This Row],[Deputy manager: Current 2021/22 Minimum hourly pay rate ADJUSTED]],DATA[[#This Row],[Deputy manager: Current 2021/22 Maximum hourly pay rate ADJUSTED]])&lt;LIVING_WAGE_22_23,DATA[[#This Row],[Deputy manager: Numbers employed (Full Time Equivalent)]],0),"")</f>
        <v>0</v>
      </c>
      <c r="MI29" s="30" t="str">
        <f>IFERROR(IF(AVERAGE(DATA[[#This Row],[Other manager 1: Current 2021/22 Minimum hourly pay rate ADJUSTED]],DATA[[#This Row],[Other manager 1: Current 2021/22 Maximum hourly pay rate ADJUSTED]])&lt;LIVING_WAGE_22_23,DATA[[#This Row],[Other manager 1: Numbers employed (Full Time Equivalent)]],0),"")</f>
        <v/>
      </c>
      <c r="MJ29" s="30" t="str">
        <f>IFERROR(IF(AVERAGE(DATA[[#This Row],[Other manager 2: Current 2021/22 Minimum hourly pay rate ADJUSTED]],DATA[[#This Row],[Other manager 2: Current 2021/22 Maximum hourly pay rate ADJUSTED]])&lt;LIVING_WAGE_22_23,DATA[[#This Row],[Other manager 2: Numbers employed (Full Time Equivalent)]],0),"")</f>
        <v/>
      </c>
      <c r="MK29" s="30" t="str">
        <f>IFERROR(IF(AVERAGE(DATA[[#This Row],[Other manager 3: Current 2021/22 Minimum hourly pay rate ADJUSTED]],DATA[[#This Row],[Other manager 3: Current 2021/22 Maximum hourly pay rate ADJUSTED]])&lt;LIVING_WAGE_22_23,DATA[[#This Row],[Other manager 3: Numbers employed (Full Time Equivalent)]],0),"")</f>
        <v/>
      </c>
      <c r="ML29" s="30">
        <f>IFERROR(IF(AVERAGE(DATA[[#This Row],[Care Assistant 1: Current 2021/22 Minimum hourly pay rate ADJUSTED]],DATA[[#This Row],[Care Assistant 1: Current 2021/22 Maximum hourly pay rate ADJUSTED]])&lt;LIVING_WAGE_22_23,DATA[[#This Row],[Care Assistant 1: Numbers employed (Full Time Equivalent)]],0),"")</f>
        <v>13</v>
      </c>
      <c r="MM29" s="30" t="str">
        <f>IFERROR(IF(AVERAGE(DATA[[#This Row],[Care Assistant 2: Current 2021/22 Minimum hourly pay rate ADJUSTED]],DATA[[#This Row],[Care Assistant 2: Current 2021/22 Maximum hourly pay rate ADJUSTED]])&lt;LIVING_WAGE_22_23,DATA[[#This Row],[Care Assistant 2: Numbers employed (Full Time Equivalent)]],0),"")</f>
        <v/>
      </c>
      <c r="MN29" s="30" t="str">
        <f>IFERROR(IF(AVERAGE(DATA[[#This Row],[Care Assistant 3: Current 2021/22 Minimum hourly pay rate ADJUSTED]],DATA[[#This Row],[Care Assistant 3: Current 2021/22 Maximum hourly pay rate ADJUSTED]])&lt;LIVING_WAGE_22_23,DATA[[#This Row],[Care Assistant 3: Numbers employed (Full Time Equivalent)]],0),"")</f>
        <v/>
      </c>
      <c r="MO29" s="30" t="str">
        <f>IFERROR(IF(AVERAGE(DATA[[#This Row],[Care Assistant 4: Current 2021/22 Minimum hourly pay rate ADJUSTED]],DATA[[#This Row],[Care Assistant 4: Current 2021/22 Maximum hourly pay rate ADJUSTED]])&lt;LIVING_WAGE_22_23,DATA[[#This Row],[Care Assistant 4: Numbers employed (Full Time Equivalent)]],0),"")</f>
        <v/>
      </c>
      <c r="MP29"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29"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29" s="30">
        <f>IFERROR(IF(AVERAGE(DATA[[#This Row],[Other staff 1: Current 2021/22 Minimum hourly pay rate ADJUSTED]],DATA[[#This Row],[Other staff 1: Current 2021/22 Maximum hourly pay rate ADJUSTED]])&lt;LIVING_WAGE_22_23,DATA[[#This Row],[Other staff 1: Numbers employed (Full Time Equivalent)]],0),"")</f>
        <v>0</v>
      </c>
      <c r="MS29" s="30" t="str">
        <f>IFERROR(IF(AVERAGE(DATA[[#This Row],[Other staff 2: Current 2021/22 Minimum hourly pay rate ADJUSTED]],DATA[[#This Row],[Other staff 2: Current 2021/22 Maximum hourly pay rate ADJUSTED]])&lt;LIVING_WAGE_22_23,DATA[[#This Row],[Other staff 2: Numbers employed (Full Time Equivalent)]],0),"")</f>
        <v/>
      </c>
      <c r="MT29" s="30" t="str">
        <f>IFERROR(IF(AVERAGE(DATA[[#This Row],[Other staff 3: Current 2021/22 Minimum hourly pay rate ADJUSTED]],DATA[[#This Row],[Other staff 3: Current 2021/22 Maximum hourly pay rate ADJUSTED]])&lt;LIVING_WAGE_22_23,DATA[[#This Row],[Other staff 3: Numbers employed (Full Time Equivalent)]],0),"")</f>
        <v/>
      </c>
      <c r="MU29" s="30">
        <f>SUM(DATA[[#This Row],[Registered Manager FTE earning less than NLW 23yrs 2022/23]:[Other staff 3 FTE earning less than NLW 23yrs 2022/23]])</f>
        <v>14</v>
      </c>
      <c r="MV29"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29"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29"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29"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29"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29"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9.75</v>
      </c>
      <c r="NB29"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29"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29"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29"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0.44999999999999929</v>
      </c>
      <c r="NF29"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29"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29"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29"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29" s="30" t="b">
        <v>0</v>
      </c>
      <c r="NK29" s="30" t="b">
        <v>1</v>
      </c>
      <c r="NL29" s="30" t="s">
        <v>972</v>
      </c>
      <c r="NM29" s="30">
        <f>SUM(DATA[[#This Row],[Management staff HOURLY RATE]:[Training and development HOURLY RATE]])</f>
        <v>11.266666666666664</v>
      </c>
      <c r="NN29" s="30">
        <f>SUM(DATA[[#This Row],[Recruitment &amp; advertising (including DBS checks) HOURLY RATE]:[Non-Staffing Direct Cost: Other  - please specify (amount) 2 HOURLY RATE]])</f>
        <v>0.61499999999999999</v>
      </c>
      <c r="NO29" s="30">
        <f>SUM(DATA[[#This Row],[Insurance  HOURLY RATE]:[Indirect costs: Other  - please specify (amount) 2 HOURLY RATE]])</f>
        <v>0.70033333333333325</v>
      </c>
      <c r="NP29" s="30">
        <f>SUM(DATA[[#This Row],[Central / Regional Management HOURLY RATE]:[Corporate Overheads: Other  - please specify (amount) 2 HOURLY RATE]])</f>
        <v>6.6666666666666666E-2</v>
      </c>
      <c r="NQ29"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29" s="30">
        <f>IFERROR(IF(AVERAGE(DATA[[#This Row],[Deputy manager: Current 2021/22 Minimum hourly pay rate ADJUSTED]],DATA[[#This Row],[Deputy manager: Current 2021/22 Maximum hourly pay rate ADJUSTED]])&lt;REAL_LIVING_WAGE_22_23,DATA[[#This Row],[Deputy manager: Numbers employed (Full Time Equivalent)]],0),"")</f>
        <v>0</v>
      </c>
      <c r="NS29" s="30" t="str">
        <f>IFERROR(IF(AVERAGE(DATA[[#This Row],[Other manager 1: Current 2021/22 Minimum hourly pay rate ADJUSTED]],DATA[[#This Row],[Other manager 1: Current 2021/22 Maximum hourly pay rate ADJUSTED]])&lt;REAL_LIVING_WAGE_22_23,DATA[[#This Row],[Other manager 1: Numbers employed (Full Time Equivalent)]],0),"")</f>
        <v/>
      </c>
      <c r="NT29" s="30" t="str">
        <f>IFERROR(IF(AVERAGE(DATA[[#This Row],[Other manager 2: Current 2021/22 Minimum hourly pay rate ADJUSTED]],DATA[[#This Row],[Other manager 2: Current 2021/22 Maximum hourly pay rate ADJUSTED]])&lt;REAL_LIVING_WAGE_22_23,DATA[[#This Row],[Other manager 2: Numbers employed (Full Time Equivalent)]],0),"")</f>
        <v/>
      </c>
      <c r="NU29" s="30" t="str">
        <f>IFERROR(IF(AVERAGE(DATA[[#This Row],[Other manager 3: Current 2021/22 Minimum hourly pay rate ADJUSTED]],DATA[[#This Row],[Other manager 3: Current 2021/22 Maximum hourly pay rate ADJUSTED]])&lt;REAL_LIVING_WAGE_22_23,DATA[[#This Row],[Other manager 3: Numbers employed (Full Time Equivalent)]],0),"")</f>
        <v/>
      </c>
      <c r="NV29" s="30">
        <f>IFERROR(IF(AVERAGE(DATA[[#This Row],[Care Assistant 1: Current 2021/22 Minimum hourly pay rate ADJUSTED]],DATA[[#This Row],[Care Assistant 1: Current 2021/22 Maximum hourly pay rate ADJUSTED]])&lt;REAL_LIVING_WAGE_22_23,DATA[[#This Row],[Care Assistant 1: Numbers employed (Full Time Equivalent)]],0),"")</f>
        <v>13</v>
      </c>
      <c r="NW29"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29"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29"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29"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29"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29" s="30">
        <f>IFERROR(IF(AVERAGE(DATA[[#This Row],[Other staff 1: Current 2021/22 Minimum hourly pay rate ADJUSTED]],DATA[[#This Row],[Other staff 1: Current 2021/22 Maximum hourly pay rate ADJUSTED]])&lt;REAL_LIVING_WAGE_22_23,DATA[[#This Row],[Other staff 1: Numbers employed (Full Time Equivalent)]],0),"")</f>
        <v>0</v>
      </c>
      <c r="OC29" s="30" t="str">
        <f>IFERROR(IF(AVERAGE(DATA[[#This Row],[Other staff 2: Current 2021/22 Minimum hourly pay rate ADJUSTED]],DATA[[#This Row],[Other staff 2: Current 2021/22 Maximum hourly pay rate ADJUSTED]])&lt;REAL_LIVING_WAGE_22_23,DATA[[#This Row],[Other staff 2: Numbers employed (Full Time Equivalent)]],0),"")</f>
        <v/>
      </c>
      <c r="OD29" s="30" t="str">
        <f>IFERROR(IF(AVERAGE(DATA[[#This Row],[Other staff 3: Current 2021/22 Minimum hourly pay rate ADJUSTED]],DATA[[#This Row],[Other staff 3: Current 2021/22 Maximum hourly pay rate ADJUSTED]])&lt;REAL_LIVING_WAGE_22_23,DATA[[#This Row],[Other staff 3: Numbers employed (Full Time Equivalent)]],0),"")</f>
        <v/>
      </c>
      <c r="OE29" s="30">
        <f>SUM(DATA[[#This Row],[Registered Manager FTE earning less than RLW 23yrs 2022/23]:[Other staff 3 FTE earning less than RLW 23yrs 2022/23]])</f>
        <v>14</v>
      </c>
      <c r="OF29"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29"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29"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29"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29"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29"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14.950000000000005</v>
      </c>
      <c r="OL29"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29"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29"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29"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0.84999999999999964</v>
      </c>
      <c r="OP29"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29"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29"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29"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29" s="30" t="str">
        <f>IFERROR(IF(DATA[[#This Row],[Registered manager: Numbers employed (Full Time Equivalent)]]=0,"",DATA[[#This Row],[Registered manager: Current 2021/22 Minimum hourly pay rate ADJUSTED 2]]*DATA[[#This Row],[Registered manager: Numbers employed (Full Time Equivalent)]]),"")</f>
        <v/>
      </c>
      <c r="OU29" s="30" t="str">
        <f>IFERROR(IF(DATA[[#This Row],[Registered manager: Numbers employed (Full Time Equivalent)]]=0,"",DATA[[#This Row],[Registered manager: Current 2021/22 Maximum hourly pay rate ADJUSTED 2]]*DATA[[#This Row],[Registered manager: Numbers employed (Full Time Equivalent)]]),"")</f>
        <v/>
      </c>
      <c r="OV29" s="30" t="str">
        <f>IFERROR(IF(DATA[[#This Row],[Registered manager: Numbers employed (Full Time Equivalent)]]=0,"",DATA[[#This Row],[Registered manager: Previous 2020/21 Minimum hourly pay rate ADJUSTED 2]]*DATA[[#This Row],[Registered manager: Numbers employed (Full Time Equivalent)]]),"")</f>
        <v/>
      </c>
      <c r="OW29" s="30" t="str">
        <f>IFERROR(IF(DATA[[#This Row],[Registered manager: Numbers employed (Full Time Equivalent)]]=0,"",DATA[[#This Row],[Registered manager: Previous 2020/21 Maximum hourly pay rate ADJUSTED 2]]*DATA[[#This Row],[Registered manager: Numbers employed (Full Time Equivalent)]]),"")</f>
        <v/>
      </c>
      <c r="OX29" s="30">
        <f>IFERROR(IF(DATA[[#This Row],[Deputy manager: Numbers employed (Full Time Equivalent)]]=0,"",DATA[[#This Row],[Deputy manager: Current 2021/22 Minimum hourly pay rate ADJUSTED 2]]*DATA[[#This Row],[Deputy manager: Numbers employed (Full Time Equivalent)]]),"")</f>
        <v>12</v>
      </c>
      <c r="OY29" s="30">
        <f>IFERROR(IF(DATA[[#This Row],[Deputy manager: Numbers employed (Full Time Equivalent)]]=0,"",DATA[[#This Row],[Deputy manager: Current 2021/22 Maximum hourly pay rate ADJUSTED 2]]*DATA[[#This Row],[Deputy manager: Numbers employed (Full Time Equivalent)]]),"")</f>
        <v>13</v>
      </c>
      <c r="OZ29" s="30">
        <f>IFERROR(IF(DATA[[#This Row],[Deputy manager: Numbers employed (Full Time Equivalent)]]=0,"",DATA[[#This Row],[Deputy manager: Previous 2020/21 Minimum hourly pay rate ADJUSTED 2]]*DATA[[#This Row],[Deputy manager: Numbers employed (Full Time Equivalent)]]),"")</f>
        <v>12</v>
      </c>
      <c r="PA29" s="30">
        <f>IFERROR(IF(DATA[[#This Row],[Deputy manager: Numbers employed (Full Time Equivalent)]]=0,"",DATA[[#This Row],[Deputy manager: Previous 2020/21 Maximum hourly pay rate ADJUSTED 2]]*DATA[[#This Row],[Deputy manager: Numbers employed (Full Time Equivalent)]]),"")</f>
        <v>12</v>
      </c>
      <c r="PB29" s="30" t="str">
        <f>IFERROR(IF(DATA[[#This Row],[Other manager 1: Numbers employed (Full Time Equivalent)]]=0,"",DATA[[#This Row],[Other manager 1: Current 2021/22 Minimum hourly pay rate ADJUSTED 2]]*DATA[[#This Row],[Other manager 1: Numbers employed (Full Time Equivalent)]]),"")</f>
        <v/>
      </c>
      <c r="PC29" s="30" t="str">
        <f>IFERROR(IF(DATA[[#This Row],[Other manager 1: Numbers employed (Full Time Equivalent)]]=0,"",DATA[[#This Row],[Other manager 1: Current 2021/22 Maximum hourly pay rate ADJUSTED 2]]*DATA[[#This Row],[Other manager 1: Numbers employed (Full Time Equivalent)]]),"")</f>
        <v/>
      </c>
      <c r="PD29" s="30" t="str">
        <f>IFERROR(IF(DATA[[#This Row],[Other manager 1: Numbers employed (Full Time Equivalent)]]=0,"",DATA[[#This Row],[Other manager 1: Previous 2020/21 Minimum hourly pay rate ADJUSTED 2]]*DATA[[#This Row],[Other manager 1: Numbers employed (Full Time Equivalent)]]),"")</f>
        <v/>
      </c>
      <c r="PE29" s="30" t="str">
        <f>IFERROR(IF(DATA[[#This Row],[Other manager 1: Numbers employed (Full Time Equivalent)]]=0,"",DATA[[#This Row],[Other manager 1: Previous 2020/21 Maximum hourly pay rate ADJUSTED 2]]*DATA[[#This Row],[Other manager 1: Numbers employed (Full Time Equivalent)]]),"")</f>
        <v/>
      </c>
      <c r="PF29" s="30" t="str">
        <f>IFERROR(IF(DATA[[#This Row],[Other manager 2: Numbers employed (Full Time Equivalent)]]=0,"",DATA[[#This Row],[Other manager 2: Current 2021/22 Minimum hourly pay rate ADJUSTED 2]]*DATA[[#This Row],[Other manager 2: Numbers employed (Full Time Equivalent)]]),"")</f>
        <v/>
      </c>
      <c r="PG29" s="30" t="str">
        <f>IFERROR(IF(DATA[[#This Row],[Other manager 2: Numbers employed (Full Time Equivalent)]]=0,"",DATA[[#This Row],[Other manager 2: Current 2021/22 Maximum hourly pay rate ADJUSTED 2]]*DATA[[#This Row],[Other manager 2: Numbers employed (Full Time Equivalent)]]),"")</f>
        <v/>
      </c>
      <c r="PH29" s="30" t="str">
        <f>IFERROR(IF(DATA[[#This Row],[Other manager 2: Numbers employed (Full Time Equivalent)]]=0,"",DATA[[#This Row],[Other manager 2: Previous 2020/21 Minimum hourly pay rate ADJUSTED 2]]*DATA[[#This Row],[Other manager 2: Numbers employed (Full Time Equivalent)]]),"")</f>
        <v/>
      </c>
      <c r="PI29" s="30" t="str">
        <f>IFERROR(IF(DATA[[#This Row],[Other manager 2: Numbers employed (Full Time Equivalent)]]=0,"",DATA[[#This Row],[Other manager 2: Previous 2020/21 Maximum hourly pay rate ADJUSTED 2]]*DATA[[#This Row],[Other manager 2: Numbers employed (Full Time Equivalent)]]),"")</f>
        <v/>
      </c>
      <c r="PJ29" s="30" t="str">
        <f>IFERROR(IF(DATA[[#This Row],[Other manager 3: Numbers employed (Full Time Equivalent)]]=0,"",DATA[[#This Row],[Other manager 3: Current 2021/22 Minimum hourly pay rate ADJUSTED 2]]*DATA[[#This Row],[Other manager 3: Numbers employed (Full Time Equivalent)]]),"")</f>
        <v/>
      </c>
      <c r="PK29" s="30" t="str">
        <f>IFERROR(IF(DATA[[#This Row],[Other manager 3: Numbers employed (Full Time Equivalent)]]=0,"",DATA[[#This Row],[Other manager 3: Current 2021/22 Maximum hourly pay rate ADJUSTED 2]]*DATA[[#This Row],[Other manager 3: Numbers employed (Full Time Equivalent)]]),"")</f>
        <v/>
      </c>
      <c r="PL29" s="30" t="str">
        <f>IFERROR(IF(DATA[[#This Row],[Other manager 3: Numbers employed (Full Time Equivalent)]]=0,"",DATA[[#This Row],[Other manager 3: Previous 2020/21 Minimum hourly pay rate ADJUSTED 2]]*DATA[[#This Row],[Other manager 3: Numbers employed (Full Time Equivalent)]]),"")</f>
        <v/>
      </c>
      <c r="PM29" s="30" t="str">
        <f>IFERROR(IF(DATA[[#This Row],[Other manager 3: Numbers employed (Full Time Equivalent)]]=0,"",DATA[[#This Row],[Other manager 3: Previous 2020/21 Maximum hourly pay rate ADJUSTED 2]]*DATA[[#This Row],[Other manager 3: Numbers employed (Full Time Equivalent)]]),"")</f>
        <v/>
      </c>
      <c r="PN29" s="30">
        <f>IFERROR(IF(DATA[[#This Row],[Care Assistant 1: Numbers employed (Full Time Equivalent)]]=0,"",DATA[[#This Row],[Care Assistant 1: Current 2021/22 Minimum hourly pay rate ADJUSTED 2]]*DATA[[#This Row],[Care Assistant 1: Numbers employed (Full Time Equivalent)]]),"")</f>
        <v>109.2</v>
      </c>
      <c r="PO29" s="30">
        <f>IFERROR(IF(DATA[[#This Row],[Care Assistant 1: Numbers employed (Full Time Equivalent)]]=0,"",DATA[[#This Row],[Care Assistant 1: Current 2021/22 Maximum hourly pay rate ADJUSTED 2]]*DATA[[#This Row],[Care Assistant 1: Numbers employed (Full Time Equivalent)]]),"")</f>
        <v>118.3</v>
      </c>
      <c r="PP29" s="30">
        <f>IFERROR(IF(DATA[[#This Row],[Care Assistant 1: Numbers employed (Full Time Equivalent)]]=0,"",DATA[[#This Row],[Care Assistant 1: Previous 2020/21 Minimum hourly pay rate ADJUSTED 2]]*DATA[[#This Row],[Care Assistant 1: Numbers employed (Full Time Equivalent)]]),"")</f>
        <v>105.3</v>
      </c>
      <c r="PQ29" s="30">
        <f>IFERROR(IF(DATA[[#This Row],[Care Assistant 1: Numbers employed (Full Time Equivalent)]]=0,"",DATA[[#This Row],[Care Assistant 1: Previous 2020/21 Maximum hourly pay rate ADJUSTED 2]]*DATA[[#This Row],[Care Assistant 1: Numbers employed (Full Time Equivalent)]]),"")</f>
        <v>117</v>
      </c>
      <c r="PR29" s="30" t="str">
        <f>IFERROR(IF(DATA[[#This Row],[Care Assistant 2: Numbers employed (Full Time Equivalent)]]=0,"",DATA[[#This Row],[Care Assistant 2: Current 2021/22 Minimum hourly pay rate ADJUSTED 2]]*DATA[[#This Row],[Care Assistant 2: Numbers employed (Full Time Equivalent)]]),"")</f>
        <v/>
      </c>
      <c r="PS29" s="30" t="str">
        <f>IFERROR(IF(DATA[[#This Row],[Care Assistant 2: Numbers employed (Full Time Equivalent)]]=0,"",DATA[[#This Row],[Care Assistant 2: Current 2021/22 Maximum hourly pay rate ADJUSTED 2]]*DATA[[#This Row],[Care Assistant 2: Numbers employed (Full Time Equivalent)]]),"")</f>
        <v/>
      </c>
      <c r="PT29" s="30" t="str">
        <f>IFERROR(IF(DATA[[#This Row],[Care Assistant 2: Numbers employed (Full Time Equivalent)]]=0,"",DATA[[#This Row],[Care Assistant 2: Previous 2020/21 Minimum hourly pay rate ADJUSTED 2]]*DATA[[#This Row],[Care Assistant 2: Numbers employed (Full Time Equivalent)]]),"")</f>
        <v/>
      </c>
      <c r="PU29" s="30" t="str">
        <f>IFERROR(IF(DATA[[#This Row],[Care Assistant 2: Numbers employed (Full Time Equivalent)]]=0,"",DATA[[#This Row],[Care Assistant 2: Previous 2020/21 Maximum hourly pay rate ADJUSTED 2]]*DATA[[#This Row],[Care Assistant 2: Numbers employed (Full Time Equivalent)]]),"")</f>
        <v/>
      </c>
      <c r="PV29" s="30" t="str">
        <f>IFERROR(IF(DATA[[#This Row],[Care Assistant 3: Numbers employed (Full Time Equivalent)]]=0,"",DATA[[#This Row],[Care Assistant 3: Current 2021/22 Minimum hourly pay rate ADJUSTED 2]]*DATA[[#This Row],[Care Assistant 3: Numbers employed (Full Time Equivalent)]]),"")</f>
        <v/>
      </c>
      <c r="PW29" s="30" t="str">
        <f>IFERROR(IF(DATA[[#This Row],[Care Assistant 3: Numbers employed (Full Time Equivalent)]]=0,"",DATA[[#This Row],[Care Assistant 3: Current 2021/22 Maximum hourly pay rate ADJUSTED 2]]*DATA[[#This Row],[Care Assistant 3: Numbers employed (Full Time Equivalent)]]),"")</f>
        <v/>
      </c>
      <c r="PX29" s="30" t="str">
        <f>IFERROR(IF(DATA[[#This Row],[Care Assistant 3: Numbers employed (Full Time Equivalent)]]=0,"",DATA[[#This Row],[Care Assistant 3: Previous 2020/21 Minimum hourly pay rate ADJUSTED 2]]*DATA[[#This Row],[Care Assistant 3: Numbers employed (Full Time Equivalent)]]),"")</f>
        <v/>
      </c>
      <c r="PY29" s="30" t="str">
        <f>IFERROR(IF(DATA[[#This Row],[Care Assistant 3: Numbers employed (Full Time Equivalent)]]=0,"",DATA[[#This Row],[Care Assistant 3: Previous 2020/21 Maximum hourly pay rate ADJUSTED 2]]*DATA[[#This Row],[Care Assistant 3: Numbers employed (Full Time Equivalent)]]),"")</f>
        <v/>
      </c>
      <c r="PZ29" s="30" t="str">
        <f>IFERROR(IF(DATA[[#This Row],[Care Assistant 4: Numbers employed (Full Time Equivalent)]]=0,"",DATA[[#This Row],[Care Assistant 4: Current 2021/22 Minimum hourly pay rate ADJUSTED 2]]*DATA[[#This Row],[Care Assistant 4: Numbers employed (Full Time Equivalent)]]),"")</f>
        <v/>
      </c>
      <c r="QA29" s="30" t="str">
        <f>IFERROR(IF(DATA[[#This Row],[Care Assistant 4: Numbers employed (Full Time Equivalent)]]=0,"",DATA[[#This Row],[Care Assistant 4: Current 2021/22 Maximum hourly pay rate ADJUSTED 2]]*DATA[[#This Row],[Care Assistant 4: Numbers employed (Full Time Equivalent)]]),"")</f>
        <v/>
      </c>
      <c r="QB29" s="30" t="str">
        <f>IFERROR(IF(DATA[[#This Row],[Care Assistant 4: Numbers employed (Full Time Equivalent)]]=0,"",DATA[[#This Row],[Care Assistant 4: Previous 2020/21 Minimum hourly pay rate ADJUSTED 2]]*DATA[[#This Row],[Care Assistant 4: Numbers employed (Full Time Equivalent)]]),"")</f>
        <v/>
      </c>
      <c r="QC29" s="30" t="str">
        <f>IFERROR(IF(DATA[[#This Row],[Care Assistant 4: Numbers employed (Full Time Equivalent)]]=0,"",DATA[[#This Row],[Care Assistant 4: Previous 2020/21 Maximum hourly pay rate ADJUSTED 2]]*DATA[[#This Row],[Care Assistant 4: Numbers employed (Full Time Equivalent)]]),"")</f>
        <v/>
      </c>
      <c r="QD29" s="30">
        <f>IFERROR(IF(DATA[[#This Row],[Administrative Officer 1: Numbers employed (Full Time Equivalent)]]=0,"",DATA[[#This Row],[Administrative Officer 1: Current 2021/22 Minimum hourly pay rate ADJUSTED 2]]*DATA[[#This Row],[Administrative Officer 1: Numbers employed (Full Time Equivalent)]]),"")</f>
        <v>9</v>
      </c>
      <c r="QE29" s="30">
        <f>IFERROR(IF(DATA[[#This Row],[Administrative Officer 1: Numbers employed (Full Time Equivalent)]]=0,"",DATA[[#This Row],[Administrative Officer 1: Current 2021/22 Maximum hourly pay rate ADJUSTED 2]]*DATA[[#This Row],[Administrative Officer 1: Numbers employed (Full Time Equivalent)]]),"")</f>
        <v>9.1</v>
      </c>
      <c r="QF29" s="30">
        <f>IFERROR(IF(DATA[[#This Row],[Administrative Officer 1: Numbers employed (Full Time Equivalent)]]=0,"",DATA[[#This Row],[Administrative Officer 1: Previous 2020/21 Minimum hourly pay rate ADJUSTED 2]]*DATA[[#This Row],[Administrative Officer 1: Numbers employed (Full Time Equivalent)]]),"")</f>
        <v>9</v>
      </c>
      <c r="QG29" s="30">
        <f>IFERROR(IF(DATA[[#This Row],[Administrative Officer 1: Numbers employed (Full Time Equivalent)]]=0,"",DATA[[#This Row],[Administrative Officer 1: Previous 2020/21 Maximum hourly pay rate ADJUSTED 2]]*DATA[[#This Row],[Administrative Officer 1: Numbers employed (Full Time Equivalent)]]),"")</f>
        <v>9.1</v>
      </c>
      <c r="QH29" s="30" t="str">
        <f>IFERROR(IF(DATA[[#This Row],[Administrative Officer 2: Numbers employed (Full Time Equivalent)]]=0,"",DATA[[#This Row],[Administrative Officer 2: Current 2021/22 Minimum hourly pay rate ADJUSTED 2]]*DATA[[#This Row],[Administrative Officer 2: Numbers employed (Full Time Equivalent)]]),"")</f>
        <v/>
      </c>
      <c r="QI29" s="30" t="str">
        <f>IFERROR(IF(DATA[[#This Row],[Administrative Officer 2: Numbers employed (Full Time Equivalent)]]=0,"",DATA[[#This Row],[Administrative Officer 2: Current 2021/22 Maximum hourly pay rate ADJUSTED 2]]*DATA[[#This Row],[Administrative Officer 2: Numbers employed (Full Time Equivalent)]]),"")</f>
        <v/>
      </c>
      <c r="QJ29" s="30" t="str">
        <f>IFERROR(IF(DATA[[#This Row],[Administrative Officer 2: Numbers employed (Full Time Equivalent)]]=0,"",DATA[[#This Row],[Administrative Officer 2: Previous 2020/21 Minimum hourly pay rate ADJUSTED 2]]*DATA[[#This Row],[Administrative Officer 2: Numbers employed (Full Time Equivalent)]]),"")</f>
        <v/>
      </c>
      <c r="QK29" s="30" t="str">
        <f>IFERROR(IF(DATA[[#This Row],[Administrative Officer 2: Numbers employed (Full Time Equivalent)]]=0,"",DATA[[#This Row],[Administrative Officer 2: Previous 2020/21 Maximum hourly pay rate ADJUSTED 2]]*DATA[[#This Row],[Administrative Officer 2: Numbers employed (Full Time Equivalent)]]),"")</f>
        <v/>
      </c>
      <c r="QL29" s="30" t="str">
        <f>IFERROR(IF(DATA[[#This Row],[Administrative Officer 3: Numbers employed (Full Time Equivalent)]]=0,"",DATA[[#This Row],[Administrative Officer 3: Current 2021/22 Minimum hourly pay rate ADJUSTED 2]]*DATA[[#This Row],[Administrative Officer 3: Numbers employed (Full Time Equivalent)]]),"")</f>
        <v/>
      </c>
      <c r="QM29" s="30" t="str">
        <f>IFERROR(IF(DATA[[#This Row],[Administrative Officer 3: Numbers employed (Full Time Equivalent)]]=0,"",DATA[[#This Row],[Administrative Officer 3: Current 2021/22 Maximum hourly pay rate ADJUSTED 2]]*DATA[[#This Row],[Administrative Officer 3: Numbers employed (Full Time Equivalent)]]),"")</f>
        <v/>
      </c>
      <c r="QN29" s="30" t="str">
        <f>IFERROR(IF(DATA[[#This Row],[Administrative Officer 3: Numbers employed (Full Time Equivalent)]]=0,"",DATA[[#This Row],[Administrative Officer 3: Previous 2020/21 Minimum hourly pay rate ADJUSTED 2]]*DATA[[#This Row],[Administrative Officer 3: Numbers employed (Full Time Equivalent)]]),"")</f>
        <v/>
      </c>
      <c r="QO29" s="30" t="str">
        <f>IFERROR(IF(DATA[[#This Row],[Administrative Officer 3: Numbers employed (Full Time Equivalent)]]=0,"",DATA[[#This Row],[Administrative Officer 3: Previous 2020/21 Maximum hourly pay rate ADJUSTED 2]]*DATA[[#This Row],[Administrative Officer 3: Numbers employed (Full Time Equivalent)]]),"")</f>
        <v/>
      </c>
      <c r="QP29" s="28">
        <f>IFERROR(IF(DATA[[#This Row],[Other staff 1: Numbers employed (Full Time Equivalent)]]=0,"",DATA[[#This Row],[Other staff 1: Current 2021/22 Minimum hourly pay rate ADJUSTED 2]]*DATA[[#This Row],[Other staff 1: Numbers employed (Full Time Equivalent)]]),"")</f>
        <v>10</v>
      </c>
      <c r="QQ29" s="28">
        <f>IFERROR(IF(DATA[[#This Row],[Other staff 1: Numbers employed (Full Time Equivalent)]]=0,"",DATA[[#This Row],[Other staff 1: Current 2021/22 Maximum hourly pay rate ADJUSTED 2]]*DATA[[#This Row],[Other staff 1: Numbers employed (Full Time Equivalent)]]),"")</f>
        <v>10</v>
      </c>
      <c r="QR29" s="28">
        <f>IFERROR(IF(DATA[[#This Row],[Other staff 1: Numbers employed (Full Time Equivalent)]]=0,"",DATA[[#This Row],[Other staff 1: Previous 2020/21 Minimum hourly pay rate ADJUSTED 2]]*DATA[[#This Row],[Other staff 1: Numbers employed (Full Time Equivalent)]]),"")</f>
        <v>10</v>
      </c>
      <c r="QS29" s="28">
        <f>IFERROR(IF(DATA[[#This Row],[Other staff 1: Numbers employed (Full Time Equivalent)]]=0,"",DATA[[#This Row],[Other staff 1: Previous 2020/21 Maximum hourly pay rate ADJUSTED 2]]*DATA[[#This Row],[Other staff 1: Numbers employed (Full Time Equivalent)]]),"")</f>
        <v>10</v>
      </c>
      <c r="QT29" s="28" t="str">
        <f>IFERROR(IF(DATA[[#This Row],[Other staff 2: Numbers employed (Full Time Equivalent)]]=0,"",DATA[[#This Row],[Other staff 2: Current 2021/22 Minimum hourly pay rate ADJUSTED 2]]*DATA[[#This Row],[Other staff 2: Numbers employed (Full Time Equivalent)]]),"")</f>
        <v/>
      </c>
      <c r="QU29" s="28" t="str">
        <f>IFERROR(IF(DATA[[#This Row],[Other staff 2: Numbers employed (Full Time Equivalent)]]=0,"",DATA[[#This Row],[Other staff 2: Current 2021/22 Maximum hourly pay rate ADJUSTED 2]]*DATA[[#This Row],[Other staff 2: Numbers employed (Full Time Equivalent)]]),"")</f>
        <v/>
      </c>
      <c r="QV29" s="28" t="str">
        <f>IFERROR(IF(DATA[[#This Row],[Other staff 2: Numbers employed (Full Time Equivalent)]]=0,"",DATA[[#This Row],[Other staff 2: Previous 2020/21 Minimum hourly pay rate ADJUSTED 2]]*DATA[[#This Row],[Other staff 2: Numbers employed (Full Time Equivalent)]]),"")</f>
        <v/>
      </c>
      <c r="QW29" s="28" t="str">
        <f>IFERROR(IF(DATA[[#This Row],[Other staff 2: Numbers employed (Full Time Equivalent)]]=0,"",DATA[[#This Row],[Other staff 2: Previous 2020/21 Maximum hourly pay rate ADJUSTED 2]]*DATA[[#This Row],[Other staff 2: Numbers employed (Full Time Equivalent)]]),"")</f>
        <v/>
      </c>
      <c r="QX29" s="28" t="str">
        <f>IFERROR(IF(DATA[[#This Row],[Other staff 3: Numbers employed (Full Time Equivalent)]]=0,"",DATA[[#This Row],[Other staff 3: Current 2021/22 Minimum hourly pay rate ADJUSTED 2]]*DATA[[#This Row],[Other staff 3: Numbers employed (Full Time Equivalent)]]),"")</f>
        <v/>
      </c>
      <c r="QY29" s="28" t="str">
        <f>IFERROR(IF(DATA[[#This Row],[Other staff 3: Numbers employed (Full Time Equivalent)]]=0,"",DATA[[#This Row],[Other staff 3: Current 2021/22 Maximum hourly pay rate ADJUSTED 2]]*DATA[[#This Row],[Other staff 3: Numbers employed (Full Time Equivalent)]]),"")</f>
        <v/>
      </c>
      <c r="QZ29" s="28" t="str">
        <f>IFERROR(IF(DATA[[#This Row],[Other staff 3: Numbers employed (Full Time Equivalent)]]=0,"",DATA[[#This Row],[Other staff 3: Previous 2020/21 Minimum hourly pay rate ADJUSTED 2]]*DATA[[#This Row],[Other staff 3: Numbers employed (Full Time Equivalent)]]),"")</f>
        <v/>
      </c>
      <c r="RA29" s="28" t="str">
        <f>IFERROR(IF(DATA[[#This Row],[Other staff 3: Numbers employed (Full Time Equivalent)]]=0,"",DATA[[#This Row],[Other staff 3: Previous 2020/21 Maximum hourly pay rate ADJUSTED 2]]*DATA[[#This Row],[Other staff 3: Numbers employed (Full Time Equivalent)]]),"")</f>
        <v/>
      </c>
      <c r="RB29"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29"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29"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29"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29"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29"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13</v>
      </c>
      <c r="RH29"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29"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29"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29"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29"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29"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29"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29"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29"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0" spans="7:484" x14ac:dyDescent="0.25">
      <c r="G30" s="2">
        <v>24</v>
      </c>
      <c r="H30" s="2">
        <v>24</v>
      </c>
      <c r="I30" s="2">
        <v>15</v>
      </c>
      <c r="J30" s="2">
        <v>0.18</v>
      </c>
      <c r="K30" s="2">
        <v>0.82</v>
      </c>
      <c r="L30" s="2" t="s">
        <v>328</v>
      </c>
      <c r="M30" s="2" t="s">
        <v>365</v>
      </c>
      <c r="R30" s="2">
        <v>16.03</v>
      </c>
      <c r="S30" s="2">
        <v>16.03</v>
      </c>
      <c r="T30" s="2">
        <v>16.03</v>
      </c>
      <c r="U30" s="2">
        <v>16.03</v>
      </c>
      <c r="V30" s="2">
        <v>1.2</v>
      </c>
      <c r="W30" s="2">
        <v>11.9</v>
      </c>
      <c r="X30" s="2">
        <v>11.9</v>
      </c>
      <c r="Y30" s="2">
        <v>11.9</v>
      </c>
      <c r="Z30" s="2">
        <v>11.9</v>
      </c>
      <c r="AA30" s="2">
        <v>1.2</v>
      </c>
      <c r="AB30" s="2" t="s">
        <v>427</v>
      </c>
      <c r="AC30" s="2">
        <v>10.99</v>
      </c>
      <c r="AD30" s="2">
        <v>10.99</v>
      </c>
      <c r="AE30" s="2">
        <v>10.99</v>
      </c>
      <c r="AF30" s="2">
        <v>10.99</v>
      </c>
      <c r="AG30" s="2">
        <v>1.3</v>
      </c>
      <c r="AH30" s="2" t="s">
        <v>405</v>
      </c>
      <c r="AI30" s="2">
        <v>12</v>
      </c>
      <c r="AJ30" s="2">
        <v>12</v>
      </c>
      <c r="AK30" s="2">
        <v>12</v>
      </c>
      <c r="AL30" s="2">
        <v>12</v>
      </c>
      <c r="AM30" s="2">
        <v>1.2</v>
      </c>
      <c r="AN30" s="2" t="s">
        <v>426</v>
      </c>
      <c r="AO30" s="2">
        <v>10.5</v>
      </c>
      <c r="AP30" s="2">
        <v>10.5</v>
      </c>
      <c r="AQ30" s="2">
        <v>8.25</v>
      </c>
      <c r="AR30" s="2">
        <v>8.25</v>
      </c>
      <c r="AS30" s="2">
        <v>1.2</v>
      </c>
      <c r="AT30" s="2" t="s">
        <v>428</v>
      </c>
      <c r="AU30" s="2">
        <v>9.42</v>
      </c>
      <c r="AV30" s="2">
        <v>9.8000000000000007</v>
      </c>
      <c r="AW30" s="2">
        <v>8.91</v>
      </c>
      <c r="AX30" s="2">
        <v>9.25</v>
      </c>
      <c r="AY30" s="2">
        <v>10.06</v>
      </c>
      <c r="AZ30" s="2" t="s">
        <v>429</v>
      </c>
      <c r="BA30" s="2">
        <v>8.8000000000000007</v>
      </c>
      <c r="BB30" s="2">
        <v>9.1999999999999993</v>
      </c>
      <c r="BC30" s="2">
        <v>8.5</v>
      </c>
      <c r="BD30" s="2">
        <v>8.8000000000000007</v>
      </c>
      <c r="BE30" s="2">
        <v>1.2</v>
      </c>
      <c r="BF30" s="2" t="s">
        <v>430</v>
      </c>
      <c r="BG30" s="2">
        <v>9.42</v>
      </c>
      <c r="BH30" s="2">
        <v>10.6</v>
      </c>
      <c r="BI30" s="2">
        <v>9.1</v>
      </c>
      <c r="BJ30" s="2">
        <v>9.25</v>
      </c>
      <c r="BK30" s="2">
        <v>30.1</v>
      </c>
      <c r="BL30" s="2" t="s">
        <v>431</v>
      </c>
      <c r="BM30" s="2">
        <v>9.8000000000000007</v>
      </c>
      <c r="BN30" s="2">
        <v>10.8</v>
      </c>
      <c r="BO30" s="2">
        <v>9.1</v>
      </c>
      <c r="BP30" s="2">
        <v>9.5</v>
      </c>
      <c r="BQ30" s="2">
        <v>3.3</v>
      </c>
      <c r="BR30" s="2" t="s">
        <v>432</v>
      </c>
      <c r="BS30" s="2">
        <v>9.6199999999999992</v>
      </c>
      <c r="BT30" s="2">
        <v>9.6199999999999992</v>
      </c>
      <c r="BU30" s="2">
        <v>9.15</v>
      </c>
      <c r="BV30" s="2">
        <v>9.15</v>
      </c>
      <c r="BW30" s="2">
        <v>1.2</v>
      </c>
      <c r="BX30" s="2" t="s">
        <v>433</v>
      </c>
      <c r="BY30" s="2">
        <v>9.42</v>
      </c>
      <c r="BZ30" s="2">
        <v>9.5</v>
      </c>
      <c r="CA30" s="2">
        <v>9</v>
      </c>
      <c r="CB30" s="2">
        <v>9</v>
      </c>
      <c r="CC30" s="2">
        <v>0.43</v>
      </c>
      <c r="CD30" s="2" t="s">
        <v>434</v>
      </c>
      <c r="CE30" s="2">
        <v>12</v>
      </c>
      <c r="CF30" s="2">
        <v>12</v>
      </c>
      <c r="CG30" s="2">
        <v>10</v>
      </c>
      <c r="CH30" s="2">
        <v>10</v>
      </c>
      <c r="CI30" s="2">
        <v>0.86</v>
      </c>
      <c r="CJ30" s="2" t="s">
        <v>435</v>
      </c>
      <c r="CK30" s="2">
        <v>10.6</v>
      </c>
      <c r="CL30" s="2">
        <v>10.6</v>
      </c>
      <c r="CM30" s="2">
        <v>10</v>
      </c>
      <c r="CN30" s="2">
        <v>10</v>
      </c>
      <c r="CO30" s="2">
        <v>1.2</v>
      </c>
      <c r="CP30" s="2" t="s">
        <v>436</v>
      </c>
      <c r="CQ30" s="2">
        <v>10</v>
      </c>
      <c r="CR30" s="2">
        <v>10.3</v>
      </c>
      <c r="CS30" s="2">
        <v>9.5</v>
      </c>
      <c r="CT30" s="2">
        <v>9.8000000000000007</v>
      </c>
      <c r="CU30" s="2">
        <v>13.4</v>
      </c>
      <c r="CV30" s="2" t="s">
        <v>437</v>
      </c>
      <c r="CW30" s="2">
        <v>10.3</v>
      </c>
      <c r="CX30" s="2">
        <v>10.6</v>
      </c>
      <c r="CY30" s="2">
        <v>10</v>
      </c>
      <c r="CZ30" s="2">
        <v>10</v>
      </c>
      <c r="DA30" s="2">
        <v>0</v>
      </c>
      <c r="DB30" s="2">
        <v>0.03</v>
      </c>
      <c r="DC30" s="2">
        <v>0</v>
      </c>
      <c r="DD30" s="2">
        <v>390.75</v>
      </c>
      <c r="DE30" s="2">
        <v>31.5</v>
      </c>
      <c r="DF30" s="2">
        <v>0</v>
      </c>
      <c r="DG30" s="2">
        <v>0</v>
      </c>
      <c r="DH30" s="2">
        <v>32</v>
      </c>
      <c r="DI30" s="2">
        <v>187</v>
      </c>
      <c r="DJ30" s="2">
        <v>808</v>
      </c>
      <c r="DK30" s="2">
        <v>105</v>
      </c>
      <c r="DL30" s="2">
        <v>616.5</v>
      </c>
      <c r="DM30" s="2">
        <v>0</v>
      </c>
      <c r="DN30" s="2">
        <v>0</v>
      </c>
      <c r="DO30" s="2">
        <v>16.97</v>
      </c>
      <c r="DP30" s="2">
        <v>19.86</v>
      </c>
      <c r="DQ30" s="2">
        <v>16.21</v>
      </c>
      <c r="DR30" s="18">
        <v>44013</v>
      </c>
      <c r="DS30" s="18">
        <v>44377</v>
      </c>
      <c r="DT30" s="2">
        <v>103030.85</v>
      </c>
      <c r="DU30" s="2">
        <v>222793</v>
      </c>
      <c r="DV30" s="2">
        <v>905027</v>
      </c>
      <c r="DW30" s="2">
        <v>33635</v>
      </c>
      <c r="DX30" s="2">
        <v>92576</v>
      </c>
      <c r="DY30" s="2">
        <v>0</v>
      </c>
      <c r="DZ30" s="2">
        <v>15046</v>
      </c>
      <c r="EA30" s="2">
        <v>20115</v>
      </c>
      <c r="EB30" s="2">
        <v>12972</v>
      </c>
      <c r="EC30" s="2">
        <v>8509</v>
      </c>
      <c r="ED30" s="2">
        <v>3807</v>
      </c>
      <c r="EE30" s="2">
        <v>13511.68</v>
      </c>
      <c r="EF30" s="2">
        <v>6465.6</v>
      </c>
      <c r="EG30" s="2">
        <v>33702.400000000001</v>
      </c>
      <c r="EH30" s="2" t="s">
        <v>438</v>
      </c>
      <c r="EI30" s="2">
        <v>2138</v>
      </c>
      <c r="EJ30" s="2" t="s">
        <v>357</v>
      </c>
      <c r="EK30" s="2">
        <v>2127</v>
      </c>
      <c r="EL30" s="2">
        <v>4877</v>
      </c>
      <c r="EM30" s="2">
        <v>3107</v>
      </c>
      <c r="EN30" s="2">
        <v>5409</v>
      </c>
      <c r="EO30" s="2">
        <v>14480</v>
      </c>
      <c r="EP30" s="2">
        <v>2085</v>
      </c>
      <c r="EQ30" s="2">
        <v>4286</v>
      </c>
      <c r="ER30" s="2">
        <v>260</v>
      </c>
      <c r="ES30" s="2">
        <v>7788</v>
      </c>
      <c r="ET30" s="2" t="s">
        <v>439</v>
      </c>
      <c r="EU30" s="2">
        <v>9798</v>
      </c>
      <c r="EV30" s="2" t="s">
        <v>440</v>
      </c>
      <c r="EW30" s="2">
        <v>7779</v>
      </c>
      <c r="EX30" s="2">
        <v>0</v>
      </c>
      <c r="EY30" s="2">
        <v>0</v>
      </c>
      <c r="EZ30" s="2" t="s">
        <v>326</v>
      </c>
      <c r="FA30" s="2">
        <v>0</v>
      </c>
      <c r="FB30" s="2" t="s">
        <v>326</v>
      </c>
      <c r="FC30" s="2">
        <v>0</v>
      </c>
      <c r="FD30" s="2">
        <v>298880</v>
      </c>
      <c r="FE30" s="2"/>
      <c r="FF30" s="2">
        <v>716456</v>
      </c>
      <c r="FG30" s="2"/>
      <c r="FH30" s="19">
        <v>44480.623981481483</v>
      </c>
      <c r="FI30" s="2" t="s">
        <v>327</v>
      </c>
      <c r="FJ30" s="2">
        <f>SUM(DATA[[#This Row],[Number of Home support clients:]],DATA[[#This Row],[Number of supported living clients:]])</f>
        <v>39</v>
      </c>
      <c r="FK30"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31-40</v>
      </c>
      <c r="FL30"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16.03</v>
      </c>
      <c r="FM30"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16.03</v>
      </c>
      <c r="FN30"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16.03</v>
      </c>
      <c r="FO30"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16.03</v>
      </c>
      <c r="FP30"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11.9</v>
      </c>
      <c r="FQ30"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11.9</v>
      </c>
      <c r="FR30"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11.9</v>
      </c>
      <c r="FS30"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11.9</v>
      </c>
      <c r="FT30"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10.99</v>
      </c>
      <c r="FU30"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10.99</v>
      </c>
      <c r="FV30"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10.99</v>
      </c>
      <c r="FW30"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10.99</v>
      </c>
      <c r="FX30"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12</v>
      </c>
      <c r="FY30"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12</v>
      </c>
      <c r="FZ30"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12</v>
      </c>
      <c r="GA30"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12</v>
      </c>
      <c r="GB30"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10.5</v>
      </c>
      <c r="GC30"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10.5</v>
      </c>
      <c r="GD30"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8.25</v>
      </c>
      <c r="GE30"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8.25</v>
      </c>
      <c r="GF30"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9.42</v>
      </c>
      <c r="GG30"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9.8000000000000007</v>
      </c>
      <c r="GH30"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8.91</v>
      </c>
      <c r="GI30"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9.25</v>
      </c>
      <c r="GJ30"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8.8000000000000007</v>
      </c>
      <c r="GK30"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9.1999999999999993</v>
      </c>
      <c r="GL30"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8.5</v>
      </c>
      <c r="GM30"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8.8000000000000007</v>
      </c>
      <c r="GN30"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9.42</v>
      </c>
      <c r="GO30"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10.6</v>
      </c>
      <c r="GP30"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9.1</v>
      </c>
      <c r="GQ30"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9.25</v>
      </c>
      <c r="GR30"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9.8000000000000007</v>
      </c>
      <c r="GS30"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10.8</v>
      </c>
      <c r="GT30"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9.1</v>
      </c>
      <c r="GU30"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9.5</v>
      </c>
      <c r="GV30"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9.6199999999999992</v>
      </c>
      <c r="GW30"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9.6199999999999992</v>
      </c>
      <c r="GX30"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9.15</v>
      </c>
      <c r="GY30"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9.15</v>
      </c>
      <c r="GZ30"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9.42</v>
      </c>
      <c r="HA30"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9.5</v>
      </c>
      <c r="HB30"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9</v>
      </c>
      <c r="HC30"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9</v>
      </c>
      <c r="HD30"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12</v>
      </c>
      <c r="HE30"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12</v>
      </c>
      <c r="HF30" s="2">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10</v>
      </c>
      <c r="HG30" s="2">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10</v>
      </c>
      <c r="HH30"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10.6</v>
      </c>
      <c r="HI30"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10.6</v>
      </c>
      <c r="HJ30"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10</v>
      </c>
      <c r="HK30"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10</v>
      </c>
      <c r="HL30"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10</v>
      </c>
      <c r="HM30"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10.3</v>
      </c>
      <c r="HN30" s="2">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9.5</v>
      </c>
      <c r="HO30" s="2">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9.8000000000000007</v>
      </c>
      <c r="HP30" s="2">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10.3</v>
      </c>
      <c r="HQ30" s="2">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10.6</v>
      </c>
      <c r="HR30" s="2">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10</v>
      </c>
      <c r="HS30" s="2">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10</v>
      </c>
      <c r="HT30"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16.03</v>
      </c>
      <c r="HU30"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16.03</v>
      </c>
      <c r="HV30"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16.03</v>
      </c>
      <c r="HW30"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16.03</v>
      </c>
      <c r="HX30"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11.9</v>
      </c>
      <c r="HY30"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11.9</v>
      </c>
      <c r="HZ30"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11.9</v>
      </c>
      <c r="IA30"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11.9</v>
      </c>
      <c r="IB30"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10.99</v>
      </c>
      <c r="IC30"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10.99</v>
      </c>
      <c r="ID30"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10.99</v>
      </c>
      <c r="IE30"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10.99</v>
      </c>
      <c r="IF30"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12</v>
      </c>
      <c r="IG30"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12</v>
      </c>
      <c r="IH30"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12</v>
      </c>
      <c r="II30"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12</v>
      </c>
      <c r="IJ30"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10.5</v>
      </c>
      <c r="IK30"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10.5</v>
      </c>
      <c r="IL30"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8.25</v>
      </c>
      <c r="IM30"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8.25</v>
      </c>
      <c r="IN30"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9.42</v>
      </c>
      <c r="IO30"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9.8000000000000007</v>
      </c>
      <c r="IP30"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8.91</v>
      </c>
      <c r="IQ30"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9.25</v>
      </c>
      <c r="IR30"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8.8000000000000007</v>
      </c>
      <c r="IS30"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9.1999999999999993</v>
      </c>
      <c r="IT30"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8.5</v>
      </c>
      <c r="IU30"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8.8000000000000007</v>
      </c>
      <c r="IV30"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9.42</v>
      </c>
      <c r="IW30"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10.6</v>
      </c>
      <c r="IX30"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9.1</v>
      </c>
      <c r="IY30"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9.25</v>
      </c>
      <c r="IZ30"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9.8000000000000007</v>
      </c>
      <c r="JA30"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10.8</v>
      </c>
      <c r="JB30"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9.1</v>
      </c>
      <c r="JC30"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9.5</v>
      </c>
      <c r="JD30"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9.6199999999999992</v>
      </c>
      <c r="JE30"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9.6199999999999992</v>
      </c>
      <c r="JF30"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9.15</v>
      </c>
      <c r="JG30"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9.15</v>
      </c>
      <c r="JH30"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9.42</v>
      </c>
      <c r="JI30"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9.5</v>
      </c>
      <c r="JJ30"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9</v>
      </c>
      <c r="JK30"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9</v>
      </c>
      <c r="JL30"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12</v>
      </c>
      <c r="JM30"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12</v>
      </c>
      <c r="JN30"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10</v>
      </c>
      <c r="JO30"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10</v>
      </c>
      <c r="JP30"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10.6</v>
      </c>
      <c r="JQ30"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10.6</v>
      </c>
      <c r="JR30"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10</v>
      </c>
      <c r="JS30"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10</v>
      </c>
      <c r="JT30"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10</v>
      </c>
      <c r="JU30"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10.3</v>
      </c>
      <c r="JV30"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9.5</v>
      </c>
      <c r="JW30"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9.8000000000000007</v>
      </c>
      <c r="JX30" s="2">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10.3</v>
      </c>
      <c r="JY30" s="2">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10.6</v>
      </c>
      <c r="JZ30" s="2">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10</v>
      </c>
      <c r="KA30" s="2">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10</v>
      </c>
      <c r="KB30"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6.1000000000000005</v>
      </c>
      <c r="KC30" s="21">
        <f>SUM(DATA[[#This Row],[Care Assistant 1: Numbers employed (Full Time Equivalent)]],DATA[[#This Row],[Care Assistant 2: Numbers employed (Full Time Equivalent)]],DATA[[#This Row],[Care Assistant 3: Numbers employed (Full Time Equivalent)]],DATA[[#This Row],[Care Assistant 4: Numbers employed (Full Time Equivalent)]])</f>
        <v>44.66</v>
      </c>
      <c r="KD30" s="21">
        <f>SUM(DATA[[#This Row],[Administrative Officer 1: Numbers employed (Full Time Equivalent)]],DATA[[#This Row],[Administrative Officer 2: Numbers employed (Full Time Equivalent)]])</f>
        <v>1.63</v>
      </c>
      <c r="KE30" s="21">
        <f>SUM(DATA[[#This Row],[Other staff 1: Numbers employed (Full Time Equivalent)]],DATA[[#This Row],[Other staff 2: Numbers employed (Full Time Equivalent)]],DATA[[#This Row],[Other staff 3: Numbers employed (Full Time Equivalent)]])</f>
        <v>14.6</v>
      </c>
      <c r="KF30" s="21">
        <f>SUM(DATA[[#This Row],[Total FTE Management Employees]:[Total FTE Other Employees]])</f>
        <v>66.989999999999995</v>
      </c>
      <c r="KG30" s="21" t="str">
        <f>IF(SUM(DATA[[#This Row],[Home Support service split percentage (Expenditure):]],DATA[[#This Row],[Supported Living service split percentage (Expenditure):]])&gt;0, IF(DATA[[#This Row],[Home Support service split percentage (Expenditure):]]&gt;0.5,"Home Support","Supported Living"), "Unknown")</f>
        <v>Supported Living</v>
      </c>
      <c r="KH30" s="21">
        <f>SUM(DATA[[#This Row],[Home Support: Birmingham City Council]:[Home Support: Self-funded]])</f>
        <v>454.25</v>
      </c>
      <c r="KI30" s="21">
        <f>SUM(DATA[[#This Row],[Supported Living: Birmingham City Council]:[Supported Living: Self-funded]])</f>
        <v>1716.5</v>
      </c>
      <c r="KJ30"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72.102999999999994</v>
      </c>
      <c r="KK30"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72.102999999999994</v>
      </c>
      <c r="KL30"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74.802999999999997</v>
      </c>
      <c r="KM30"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74.802999999999997</v>
      </c>
      <c r="KN30" s="21" t="b">
        <f>SUM(DATA[[#This Row],[Number of hours of care charged for in last full accounting year]:[Corporate Overheads: Other  - please specify (category) 1]])&gt;0</f>
        <v>1</v>
      </c>
      <c r="KO30" s="21">
        <f>SUM(DATA[[#This Row],[Total annual expenditure: Management staff]:[Total annual expenditure: Training and development]])</f>
        <v>1302164</v>
      </c>
      <c r="KP30" s="21">
        <f>SUM(DATA[[#This Row],[Recruitment &amp; advertising (including DBS checks)]:[Non-Staffing Direct Cost: Other  - please specify (amount) 2]])</f>
        <v>70260.679999999993</v>
      </c>
      <c r="KQ30" s="21">
        <f>SUM(DATA[[#This Row],[Insurance ]:[Indirect costs: Other 2 - please specify (amount)]])</f>
        <v>59869</v>
      </c>
      <c r="KR30" s="21">
        <f>SUM(DATA[[#This Row],[Central / Regional Management]],DATA[[#This Row],[Support Services (finance / HR / Payroll / legal etc.)]],DATA[[#This Row],[Corporate Overheads: Other  - please specify (amount) 1]],DATA[[#This Row],[Corporate Overheads: Other  - please specify (amount) 2]])</f>
        <v>0</v>
      </c>
      <c r="KS30"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2.1623911673057146</v>
      </c>
      <c r="KT30"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8.7840389553226039</v>
      </c>
      <c r="KU30"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0.32645561984590049</v>
      </c>
      <c r="KV30" s="30">
        <f>IF(OR(NOT(DATA[[#This Row],[Total annual expenditure: Other staff]]&gt;0),NOT(DATA[[#This Row],[Number of hours of care charged for in last full accounting year]]&gt;0)),0,DATA[[#This Row],[Total annual expenditure: Other staff]]/DATA[[#This Row],[Number of hours of care charged for in last full accounting year]])</f>
        <v>0.89852699458463159</v>
      </c>
      <c r="KW30"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0" s="30">
        <f>IF(OR(NOT(DATA[[#This Row],[Total annual expenditure: Travel Cost]]&gt;0),NOT(DATA[[#This Row],[Number of hours of care charged for in last full accounting year]]&gt;0)),0,DATA[[#This Row],[Total annual expenditure: Travel Cost]]/DATA[[#This Row],[Number of hours of care charged for in last full accounting year]])</f>
        <v>0.14603393061398601</v>
      </c>
      <c r="KY30" s="30">
        <f>IF(OR(NOT(DATA[[#This Row],[Total annual expenditure: Travel Time]]&gt;0),NOT(DATA[[#This Row],[Number of hours of care charged for in last full accounting year]]&gt;0)),0,DATA[[#This Row],[Total annual expenditure: Travel Time]]/DATA[[#This Row],[Number of hours of care charged for in last full accounting year]])</f>
        <v>0.19523278707299802</v>
      </c>
      <c r="KZ30"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0.12590403748003631</v>
      </c>
      <c r="LA30"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8.258691450182154E-2</v>
      </c>
      <c r="LB30"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3.6950097956097612E-2</v>
      </c>
      <c r="LC30" s="30">
        <f>IF(OR(NOT(DATA[[#This Row],[Care consumables &amp; uniforms]]&gt;0),NOT(DATA[[#This Row],[Number of hours of care charged for in last full accounting year]]&gt;0)),0,DATA[[#This Row],[Care consumables &amp; uniforms]]/DATA[[#This Row],[Number of hours of care charged for in last full accounting year]])</f>
        <v>0.13114208026042684</v>
      </c>
      <c r="LD30" s="30">
        <f>IF(OR(NOT(DATA[[#This Row],[Electronic call monitoring]]&gt;0),NOT(DATA[[#This Row],[Number of hours of care charged for in last full accounting year]]&gt;0)),0,DATA[[#This Row],[Electronic call monitoring]]/DATA[[#This Row],[Number of hours of care charged for in last full accounting year]])</f>
        <v>6.2754019791159632E-2</v>
      </c>
      <c r="LE30" s="30">
        <f>IF(OR(NOT(DATA[[#This Row],[IT Equipment &amp; Telephoney]]&gt;0),NOT(DATA[[#This Row],[Number of hours of care charged for in last full accounting year]]&gt;0)),0,DATA[[#This Row],[IT Equipment &amp; Telephoney]]/DATA[[#This Row],[Number of hours of care charged for in last full accounting year]])</f>
        <v>0.32710979284359976</v>
      </c>
      <c r="LF30"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2.0751066306839164E-2</v>
      </c>
      <c r="LG30"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2.0644302167748783E-2</v>
      </c>
      <c r="LH30" s="30">
        <f>IF(OR(NOT(DATA[[#This Row],[Insurance ]]&gt;0),NOT(DATA[[#This Row],[Number of hours of care charged for in last full accounting year]]&gt;0)),0,DATA[[#This Row],[Insurance ]]/DATA[[#This Row],[Number of hours of care charged for in last full accounting year]])</f>
        <v>4.7335336940343593E-2</v>
      </c>
      <c r="LI30"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3.0156016377618933E-2</v>
      </c>
      <c r="LJ30" s="30">
        <f>IF(OR(NOT(DATA[[#This Row],[Repairs and maintenance]]&gt;0),NOT(DATA[[#This Row],[Number of hours of care charged for in last full accounting year]]&gt;0)),0,DATA[[#This Row],[Repairs and maintenance]]/DATA[[#This Row],[Number of hours of care charged for in last full accounting year]])</f>
        <v>5.2498838939987393E-2</v>
      </c>
      <c r="LK30"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0.14054043036624467</v>
      </c>
      <c r="LL30" s="30">
        <f>IF(OR(NOT(DATA[[#This Row],[Registration &amp; Inspection fees ]]&gt;0),NOT(DATA[[#This Row],[Number of hours of care charged for in last full accounting year]]&gt;0)),0,DATA[[#This Row],[Registration &amp; Inspection fees ]]/DATA[[#This Row],[Number of hours of care charged for in last full accounting year]])</f>
        <v>2.0236657273040064E-2</v>
      </c>
      <c r="LM30" s="30">
        <f>IF(OR(NOT(DATA[[#This Row],[Subscriptions]]&gt;0),NOT(DATA[[#This Row],[Number of hours of care charged for in last full accounting year]]&gt;0)),0,DATA[[#This Row],[Subscriptions]]/DATA[[#This Row],[Number of hours of care charged for in last full accounting year]])</f>
        <v>4.1599190921942308E-2</v>
      </c>
      <c r="LN30" s="30">
        <f>IF(OR(NOT(DATA[[#This Row],[Cost of finance]]&gt;0),NOT(DATA[[#This Row],[Number of hours of care charged for in last full accounting year]]&gt;0)),0,DATA[[#This Row],[Cost of finance]]/DATA[[#This Row],[Number of hours of care charged for in last full accounting year]])</f>
        <v>2.5235160148635092E-3</v>
      </c>
      <c r="LO30" s="30">
        <f>IF(OR(NOT(DATA[[#This Row],[Other non-staff current expenses]]&gt;0),NOT(DATA[[#This Row],[Number of hours of care charged for in last full accounting year]]&gt;0)),0,DATA[[#This Row],[Other non-staff current expenses]]/DATA[[#This Row],[Number of hours of care charged for in last full accounting year]])</f>
        <v>7.5589010475988497E-2</v>
      </c>
      <c r="LP30"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9.5097730437048708E-2</v>
      </c>
      <c r="LQ30"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7.5501657998550908E-2</v>
      </c>
      <c r="LR30" s="30">
        <f>IF(OR(NOT(DATA[[#This Row],[Central / Regional Management]]&gt;0),NOT(DATA[[#This Row],[Number of hours of care charged for in last full accounting year]]&gt;0)),0,DATA[[#This Row],[Central / Regional Management]]/DATA[[#This Row],[Number of hours of care charged for in last full accounting year]])</f>
        <v>0</v>
      </c>
      <c r="LS30"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30"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0"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0" s="30">
        <f>SUM(DATA[[#This Row],[Management staff HOURLY RATE]:[Corporate Overheads: Other  - please specify (amount) 2 HOURLY RATE]])</f>
        <v>13.901600151799194</v>
      </c>
      <c r="LW30" s="30">
        <f>IF(OR(NOT(DATA[[#This Row],[Net Operating Profit]]&gt;0),NOT(DATA[[#This Row],[Number of hours of care charged for in last full accounting year]]&gt;0)),"",DATA[[#This Row],[Net Operating Profit]]/DATA[[#This Row],[Number of hours of care charged for in last full accounting year]])</f>
        <v>2.9008787173938679</v>
      </c>
      <c r="LX30" s="30">
        <f>IF(OR(NOT(DATA[[#This Row],[Return on Capital employed]]&gt;0),NOT(DATA[[#This Row],[Number of hours of care charged for in last full accounting year]]&gt;0)),0,DATA[[#This Row],[Return on Capital employed]]/DATA[[#This Row],[Number of hours of care charged for in last full accounting year]])</f>
        <v>0</v>
      </c>
      <c r="LY30" s="31">
        <v>24</v>
      </c>
      <c r="LZ30" s="30" t="s">
        <v>358</v>
      </c>
      <c r="MA30" s="30" t="b">
        <f>DATA[[#This Row],[Number of Home support clients:]]&gt;0</f>
        <v>1</v>
      </c>
      <c r="MB30" s="30" t="b">
        <f>DATA[[#This Row],[Number of supported living clients:]]&gt;0</f>
        <v>1</v>
      </c>
      <c r="MC30" s="30" t="b">
        <f>DATA[[#This Row],[Total Home Support Hours]]&gt;0</f>
        <v>1</v>
      </c>
      <c r="MD30" s="30" t="b">
        <f>DATA[[#This Row],[Total Supported Living Hours]]&gt;0</f>
        <v>1</v>
      </c>
      <c r="ME30" s="30" t="b">
        <f>DATA[[#This Row],[Home Support service split percentage (Expenditure):]]&gt;0.5</f>
        <v>0</v>
      </c>
      <c r="MF30" s="30" t="b">
        <f>DATA[[#This Row],[Agency staff HOURLY RATE]]=0</f>
        <v>1</v>
      </c>
      <c r="MG30"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0" s="30">
        <f>IFERROR(IF(AVERAGE(DATA[[#This Row],[Deputy manager: Current 2021/22 Minimum hourly pay rate ADJUSTED]],DATA[[#This Row],[Deputy manager: Current 2021/22 Maximum hourly pay rate ADJUSTED]])&lt;LIVING_WAGE_22_23,DATA[[#This Row],[Deputy manager: Numbers employed (Full Time Equivalent)]],0),"")</f>
        <v>0</v>
      </c>
      <c r="MI30" s="30">
        <f>IFERROR(IF(AVERAGE(DATA[[#This Row],[Other manager 1: Current 2021/22 Minimum hourly pay rate ADJUSTED]],DATA[[#This Row],[Other manager 1: Current 2021/22 Maximum hourly pay rate ADJUSTED]])&lt;LIVING_WAGE_22_23,DATA[[#This Row],[Other manager 1: Numbers employed (Full Time Equivalent)]],0),"")</f>
        <v>0</v>
      </c>
      <c r="MJ30" s="30">
        <f>IFERROR(IF(AVERAGE(DATA[[#This Row],[Other manager 2: Current 2021/22 Minimum hourly pay rate ADJUSTED]],DATA[[#This Row],[Other manager 2: Current 2021/22 Maximum hourly pay rate ADJUSTED]])&lt;LIVING_WAGE_22_23,DATA[[#This Row],[Other manager 2: Numbers employed (Full Time Equivalent)]],0),"")</f>
        <v>0</v>
      </c>
      <c r="MK30" s="30">
        <f>IFERROR(IF(AVERAGE(DATA[[#This Row],[Other manager 3: Current 2021/22 Minimum hourly pay rate ADJUSTED]],DATA[[#This Row],[Other manager 3: Current 2021/22 Maximum hourly pay rate ADJUSTED]])&lt;LIVING_WAGE_22_23,DATA[[#This Row],[Other manager 3: Numbers employed (Full Time Equivalent)]],0),"")</f>
        <v>0</v>
      </c>
      <c r="ML30" s="30">
        <f>IFERROR(IF(AVERAGE(DATA[[#This Row],[Care Assistant 1: Current 2021/22 Minimum hourly pay rate ADJUSTED]],DATA[[#This Row],[Care Assistant 1: Current 2021/22 Maximum hourly pay rate ADJUSTED]])&lt;LIVING_WAGE_22_23,DATA[[#This Row],[Care Assistant 1: Numbers employed (Full Time Equivalent)]],0),"")</f>
        <v>0</v>
      </c>
      <c r="MM30" s="30">
        <f>IFERROR(IF(AVERAGE(DATA[[#This Row],[Care Assistant 2: Current 2021/22 Minimum hourly pay rate ADJUSTED]],DATA[[#This Row],[Care Assistant 2: Current 2021/22 Maximum hourly pay rate ADJUSTED]])&lt;LIVING_WAGE_22_23,DATA[[#This Row],[Care Assistant 2: Numbers employed (Full Time Equivalent)]],0),"")</f>
        <v>1.2</v>
      </c>
      <c r="MN30" s="30">
        <f>IFERROR(IF(AVERAGE(DATA[[#This Row],[Care Assistant 3: Current 2021/22 Minimum hourly pay rate ADJUSTED]],DATA[[#This Row],[Care Assistant 3: Current 2021/22 Maximum hourly pay rate ADJUSTED]])&lt;LIVING_WAGE_22_23,DATA[[#This Row],[Care Assistant 3: Numbers employed (Full Time Equivalent)]],0),"")</f>
        <v>0</v>
      </c>
      <c r="MO30" s="30">
        <f>IFERROR(IF(AVERAGE(DATA[[#This Row],[Care Assistant 4: Current 2021/22 Minimum hourly pay rate ADJUSTED]],DATA[[#This Row],[Care Assistant 4: Current 2021/22 Maximum hourly pay rate ADJUSTED]])&lt;LIVING_WAGE_22_23,DATA[[#This Row],[Care Assistant 4: Numbers employed (Full Time Equivalent)]],0),"")</f>
        <v>0</v>
      </c>
      <c r="MP30"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30"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0.43</v>
      </c>
      <c r="MR30" s="30">
        <f>IFERROR(IF(AVERAGE(DATA[[#This Row],[Other staff 1: Current 2021/22 Minimum hourly pay rate ADJUSTED]],DATA[[#This Row],[Other staff 1: Current 2021/22 Maximum hourly pay rate ADJUSTED]])&lt;LIVING_WAGE_22_23,DATA[[#This Row],[Other staff 1: Numbers employed (Full Time Equivalent)]],0),"")</f>
        <v>0</v>
      </c>
      <c r="MS30" s="30">
        <f>IFERROR(IF(AVERAGE(DATA[[#This Row],[Other staff 2: Current 2021/22 Minimum hourly pay rate ADJUSTED]],DATA[[#This Row],[Other staff 2: Current 2021/22 Maximum hourly pay rate ADJUSTED]])&lt;LIVING_WAGE_22_23,DATA[[#This Row],[Other staff 2: Numbers employed (Full Time Equivalent)]],0),"")</f>
        <v>0</v>
      </c>
      <c r="MT30" s="30">
        <f>IFERROR(IF(AVERAGE(DATA[[#This Row],[Other staff 3: Current 2021/22 Minimum hourly pay rate ADJUSTED]],DATA[[#This Row],[Other staff 3: Current 2021/22 Maximum hourly pay rate ADJUSTED]])&lt;LIVING_WAGE_22_23,DATA[[#This Row],[Other staff 3: Numbers employed (Full Time Equivalent)]],0),"")</f>
        <v>0</v>
      </c>
      <c r="MU30" s="30">
        <f>SUM(DATA[[#This Row],[Registered Manager FTE earning less than NLW 23yrs 2022/23]:[Other staff 3 FTE earning less than NLW 23yrs 2022/23]])</f>
        <v>1.63</v>
      </c>
      <c r="MV30"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0"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30"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30"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30"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30"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30"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0.6</v>
      </c>
      <c r="NC30"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30"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0</v>
      </c>
      <c r="NE30"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30"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1.7199999999999632E-2</v>
      </c>
      <c r="NG30"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30"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0</v>
      </c>
      <c r="NI30" s="30">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0</v>
      </c>
      <c r="NJ30" s="30" t="b">
        <v>1</v>
      </c>
      <c r="NK30" s="30" t="b">
        <v>0</v>
      </c>
      <c r="NL30" s="30" t="s">
        <v>973</v>
      </c>
      <c r="NM30" s="30">
        <f>SUM(DATA[[#This Row],[Management staff HOURLY RATE]:[Training and development HOURLY RATE]])</f>
        <v>12.638583492225871</v>
      </c>
      <c r="NN30" s="30">
        <f>SUM(DATA[[#This Row],[Recruitment &amp; advertising (including DBS checks) HOURLY RATE]:[Non-Staffing Direct Cost: Other  - please specify (amount) 2 HOURLY RATE]])</f>
        <v>0.68193827382769334</v>
      </c>
      <c r="NO30" s="30">
        <f>SUM(DATA[[#This Row],[Insurance  HOURLY RATE]:[Indirect costs: Other  - please specify (amount) 2 HOURLY RATE]])</f>
        <v>0.58107838574562853</v>
      </c>
      <c r="NP30" s="30">
        <f>SUM(DATA[[#This Row],[Central / Regional Management HOURLY RATE]:[Corporate Overheads: Other  - please specify (amount) 2 HOURLY RATE]])</f>
        <v>0</v>
      </c>
      <c r="NQ30"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0" s="30">
        <f>IFERROR(IF(AVERAGE(DATA[[#This Row],[Deputy manager: Current 2021/22 Minimum hourly pay rate ADJUSTED]],DATA[[#This Row],[Deputy manager: Current 2021/22 Maximum hourly pay rate ADJUSTED]])&lt;REAL_LIVING_WAGE_22_23,DATA[[#This Row],[Deputy manager: Numbers employed (Full Time Equivalent)]],0),"")</f>
        <v>0</v>
      </c>
      <c r="NS30" s="30">
        <f>IFERROR(IF(AVERAGE(DATA[[#This Row],[Other manager 1: Current 2021/22 Minimum hourly pay rate ADJUSTED]],DATA[[#This Row],[Other manager 1: Current 2021/22 Maximum hourly pay rate ADJUSTED]])&lt;REAL_LIVING_WAGE_22_23,DATA[[#This Row],[Other manager 1: Numbers employed (Full Time Equivalent)]],0),"")</f>
        <v>0</v>
      </c>
      <c r="NT30" s="30">
        <f>IFERROR(IF(AVERAGE(DATA[[#This Row],[Other manager 2: Current 2021/22 Minimum hourly pay rate ADJUSTED]],DATA[[#This Row],[Other manager 2: Current 2021/22 Maximum hourly pay rate ADJUSTED]])&lt;REAL_LIVING_WAGE_22_23,DATA[[#This Row],[Other manager 2: Numbers employed (Full Time Equivalent)]],0),"")</f>
        <v>0</v>
      </c>
      <c r="NU30" s="30">
        <f>IFERROR(IF(AVERAGE(DATA[[#This Row],[Other manager 3: Current 2021/22 Minimum hourly pay rate ADJUSTED]],DATA[[#This Row],[Other manager 3: Current 2021/22 Maximum hourly pay rate ADJUSTED]])&lt;REAL_LIVING_WAGE_22_23,DATA[[#This Row],[Other manager 3: Numbers employed (Full Time Equivalent)]],0),"")</f>
        <v>0</v>
      </c>
      <c r="NV30" s="30">
        <f>IFERROR(IF(AVERAGE(DATA[[#This Row],[Care Assistant 1: Current 2021/22 Minimum hourly pay rate ADJUSTED]],DATA[[#This Row],[Care Assistant 1: Current 2021/22 Maximum hourly pay rate ADJUSTED]])&lt;REAL_LIVING_WAGE_22_23,DATA[[#This Row],[Care Assistant 1: Numbers employed (Full Time Equivalent)]],0),"")</f>
        <v>10.06</v>
      </c>
      <c r="NW30" s="30">
        <f>IFERROR(IF(AVERAGE(DATA[[#This Row],[Care Assistant 2: Current 2021/22 Minimum hourly pay rate ADJUSTED]],DATA[[#This Row],[Care Assistant 2: Current 2021/22 Maximum hourly pay rate ADJUSTED]])&lt;REAL_LIVING_WAGE_22_23,DATA[[#This Row],[Care Assistant 2: Numbers employed (Full Time Equivalent)]],0),"")</f>
        <v>1.2</v>
      </c>
      <c r="NX30" s="30">
        <f>IFERROR(IF(AVERAGE(DATA[[#This Row],[Care Assistant 3: Current 2021/22 Minimum hourly pay rate ADJUSTED]],DATA[[#This Row],[Care Assistant 3: Current 2021/22 Maximum hourly pay rate ADJUSTED]])&lt;REAL_LIVING_WAGE_22_23,DATA[[#This Row],[Care Assistant 3: Numbers employed (Full Time Equivalent)]],0),"")</f>
        <v>0</v>
      </c>
      <c r="NY30" s="30">
        <f>IFERROR(IF(AVERAGE(DATA[[#This Row],[Care Assistant 4: Current 2021/22 Minimum hourly pay rate ADJUSTED]],DATA[[#This Row],[Care Assistant 4: Current 2021/22 Maximum hourly pay rate ADJUSTED]])&lt;REAL_LIVING_WAGE_22_23,DATA[[#This Row],[Care Assistant 4: Numbers employed (Full Time Equivalent)]],0),"")</f>
        <v>0</v>
      </c>
      <c r="NZ30"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1.2</v>
      </c>
      <c r="OA30"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0.43</v>
      </c>
      <c r="OB30" s="30">
        <f>IFERROR(IF(AVERAGE(DATA[[#This Row],[Other staff 1: Current 2021/22 Minimum hourly pay rate ADJUSTED]],DATA[[#This Row],[Other staff 1: Current 2021/22 Maximum hourly pay rate ADJUSTED]])&lt;REAL_LIVING_WAGE_22_23,DATA[[#This Row],[Other staff 1: Numbers employed (Full Time Equivalent)]],0),"")</f>
        <v>0</v>
      </c>
      <c r="OC30" s="30">
        <f>IFERROR(IF(AVERAGE(DATA[[#This Row],[Other staff 2: Current 2021/22 Minimum hourly pay rate ADJUSTED]],DATA[[#This Row],[Other staff 2: Current 2021/22 Maximum hourly pay rate ADJUSTED]])&lt;REAL_LIVING_WAGE_22_23,DATA[[#This Row],[Other staff 2: Numbers employed (Full Time Equivalent)]],0),"")</f>
        <v>0</v>
      </c>
      <c r="OD30" s="30">
        <f>IFERROR(IF(AVERAGE(DATA[[#This Row],[Other staff 3: Current 2021/22 Minimum hourly pay rate ADJUSTED]],DATA[[#This Row],[Other staff 3: Current 2021/22 Maximum hourly pay rate ADJUSTED]])&lt;REAL_LIVING_WAGE_22_23,DATA[[#This Row],[Other staff 3: Numbers employed (Full Time Equivalent)]],0),"")</f>
        <v>0</v>
      </c>
      <c r="OE30" s="30">
        <f>SUM(DATA[[#This Row],[Registered Manager FTE earning less than RLW 23yrs 2022/23]:[Other staff 3 FTE earning less than RLW 23yrs 2022/23]])</f>
        <v>12.889999999999999</v>
      </c>
      <c r="OF30"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0"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30"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30"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30"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30"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2.9174000000000095</v>
      </c>
      <c r="OL30"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1.0800000000000003</v>
      </c>
      <c r="OM30"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v>
      </c>
      <c r="ON30"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0</v>
      </c>
      <c r="OO30"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0.33600000000000135</v>
      </c>
      <c r="OP30"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0.18919999999999979</v>
      </c>
      <c r="OQ30"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30"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0</v>
      </c>
      <c r="OS30" s="30">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0</v>
      </c>
      <c r="OT30" s="30">
        <f>IFERROR(IF(DATA[[#This Row],[Registered manager: Numbers employed (Full Time Equivalent)]]=0,"",DATA[[#This Row],[Registered manager: Current 2021/22 Minimum hourly pay rate ADJUSTED 2]]*DATA[[#This Row],[Registered manager: Numbers employed (Full Time Equivalent)]]),"")</f>
        <v>19.236000000000001</v>
      </c>
      <c r="OU30" s="30">
        <f>IFERROR(IF(DATA[[#This Row],[Registered manager: Numbers employed (Full Time Equivalent)]]=0,"",DATA[[#This Row],[Registered manager: Current 2021/22 Maximum hourly pay rate ADJUSTED 2]]*DATA[[#This Row],[Registered manager: Numbers employed (Full Time Equivalent)]]),"")</f>
        <v>19.236000000000001</v>
      </c>
      <c r="OV30" s="30">
        <f>IFERROR(IF(DATA[[#This Row],[Registered manager: Numbers employed (Full Time Equivalent)]]=0,"",DATA[[#This Row],[Registered manager: Previous 2020/21 Minimum hourly pay rate ADJUSTED 2]]*DATA[[#This Row],[Registered manager: Numbers employed (Full Time Equivalent)]]),"")</f>
        <v>19.236000000000001</v>
      </c>
      <c r="OW30" s="30">
        <f>IFERROR(IF(DATA[[#This Row],[Registered manager: Numbers employed (Full Time Equivalent)]]=0,"",DATA[[#This Row],[Registered manager: Previous 2020/21 Maximum hourly pay rate ADJUSTED 2]]*DATA[[#This Row],[Registered manager: Numbers employed (Full Time Equivalent)]]),"")</f>
        <v>19.236000000000001</v>
      </c>
      <c r="OX30" s="30">
        <f>IFERROR(IF(DATA[[#This Row],[Deputy manager: Numbers employed (Full Time Equivalent)]]=0,"",DATA[[#This Row],[Deputy manager: Current 2021/22 Minimum hourly pay rate ADJUSTED 2]]*DATA[[#This Row],[Deputy manager: Numbers employed (Full Time Equivalent)]]),"")</f>
        <v>14.28</v>
      </c>
      <c r="OY30" s="30">
        <f>IFERROR(IF(DATA[[#This Row],[Deputy manager: Numbers employed (Full Time Equivalent)]]=0,"",DATA[[#This Row],[Deputy manager: Current 2021/22 Maximum hourly pay rate ADJUSTED 2]]*DATA[[#This Row],[Deputy manager: Numbers employed (Full Time Equivalent)]]),"")</f>
        <v>14.28</v>
      </c>
      <c r="OZ30" s="30">
        <f>IFERROR(IF(DATA[[#This Row],[Deputy manager: Numbers employed (Full Time Equivalent)]]=0,"",DATA[[#This Row],[Deputy manager: Previous 2020/21 Minimum hourly pay rate ADJUSTED 2]]*DATA[[#This Row],[Deputy manager: Numbers employed (Full Time Equivalent)]]),"")</f>
        <v>14.28</v>
      </c>
      <c r="PA30" s="30">
        <f>IFERROR(IF(DATA[[#This Row],[Deputy manager: Numbers employed (Full Time Equivalent)]]=0,"",DATA[[#This Row],[Deputy manager: Previous 2020/21 Maximum hourly pay rate ADJUSTED 2]]*DATA[[#This Row],[Deputy manager: Numbers employed (Full Time Equivalent)]]),"")</f>
        <v>14.28</v>
      </c>
      <c r="PB30" s="30">
        <f>IFERROR(IF(DATA[[#This Row],[Other manager 1: Numbers employed (Full Time Equivalent)]]=0,"",DATA[[#This Row],[Other manager 1: Current 2021/22 Minimum hourly pay rate ADJUSTED 2]]*DATA[[#This Row],[Other manager 1: Numbers employed (Full Time Equivalent)]]),"")</f>
        <v>14.287000000000001</v>
      </c>
      <c r="PC30" s="30">
        <f>IFERROR(IF(DATA[[#This Row],[Other manager 1: Numbers employed (Full Time Equivalent)]]=0,"",DATA[[#This Row],[Other manager 1: Current 2021/22 Maximum hourly pay rate ADJUSTED 2]]*DATA[[#This Row],[Other manager 1: Numbers employed (Full Time Equivalent)]]),"")</f>
        <v>14.287000000000001</v>
      </c>
      <c r="PD30" s="30">
        <f>IFERROR(IF(DATA[[#This Row],[Other manager 1: Numbers employed (Full Time Equivalent)]]=0,"",DATA[[#This Row],[Other manager 1: Previous 2020/21 Minimum hourly pay rate ADJUSTED 2]]*DATA[[#This Row],[Other manager 1: Numbers employed (Full Time Equivalent)]]),"")</f>
        <v>14.287000000000001</v>
      </c>
      <c r="PE30" s="30">
        <f>IFERROR(IF(DATA[[#This Row],[Other manager 1: Numbers employed (Full Time Equivalent)]]=0,"",DATA[[#This Row],[Other manager 1: Previous 2020/21 Maximum hourly pay rate ADJUSTED 2]]*DATA[[#This Row],[Other manager 1: Numbers employed (Full Time Equivalent)]]),"")</f>
        <v>14.287000000000001</v>
      </c>
      <c r="PF30" s="30">
        <f>IFERROR(IF(DATA[[#This Row],[Other manager 2: Numbers employed (Full Time Equivalent)]]=0,"",DATA[[#This Row],[Other manager 2: Current 2021/22 Minimum hourly pay rate ADJUSTED 2]]*DATA[[#This Row],[Other manager 2: Numbers employed (Full Time Equivalent)]]),"")</f>
        <v>14.399999999999999</v>
      </c>
      <c r="PG30" s="30">
        <f>IFERROR(IF(DATA[[#This Row],[Other manager 2: Numbers employed (Full Time Equivalent)]]=0,"",DATA[[#This Row],[Other manager 2: Current 2021/22 Maximum hourly pay rate ADJUSTED 2]]*DATA[[#This Row],[Other manager 2: Numbers employed (Full Time Equivalent)]]),"")</f>
        <v>14.399999999999999</v>
      </c>
      <c r="PH30" s="30">
        <f>IFERROR(IF(DATA[[#This Row],[Other manager 2: Numbers employed (Full Time Equivalent)]]=0,"",DATA[[#This Row],[Other manager 2: Previous 2020/21 Minimum hourly pay rate ADJUSTED 2]]*DATA[[#This Row],[Other manager 2: Numbers employed (Full Time Equivalent)]]),"")</f>
        <v>14.399999999999999</v>
      </c>
      <c r="PI30" s="30">
        <f>IFERROR(IF(DATA[[#This Row],[Other manager 2: Numbers employed (Full Time Equivalent)]]=0,"",DATA[[#This Row],[Other manager 2: Previous 2020/21 Maximum hourly pay rate ADJUSTED 2]]*DATA[[#This Row],[Other manager 2: Numbers employed (Full Time Equivalent)]]),"")</f>
        <v>14.399999999999999</v>
      </c>
      <c r="PJ30" s="30">
        <f>IFERROR(IF(DATA[[#This Row],[Other manager 3: Numbers employed (Full Time Equivalent)]]=0,"",DATA[[#This Row],[Other manager 3: Current 2021/22 Minimum hourly pay rate ADJUSTED 2]]*DATA[[#This Row],[Other manager 3: Numbers employed (Full Time Equivalent)]]),"")</f>
        <v>12.6</v>
      </c>
      <c r="PK30" s="30">
        <f>IFERROR(IF(DATA[[#This Row],[Other manager 3: Numbers employed (Full Time Equivalent)]]=0,"",DATA[[#This Row],[Other manager 3: Current 2021/22 Maximum hourly pay rate ADJUSTED 2]]*DATA[[#This Row],[Other manager 3: Numbers employed (Full Time Equivalent)]]),"")</f>
        <v>12.6</v>
      </c>
      <c r="PL30" s="30">
        <f>IFERROR(IF(DATA[[#This Row],[Other manager 3: Numbers employed (Full Time Equivalent)]]=0,"",DATA[[#This Row],[Other manager 3: Previous 2020/21 Minimum hourly pay rate ADJUSTED 2]]*DATA[[#This Row],[Other manager 3: Numbers employed (Full Time Equivalent)]]),"")</f>
        <v>9.9</v>
      </c>
      <c r="PM30" s="30">
        <f>IFERROR(IF(DATA[[#This Row],[Other manager 3: Numbers employed (Full Time Equivalent)]]=0,"",DATA[[#This Row],[Other manager 3: Previous 2020/21 Maximum hourly pay rate ADJUSTED 2]]*DATA[[#This Row],[Other manager 3: Numbers employed (Full Time Equivalent)]]),"")</f>
        <v>9.9</v>
      </c>
      <c r="PN30" s="30">
        <f>IFERROR(IF(DATA[[#This Row],[Care Assistant 1: Numbers employed (Full Time Equivalent)]]=0,"",DATA[[#This Row],[Care Assistant 1: Current 2021/22 Minimum hourly pay rate ADJUSTED 2]]*DATA[[#This Row],[Care Assistant 1: Numbers employed (Full Time Equivalent)]]),"")</f>
        <v>94.765200000000007</v>
      </c>
      <c r="PO30" s="30">
        <f>IFERROR(IF(DATA[[#This Row],[Care Assistant 1: Numbers employed (Full Time Equivalent)]]=0,"",DATA[[#This Row],[Care Assistant 1: Current 2021/22 Maximum hourly pay rate ADJUSTED 2]]*DATA[[#This Row],[Care Assistant 1: Numbers employed (Full Time Equivalent)]]),"")</f>
        <v>98.588000000000008</v>
      </c>
      <c r="PP30" s="30">
        <f>IFERROR(IF(DATA[[#This Row],[Care Assistant 1: Numbers employed (Full Time Equivalent)]]=0,"",DATA[[#This Row],[Care Assistant 1: Previous 2020/21 Minimum hourly pay rate ADJUSTED 2]]*DATA[[#This Row],[Care Assistant 1: Numbers employed (Full Time Equivalent)]]),"")</f>
        <v>89.634600000000006</v>
      </c>
      <c r="PQ30" s="30">
        <f>IFERROR(IF(DATA[[#This Row],[Care Assistant 1: Numbers employed (Full Time Equivalent)]]=0,"",DATA[[#This Row],[Care Assistant 1: Previous 2020/21 Maximum hourly pay rate ADJUSTED 2]]*DATA[[#This Row],[Care Assistant 1: Numbers employed (Full Time Equivalent)]]),"")</f>
        <v>93.055000000000007</v>
      </c>
      <c r="PR30" s="30">
        <f>IFERROR(IF(DATA[[#This Row],[Care Assistant 2: Numbers employed (Full Time Equivalent)]]=0,"",DATA[[#This Row],[Care Assistant 2: Current 2021/22 Minimum hourly pay rate ADJUSTED 2]]*DATA[[#This Row],[Care Assistant 2: Numbers employed (Full Time Equivalent)]]),"")</f>
        <v>10.56</v>
      </c>
      <c r="PS30" s="30">
        <f>IFERROR(IF(DATA[[#This Row],[Care Assistant 2: Numbers employed (Full Time Equivalent)]]=0,"",DATA[[#This Row],[Care Assistant 2: Current 2021/22 Maximum hourly pay rate ADJUSTED 2]]*DATA[[#This Row],[Care Assistant 2: Numbers employed (Full Time Equivalent)]]),"")</f>
        <v>11.04</v>
      </c>
      <c r="PT30" s="30">
        <f>IFERROR(IF(DATA[[#This Row],[Care Assistant 2: Numbers employed (Full Time Equivalent)]]=0,"",DATA[[#This Row],[Care Assistant 2: Previous 2020/21 Minimum hourly pay rate ADJUSTED 2]]*DATA[[#This Row],[Care Assistant 2: Numbers employed (Full Time Equivalent)]]),"")</f>
        <v>10.199999999999999</v>
      </c>
      <c r="PU30" s="30">
        <f>IFERROR(IF(DATA[[#This Row],[Care Assistant 2: Numbers employed (Full Time Equivalent)]]=0,"",DATA[[#This Row],[Care Assistant 2: Previous 2020/21 Maximum hourly pay rate ADJUSTED 2]]*DATA[[#This Row],[Care Assistant 2: Numbers employed (Full Time Equivalent)]]),"")</f>
        <v>10.56</v>
      </c>
      <c r="PV30" s="30">
        <f>IFERROR(IF(DATA[[#This Row],[Care Assistant 3: Numbers employed (Full Time Equivalent)]]=0,"",DATA[[#This Row],[Care Assistant 3: Current 2021/22 Minimum hourly pay rate ADJUSTED 2]]*DATA[[#This Row],[Care Assistant 3: Numbers employed (Full Time Equivalent)]]),"")</f>
        <v>283.54200000000003</v>
      </c>
      <c r="PW30" s="30">
        <f>IFERROR(IF(DATA[[#This Row],[Care Assistant 3: Numbers employed (Full Time Equivalent)]]=0,"",DATA[[#This Row],[Care Assistant 3: Current 2021/22 Maximum hourly pay rate ADJUSTED 2]]*DATA[[#This Row],[Care Assistant 3: Numbers employed (Full Time Equivalent)]]),"")</f>
        <v>319.06</v>
      </c>
      <c r="PX30" s="30">
        <f>IFERROR(IF(DATA[[#This Row],[Care Assistant 3: Numbers employed (Full Time Equivalent)]]=0,"",DATA[[#This Row],[Care Assistant 3: Previous 2020/21 Minimum hourly pay rate ADJUSTED 2]]*DATA[[#This Row],[Care Assistant 3: Numbers employed (Full Time Equivalent)]]),"")</f>
        <v>273.91000000000003</v>
      </c>
      <c r="PY30" s="30">
        <f>IFERROR(IF(DATA[[#This Row],[Care Assistant 3: Numbers employed (Full Time Equivalent)]]=0,"",DATA[[#This Row],[Care Assistant 3: Previous 2020/21 Maximum hourly pay rate ADJUSTED 2]]*DATA[[#This Row],[Care Assistant 3: Numbers employed (Full Time Equivalent)]]),"")</f>
        <v>278.42500000000001</v>
      </c>
      <c r="PZ30" s="30">
        <f>IFERROR(IF(DATA[[#This Row],[Care Assistant 4: Numbers employed (Full Time Equivalent)]]=0,"",DATA[[#This Row],[Care Assistant 4: Current 2021/22 Minimum hourly pay rate ADJUSTED 2]]*DATA[[#This Row],[Care Assistant 4: Numbers employed (Full Time Equivalent)]]),"")</f>
        <v>32.340000000000003</v>
      </c>
      <c r="QA30" s="30">
        <f>IFERROR(IF(DATA[[#This Row],[Care Assistant 4: Numbers employed (Full Time Equivalent)]]=0,"",DATA[[#This Row],[Care Assistant 4: Current 2021/22 Maximum hourly pay rate ADJUSTED 2]]*DATA[[#This Row],[Care Assistant 4: Numbers employed (Full Time Equivalent)]]),"")</f>
        <v>35.64</v>
      </c>
      <c r="QB30" s="30">
        <f>IFERROR(IF(DATA[[#This Row],[Care Assistant 4: Numbers employed (Full Time Equivalent)]]=0,"",DATA[[#This Row],[Care Assistant 4: Previous 2020/21 Minimum hourly pay rate ADJUSTED 2]]*DATA[[#This Row],[Care Assistant 4: Numbers employed (Full Time Equivalent)]]),"")</f>
        <v>30.029999999999998</v>
      </c>
      <c r="QC30" s="30">
        <f>IFERROR(IF(DATA[[#This Row],[Care Assistant 4: Numbers employed (Full Time Equivalent)]]=0,"",DATA[[#This Row],[Care Assistant 4: Previous 2020/21 Maximum hourly pay rate ADJUSTED 2]]*DATA[[#This Row],[Care Assistant 4: Numbers employed (Full Time Equivalent)]]),"")</f>
        <v>31.349999999999998</v>
      </c>
      <c r="QD30" s="30">
        <f>IFERROR(IF(DATA[[#This Row],[Administrative Officer 1: Numbers employed (Full Time Equivalent)]]=0,"",DATA[[#This Row],[Administrative Officer 1: Current 2021/22 Minimum hourly pay rate ADJUSTED 2]]*DATA[[#This Row],[Administrative Officer 1: Numbers employed (Full Time Equivalent)]]),"")</f>
        <v>11.543999999999999</v>
      </c>
      <c r="QE30" s="30">
        <f>IFERROR(IF(DATA[[#This Row],[Administrative Officer 1: Numbers employed (Full Time Equivalent)]]=0,"",DATA[[#This Row],[Administrative Officer 1: Current 2021/22 Maximum hourly pay rate ADJUSTED 2]]*DATA[[#This Row],[Administrative Officer 1: Numbers employed (Full Time Equivalent)]]),"")</f>
        <v>11.543999999999999</v>
      </c>
      <c r="QF30" s="30">
        <f>IFERROR(IF(DATA[[#This Row],[Administrative Officer 1: Numbers employed (Full Time Equivalent)]]=0,"",DATA[[#This Row],[Administrative Officer 1: Previous 2020/21 Minimum hourly pay rate ADJUSTED 2]]*DATA[[#This Row],[Administrative Officer 1: Numbers employed (Full Time Equivalent)]]),"")</f>
        <v>10.98</v>
      </c>
      <c r="QG30" s="30">
        <f>IFERROR(IF(DATA[[#This Row],[Administrative Officer 1: Numbers employed (Full Time Equivalent)]]=0,"",DATA[[#This Row],[Administrative Officer 1: Previous 2020/21 Maximum hourly pay rate ADJUSTED 2]]*DATA[[#This Row],[Administrative Officer 1: Numbers employed (Full Time Equivalent)]]),"")</f>
        <v>10.98</v>
      </c>
      <c r="QH30" s="30">
        <f>IFERROR(IF(DATA[[#This Row],[Administrative Officer 2: Numbers employed (Full Time Equivalent)]]=0,"",DATA[[#This Row],[Administrative Officer 2: Current 2021/22 Minimum hourly pay rate ADJUSTED 2]]*DATA[[#This Row],[Administrative Officer 2: Numbers employed (Full Time Equivalent)]]),"")</f>
        <v>4.0506000000000002</v>
      </c>
      <c r="QI30" s="30">
        <f>IFERROR(IF(DATA[[#This Row],[Administrative Officer 2: Numbers employed (Full Time Equivalent)]]=0,"",DATA[[#This Row],[Administrative Officer 2: Current 2021/22 Maximum hourly pay rate ADJUSTED 2]]*DATA[[#This Row],[Administrative Officer 2: Numbers employed (Full Time Equivalent)]]),"")</f>
        <v>4.085</v>
      </c>
      <c r="QJ30" s="30">
        <f>IFERROR(IF(DATA[[#This Row],[Administrative Officer 2: Numbers employed (Full Time Equivalent)]]=0,"",DATA[[#This Row],[Administrative Officer 2: Previous 2020/21 Minimum hourly pay rate ADJUSTED 2]]*DATA[[#This Row],[Administrative Officer 2: Numbers employed (Full Time Equivalent)]]),"")</f>
        <v>3.87</v>
      </c>
      <c r="QK30" s="30">
        <f>IFERROR(IF(DATA[[#This Row],[Administrative Officer 2: Numbers employed (Full Time Equivalent)]]=0,"",DATA[[#This Row],[Administrative Officer 2: Previous 2020/21 Maximum hourly pay rate ADJUSTED 2]]*DATA[[#This Row],[Administrative Officer 2: Numbers employed (Full Time Equivalent)]]),"")</f>
        <v>3.87</v>
      </c>
      <c r="QL30" s="30">
        <f>IFERROR(IF(DATA[[#This Row],[Administrative Officer 3: Numbers employed (Full Time Equivalent)]]=0,"",DATA[[#This Row],[Administrative Officer 3: Current 2021/22 Minimum hourly pay rate ADJUSTED 2]]*DATA[[#This Row],[Administrative Officer 3: Numbers employed (Full Time Equivalent)]]),"")</f>
        <v>10.32</v>
      </c>
      <c r="QM30" s="30">
        <f>IFERROR(IF(DATA[[#This Row],[Administrative Officer 3: Numbers employed (Full Time Equivalent)]]=0,"",DATA[[#This Row],[Administrative Officer 3: Current 2021/22 Maximum hourly pay rate ADJUSTED 2]]*DATA[[#This Row],[Administrative Officer 3: Numbers employed (Full Time Equivalent)]]),"")</f>
        <v>10.32</v>
      </c>
      <c r="QN30" s="30">
        <f>IFERROR(IF(DATA[[#This Row],[Administrative Officer 3: Numbers employed (Full Time Equivalent)]]=0,"",DATA[[#This Row],[Administrative Officer 3: Previous 2020/21 Minimum hourly pay rate ADJUSTED 2]]*DATA[[#This Row],[Administrative Officer 3: Numbers employed (Full Time Equivalent)]]),"")</f>
        <v>8.6</v>
      </c>
      <c r="QO30" s="30">
        <f>IFERROR(IF(DATA[[#This Row],[Administrative Officer 3: Numbers employed (Full Time Equivalent)]]=0,"",DATA[[#This Row],[Administrative Officer 3: Previous 2020/21 Maximum hourly pay rate ADJUSTED 2]]*DATA[[#This Row],[Administrative Officer 3: Numbers employed (Full Time Equivalent)]]),"")</f>
        <v>8.6</v>
      </c>
      <c r="QP30" s="28">
        <f>IFERROR(IF(DATA[[#This Row],[Other staff 1: Numbers employed (Full Time Equivalent)]]=0,"",DATA[[#This Row],[Other staff 1: Current 2021/22 Minimum hourly pay rate ADJUSTED 2]]*DATA[[#This Row],[Other staff 1: Numbers employed (Full Time Equivalent)]]),"")</f>
        <v>12.719999999999999</v>
      </c>
      <c r="QQ30" s="28">
        <f>IFERROR(IF(DATA[[#This Row],[Other staff 1: Numbers employed (Full Time Equivalent)]]=0,"",DATA[[#This Row],[Other staff 1: Current 2021/22 Maximum hourly pay rate ADJUSTED 2]]*DATA[[#This Row],[Other staff 1: Numbers employed (Full Time Equivalent)]]),"")</f>
        <v>12.719999999999999</v>
      </c>
      <c r="QR30" s="28">
        <f>IFERROR(IF(DATA[[#This Row],[Other staff 1: Numbers employed (Full Time Equivalent)]]=0,"",DATA[[#This Row],[Other staff 1: Previous 2020/21 Minimum hourly pay rate ADJUSTED 2]]*DATA[[#This Row],[Other staff 1: Numbers employed (Full Time Equivalent)]]),"")</f>
        <v>12</v>
      </c>
      <c r="QS30" s="28">
        <f>IFERROR(IF(DATA[[#This Row],[Other staff 1: Numbers employed (Full Time Equivalent)]]=0,"",DATA[[#This Row],[Other staff 1: Previous 2020/21 Maximum hourly pay rate ADJUSTED 2]]*DATA[[#This Row],[Other staff 1: Numbers employed (Full Time Equivalent)]]),"")</f>
        <v>12</v>
      </c>
      <c r="QT30" s="28">
        <f>IFERROR(IF(DATA[[#This Row],[Other staff 2: Numbers employed (Full Time Equivalent)]]=0,"",DATA[[#This Row],[Other staff 2: Current 2021/22 Minimum hourly pay rate ADJUSTED 2]]*DATA[[#This Row],[Other staff 2: Numbers employed (Full Time Equivalent)]]),"")</f>
        <v>134</v>
      </c>
      <c r="QU30" s="28">
        <f>IFERROR(IF(DATA[[#This Row],[Other staff 2: Numbers employed (Full Time Equivalent)]]=0,"",DATA[[#This Row],[Other staff 2: Current 2021/22 Maximum hourly pay rate ADJUSTED 2]]*DATA[[#This Row],[Other staff 2: Numbers employed (Full Time Equivalent)]]),"")</f>
        <v>138.02000000000001</v>
      </c>
      <c r="QV30" s="28">
        <f>IFERROR(IF(DATA[[#This Row],[Other staff 2: Numbers employed (Full Time Equivalent)]]=0,"",DATA[[#This Row],[Other staff 2: Previous 2020/21 Minimum hourly pay rate ADJUSTED 2]]*DATA[[#This Row],[Other staff 2: Numbers employed (Full Time Equivalent)]]),"")</f>
        <v>127.3</v>
      </c>
      <c r="QW30" s="28">
        <f>IFERROR(IF(DATA[[#This Row],[Other staff 2: Numbers employed (Full Time Equivalent)]]=0,"",DATA[[#This Row],[Other staff 2: Previous 2020/21 Maximum hourly pay rate ADJUSTED 2]]*DATA[[#This Row],[Other staff 2: Numbers employed (Full Time Equivalent)]]),"")</f>
        <v>131.32000000000002</v>
      </c>
      <c r="QX30" s="28" t="str">
        <f>IFERROR(IF(DATA[[#This Row],[Other staff 3: Numbers employed (Full Time Equivalent)]]=0,"",DATA[[#This Row],[Other staff 3: Current 2021/22 Minimum hourly pay rate ADJUSTED 2]]*DATA[[#This Row],[Other staff 3: Numbers employed (Full Time Equivalent)]]),"")</f>
        <v/>
      </c>
      <c r="QY30" s="28" t="str">
        <f>IFERROR(IF(DATA[[#This Row],[Other staff 3: Numbers employed (Full Time Equivalent)]]=0,"",DATA[[#This Row],[Other staff 3: Current 2021/22 Maximum hourly pay rate ADJUSTED 2]]*DATA[[#This Row],[Other staff 3: Numbers employed (Full Time Equivalent)]]),"")</f>
        <v/>
      </c>
      <c r="QZ30" s="28" t="str">
        <f>IFERROR(IF(DATA[[#This Row],[Other staff 3: Numbers employed (Full Time Equivalent)]]=0,"",DATA[[#This Row],[Other staff 3: Previous 2020/21 Minimum hourly pay rate ADJUSTED 2]]*DATA[[#This Row],[Other staff 3: Numbers employed (Full Time Equivalent)]]),"")</f>
        <v/>
      </c>
      <c r="RA30" s="28" t="str">
        <f>IFERROR(IF(DATA[[#This Row],[Other staff 3: Numbers employed (Full Time Equivalent)]]=0,"",DATA[[#This Row],[Other staff 3: Previous 2020/21 Maximum hourly pay rate ADJUSTED 2]]*DATA[[#This Row],[Other staff 3: Numbers employed (Full Time Equivalent)]]),"")</f>
        <v/>
      </c>
      <c r="RB30"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1.2</v>
      </c>
      <c r="RC30"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1.2</v>
      </c>
      <c r="RD30"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1.3</v>
      </c>
      <c r="RE30"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1.2</v>
      </c>
      <c r="RF30"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1.2</v>
      </c>
      <c r="RG30"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10.06</v>
      </c>
      <c r="RH30"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1.2</v>
      </c>
      <c r="RI30"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30.1</v>
      </c>
      <c r="RJ30"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3.3</v>
      </c>
      <c r="RK30"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1.2</v>
      </c>
      <c r="RL30"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0.43</v>
      </c>
      <c r="RM30"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0.86</v>
      </c>
      <c r="RN30"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1.2</v>
      </c>
      <c r="RO30"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13.4</v>
      </c>
      <c r="RP30"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1" spans="7:484" x14ac:dyDescent="0.25">
      <c r="G31" s="2">
        <v>25</v>
      </c>
      <c r="H31" s="2">
        <v>32</v>
      </c>
      <c r="I31" s="2">
        <v>12</v>
      </c>
      <c r="J31" s="2">
        <v>0.6</v>
      </c>
      <c r="K31" s="2">
        <v>0.4</v>
      </c>
      <c r="L31" s="2" t="s">
        <v>240</v>
      </c>
      <c r="M31" s="2" t="s">
        <v>323</v>
      </c>
      <c r="R31" s="2">
        <v>18</v>
      </c>
      <c r="S31" s="2">
        <v>18</v>
      </c>
      <c r="T31" s="2">
        <v>15</v>
      </c>
      <c r="U31" s="2">
        <v>15</v>
      </c>
      <c r="V31" s="2">
        <v>1</v>
      </c>
      <c r="W31" s="2">
        <v>10</v>
      </c>
      <c r="X31" s="2">
        <v>10</v>
      </c>
      <c r="Y31" s="2">
        <v>10</v>
      </c>
      <c r="Z31" s="2">
        <v>10</v>
      </c>
      <c r="AA31" s="2">
        <v>1</v>
      </c>
      <c r="AB31" s="2" t="s">
        <v>441</v>
      </c>
      <c r="AC31" s="2">
        <v>12</v>
      </c>
      <c r="AD31" s="2">
        <v>12</v>
      </c>
      <c r="AE31" s="2">
        <v>12</v>
      </c>
      <c r="AF31" s="2">
        <v>12</v>
      </c>
      <c r="AG31" s="2">
        <v>1</v>
      </c>
      <c r="AH31" s="2" t="s">
        <v>442</v>
      </c>
      <c r="AI31" s="2">
        <v>0</v>
      </c>
      <c r="AJ31" s="2">
        <v>0</v>
      </c>
      <c r="AK31" s="2">
        <v>0</v>
      </c>
      <c r="AL31" s="2">
        <v>0</v>
      </c>
      <c r="AM31" s="2">
        <v>0</v>
      </c>
      <c r="AN31" s="2" t="s">
        <v>315</v>
      </c>
      <c r="AO31" s="2">
        <v>0</v>
      </c>
      <c r="AP31" s="2">
        <v>0</v>
      </c>
      <c r="AQ31" s="2">
        <v>0</v>
      </c>
      <c r="AR31" s="2">
        <v>0</v>
      </c>
      <c r="AS31" s="2">
        <v>0</v>
      </c>
      <c r="AT31" s="2" t="s">
        <v>443</v>
      </c>
      <c r="AU31" s="2">
        <v>12</v>
      </c>
      <c r="AV31" s="2">
        <v>12</v>
      </c>
      <c r="AW31" s="2">
        <v>9.5</v>
      </c>
      <c r="AX31" s="2">
        <v>9.5</v>
      </c>
      <c r="AY31" s="2">
        <v>1</v>
      </c>
      <c r="AZ31" s="2" t="s">
        <v>444</v>
      </c>
      <c r="BA31" s="2">
        <v>9.5</v>
      </c>
      <c r="BB31" s="2">
        <v>9.5</v>
      </c>
      <c r="BC31" s="2">
        <v>9.5</v>
      </c>
      <c r="BD31" s="2">
        <v>9.5</v>
      </c>
      <c r="BE31" s="2">
        <v>1</v>
      </c>
      <c r="BF31" s="2" t="s">
        <v>445</v>
      </c>
      <c r="BG31" s="2">
        <v>9.15</v>
      </c>
      <c r="BH31" s="2">
        <v>9.15</v>
      </c>
      <c r="BI31" s="2">
        <v>8.85</v>
      </c>
      <c r="BJ31" s="2">
        <v>8.85</v>
      </c>
      <c r="BK31" s="2">
        <v>1</v>
      </c>
      <c r="BL31" s="2" t="s">
        <v>316</v>
      </c>
      <c r="BM31" s="2">
        <v>9</v>
      </c>
      <c r="BN31" s="2">
        <v>9</v>
      </c>
      <c r="BO31" s="2">
        <v>9</v>
      </c>
      <c r="BP31" s="2">
        <v>9</v>
      </c>
      <c r="BQ31" s="2">
        <v>19</v>
      </c>
      <c r="BR31" s="2" t="s">
        <v>446</v>
      </c>
      <c r="BS31" s="2">
        <v>13</v>
      </c>
      <c r="BT31" s="2">
        <v>13</v>
      </c>
      <c r="BU31" s="2">
        <v>13</v>
      </c>
      <c r="BV31" s="2">
        <v>13</v>
      </c>
      <c r="BW31" s="2">
        <v>1</v>
      </c>
      <c r="BX31" s="2" t="s">
        <v>317</v>
      </c>
      <c r="BY31" s="2">
        <v>0</v>
      </c>
      <c r="BZ31" s="2">
        <v>0</v>
      </c>
      <c r="CA31" s="2">
        <v>0</v>
      </c>
      <c r="CB31" s="2">
        <v>0</v>
      </c>
      <c r="CC31" s="2">
        <v>0</v>
      </c>
      <c r="CD31" s="2" t="s">
        <v>317</v>
      </c>
      <c r="CE31" s="2">
        <v>0</v>
      </c>
      <c r="CF31" s="2">
        <v>0</v>
      </c>
      <c r="CG31" s="2">
        <v>0</v>
      </c>
      <c r="CH31" s="2">
        <v>0</v>
      </c>
      <c r="CI31" s="2">
        <v>0</v>
      </c>
      <c r="CJ31" s="2" t="s">
        <v>318</v>
      </c>
      <c r="CK31" s="2">
        <v>0</v>
      </c>
      <c r="CL31" s="2">
        <v>0</v>
      </c>
      <c r="CM31" s="2">
        <v>0</v>
      </c>
      <c r="CN31" s="2">
        <v>0</v>
      </c>
      <c r="CO31" s="2">
        <v>0</v>
      </c>
      <c r="CP31" s="2" t="s">
        <v>318</v>
      </c>
      <c r="CQ31" s="2">
        <v>0</v>
      </c>
      <c r="CR31" s="2">
        <v>0</v>
      </c>
      <c r="CS31" s="2">
        <v>0</v>
      </c>
      <c r="CT31" s="2">
        <v>0</v>
      </c>
      <c r="CU31" s="2">
        <v>0</v>
      </c>
      <c r="CV31" s="2" t="s">
        <v>318</v>
      </c>
      <c r="CW31" s="2">
        <v>0</v>
      </c>
      <c r="CX31" s="2">
        <v>0</v>
      </c>
      <c r="CY31" s="2">
        <v>0</v>
      </c>
      <c r="CZ31" s="2">
        <v>0</v>
      </c>
      <c r="DA31" s="2">
        <v>0</v>
      </c>
      <c r="DB31" s="2"/>
      <c r="DC31" s="2">
        <v>0</v>
      </c>
      <c r="DD31" s="2">
        <v>41.75</v>
      </c>
      <c r="DE31" s="2">
        <v>416</v>
      </c>
      <c r="DF31" s="2">
        <v>0</v>
      </c>
      <c r="DG31" s="2">
        <v>670</v>
      </c>
      <c r="DH31" s="2">
        <v>57</v>
      </c>
      <c r="DI31" s="2">
        <v>806</v>
      </c>
      <c r="DJ31" s="2">
        <v>0</v>
      </c>
      <c r="DK31" s="2">
        <v>0</v>
      </c>
      <c r="DL31" s="2">
        <v>0</v>
      </c>
      <c r="DM31" s="2">
        <v>0</v>
      </c>
      <c r="DN31" s="2">
        <v>0</v>
      </c>
      <c r="DO31" s="2">
        <v>14.96</v>
      </c>
      <c r="DP31" s="2">
        <v>16</v>
      </c>
      <c r="DQ31" s="2">
        <v>16</v>
      </c>
      <c r="DR31" s="18">
        <v>43647</v>
      </c>
      <c r="DS31" s="18">
        <v>44012</v>
      </c>
      <c r="DT31" s="2">
        <v>103100</v>
      </c>
      <c r="DU31" s="2">
        <v>85800</v>
      </c>
      <c r="DV31" s="2">
        <v>595941</v>
      </c>
      <c r="DW31" s="2">
        <v>14870</v>
      </c>
      <c r="DX31" s="2">
        <v>0</v>
      </c>
      <c r="DY31" s="2">
        <v>0</v>
      </c>
      <c r="DZ31" s="2">
        <v>0</v>
      </c>
      <c r="EA31" s="2">
        <v>0</v>
      </c>
      <c r="EB31" s="2">
        <v>0</v>
      </c>
      <c r="EC31" s="2">
        <v>1300</v>
      </c>
      <c r="ED31" s="2">
        <v>3600</v>
      </c>
      <c r="EE31" s="2">
        <v>3200</v>
      </c>
      <c r="EF31" s="2">
        <v>25000</v>
      </c>
      <c r="EG31" s="2">
        <v>10426</v>
      </c>
      <c r="EH31" s="2" t="s">
        <v>324</v>
      </c>
      <c r="EI31" s="2">
        <v>0</v>
      </c>
      <c r="EJ31" s="2" t="s">
        <v>324</v>
      </c>
      <c r="EK31" s="2">
        <v>0</v>
      </c>
      <c r="EL31" s="2">
        <v>4800</v>
      </c>
      <c r="EM31" s="2">
        <v>10000</v>
      </c>
      <c r="EN31" s="2">
        <v>1450</v>
      </c>
      <c r="EO31" s="2">
        <v>21000</v>
      </c>
      <c r="EP31" s="2">
        <v>3200</v>
      </c>
      <c r="EQ31" s="2">
        <v>4655.7</v>
      </c>
      <c r="ER31" s="2">
        <v>2394</v>
      </c>
      <c r="ES31" s="2">
        <v>0</v>
      </c>
      <c r="ET31" s="2" t="s">
        <v>447</v>
      </c>
      <c r="EU31" s="2">
        <v>14580</v>
      </c>
      <c r="EV31" s="2" t="s">
        <v>448</v>
      </c>
      <c r="EW31" s="2">
        <v>7200</v>
      </c>
      <c r="EX31" s="2">
        <v>0</v>
      </c>
      <c r="EY31" s="2">
        <v>1000</v>
      </c>
      <c r="EZ31" s="2" t="s">
        <v>326</v>
      </c>
      <c r="FA31" s="2">
        <v>0</v>
      </c>
      <c r="FB31" s="2" t="s">
        <v>326</v>
      </c>
      <c r="FC31" s="2">
        <v>0</v>
      </c>
      <c r="FD31" s="2">
        <v>169000</v>
      </c>
      <c r="FE31" s="2">
        <v>0</v>
      </c>
      <c r="FF31" s="2">
        <v>0</v>
      </c>
      <c r="FG31" s="2"/>
      <c r="FH31" s="19">
        <v>44480.624016203707</v>
      </c>
      <c r="FI31" s="2" t="s">
        <v>345</v>
      </c>
      <c r="FJ31" s="2">
        <f>SUM(DATA[[#This Row],[Number of Home support clients:]],DATA[[#This Row],[Number of supported living clients:]])</f>
        <v>44</v>
      </c>
      <c r="FK31"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41-50</v>
      </c>
      <c r="FL31"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18</v>
      </c>
      <c r="FM31"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18</v>
      </c>
      <c r="FN31"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15</v>
      </c>
      <c r="FO31"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v>
      </c>
      <c r="FP31"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10</v>
      </c>
      <c r="FQ31"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10</v>
      </c>
      <c r="FR31"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10</v>
      </c>
      <c r="FS31"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10</v>
      </c>
      <c r="FT31"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12</v>
      </c>
      <c r="FU31"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v>
      </c>
      <c r="FV31"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v>
      </c>
      <c r="FW31"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12</v>
      </c>
      <c r="FX31"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31"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31"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31"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31"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31"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31"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31"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31"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12</v>
      </c>
      <c r="GG31"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12</v>
      </c>
      <c r="GH31"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9.5</v>
      </c>
      <c r="GI31"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9.5</v>
      </c>
      <c r="GJ31"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9.5</v>
      </c>
      <c r="GK31"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9.5</v>
      </c>
      <c r="GL31"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9.5</v>
      </c>
      <c r="GM31"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9.5</v>
      </c>
      <c r="GN31"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9.15</v>
      </c>
      <c r="GO31"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9.15</v>
      </c>
      <c r="GP31"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8.85</v>
      </c>
      <c r="GQ31"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8.85</v>
      </c>
      <c r="GR31"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9</v>
      </c>
      <c r="GS31"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9</v>
      </c>
      <c r="GT31"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9</v>
      </c>
      <c r="GU31"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9</v>
      </c>
      <c r="GV31"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13</v>
      </c>
      <c r="GW31"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13</v>
      </c>
      <c r="GX31"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13</v>
      </c>
      <c r="GY31"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13</v>
      </c>
      <c r="GZ31"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31"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31"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31"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31"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31"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31"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31"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31"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31"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31"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31"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31"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31"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31"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31"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31"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31"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31"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31"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31"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18</v>
      </c>
      <c r="HU31"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18</v>
      </c>
      <c r="HV31"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v>
      </c>
      <c r="HW31"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v>
      </c>
      <c r="HX31"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10</v>
      </c>
      <c r="HY31"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10</v>
      </c>
      <c r="HZ31"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10</v>
      </c>
      <c r="IA31"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10</v>
      </c>
      <c r="IB31"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12</v>
      </c>
      <c r="IC31"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v>
      </c>
      <c r="ID31"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v>
      </c>
      <c r="IE31"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v>
      </c>
      <c r="IF31"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31"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31"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31"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31"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31"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31"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31"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31"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12</v>
      </c>
      <c r="IO31"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12</v>
      </c>
      <c r="IP31"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9.5</v>
      </c>
      <c r="IQ31"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9.5</v>
      </c>
      <c r="IR31"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9.5</v>
      </c>
      <c r="IS31"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9.5</v>
      </c>
      <c r="IT31"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9.5</v>
      </c>
      <c r="IU31"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9.5</v>
      </c>
      <c r="IV31"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9.15</v>
      </c>
      <c r="IW31"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9.15</v>
      </c>
      <c r="IX31"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8.85</v>
      </c>
      <c r="IY31"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8.85</v>
      </c>
      <c r="IZ31"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9</v>
      </c>
      <c r="JA31"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9</v>
      </c>
      <c r="JB31"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9</v>
      </c>
      <c r="JC31"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9</v>
      </c>
      <c r="JD31"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13</v>
      </c>
      <c r="JE31"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13</v>
      </c>
      <c r="JF31"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13</v>
      </c>
      <c r="JG31"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13</v>
      </c>
      <c r="JH31"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31"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31"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31"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31"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31"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31"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31"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31"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31"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31"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31"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31"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31"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31"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31"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31"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31"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31"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31"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31"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31" s="21">
        <f>SUM(DATA[[#This Row],[Care Assistant 1: Numbers employed (Full Time Equivalent)]],DATA[[#This Row],[Care Assistant 2: Numbers employed (Full Time Equivalent)]],DATA[[#This Row],[Care Assistant 3: Numbers employed (Full Time Equivalent)]],DATA[[#This Row],[Care Assistant 4: Numbers employed (Full Time Equivalent)]])</f>
        <v>22</v>
      </c>
      <c r="KD31" s="21">
        <f>SUM(DATA[[#This Row],[Administrative Officer 1: Numbers employed (Full Time Equivalent)]],DATA[[#This Row],[Administrative Officer 2: Numbers employed (Full Time Equivalent)]])</f>
        <v>1</v>
      </c>
      <c r="KE31" s="21">
        <f>SUM(DATA[[#This Row],[Other staff 1: Numbers employed (Full Time Equivalent)]],DATA[[#This Row],[Other staff 2: Numbers employed (Full Time Equivalent)]],DATA[[#This Row],[Other staff 3: Numbers employed (Full Time Equivalent)]])</f>
        <v>0</v>
      </c>
      <c r="KF31" s="21">
        <f>SUM(DATA[[#This Row],[Total FTE Management Employees]:[Total FTE Other Employees]])</f>
        <v>26</v>
      </c>
      <c r="KG31" s="21" t="str">
        <f>IF(SUM(DATA[[#This Row],[Home Support service split percentage (Expenditure):]],DATA[[#This Row],[Supported Living service split percentage (Expenditure):]])&gt;0, IF(DATA[[#This Row],[Home Support service split percentage (Expenditure):]]&gt;0.5,"Home Support","Supported Living"), "Unknown")</f>
        <v>Home Support</v>
      </c>
      <c r="KH31" s="21">
        <f>SUM(DATA[[#This Row],[Home Support: Birmingham City Council]:[Home Support: Self-funded]])</f>
        <v>1184.75</v>
      </c>
      <c r="KI31" s="21">
        <f>SUM(DATA[[#This Row],[Supported Living: Birmingham City Council]:[Supported Living: Self-funded]])</f>
        <v>806</v>
      </c>
      <c r="KJ31"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31"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31"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31"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31" s="21" t="b">
        <f>SUM(DATA[[#This Row],[Number of hours of care charged for in last full accounting year]:[Corporate Overheads: Other  - please specify (category) 1]])&gt;0</f>
        <v>1</v>
      </c>
      <c r="KO31" s="21">
        <f>SUM(DATA[[#This Row],[Total annual expenditure: Management staff]:[Total annual expenditure: Training and development]])</f>
        <v>696611</v>
      </c>
      <c r="KP31" s="21">
        <f>SUM(DATA[[#This Row],[Recruitment &amp; advertising (including DBS checks)]:[Non-Staffing Direct Cost: Other  - please specify (amount) 2]])</f>
        <v>43526</v>
      </c>
      <c r="KQ31" s="21">
        <f>SUM(DATA[[#This Row],[Insurance ]:[Indirect costs: Other 2 - please specify (amount)]])</f>
        <v>69279.7</v>
      </c>
      <c r="KR31" s="21">
        <f>SUM(DATA[[#This Row],[Central / Regional Management]],DATA[[#This Row],[Support Services (finance / HR / Payroll / legal etc.)]],DATA[[#This Row],[Corporate Overheads: Other  - please specify (amount) 1]],DATA[[#This Row],[Corporate Overheads: Other  - please specify (amount) 2]])</f>
        <v>1000</v>
      </c>
      <c r="KS31"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0.8322017458777885</v>
      </c>
      <c r="KT31"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5.7802230843840929</v>
      </c>
      <c r="KU31"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0.14422890397672164</v>
      </c>
      <c r="KV31"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31"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1"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31"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31"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31"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1.2609117361784675E-2</v>
      </c>
      <c r="LB31"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3.4917555771096023E-2</v>
      </c>
      <c r="LC31" s="30">
        <f>IF(OR(NOT(DATA[[#This Row],[Care consumables &amp; uniforms]]&gt;0),NOT(DATA[[#This Row],[Number of hours of care charged for in last full accounting year]]&gt;0)),0,DATA[[#This Row],[Care consumables &amp; uniforms]]/DATA[[#This Row],[Number of hours of care charged for in last full accounting year]])</f>
        <v>3.1037827352085354E-2</v>
      </c>
      <c r="LD31" s="30">
        <f>IF(OR(NOT(DATA[[#This Row],[Electronic call monitoring]]&gt;0),NOT(DATA[[#This Row],[Number of hours of care charged for in last full accounting year]]&gt;0)),0,DATA[[#This Row],[Electronic call monitoring]]/DATA[[#This Row],[Number of hours of care charged for in last full accounting year]])</f>
        <v>0.24248302618816683</v>
      </c>
      <c r="LE31" s="30">
        <f>IF(OR(NOT(DATA[[#This Row],[IT Equipment &amp; Telephoney]]&gt;0),NOT(DATA[[#This Row],[Number of hours of care charged for in last full accounting year]]&gt;0)),0,DATA[[#This Row],[IT Equipment &amp; Telephoney]]/DATA[[#This Row],[Number of hours of care charged for in last full accounting year]])</f>
        <v>0.1011251212415131</v>
      </c>
      <c r="LF31"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31"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31" s="30">
        <f>IF(OR(NOT(DATA[[#This Row],[Insurance ]]&gt;0),NOT(DATA[[#This Row],[Number of hours of care charged for in last full accounting year]]&gt;0)),0,DATA[[#This Row],[Insurance ]]/DATA[[#This Row],[Number of hours of care charged for in last full accounting year]])</f>
        <v>4.6556741028128033E-2</v>
      </c>
      <c r="LI31"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9.6993210475266725E-2</v>
      </c>
      <c r="LJ31" s="30">
        <f>IF(OR(NOT(DATA[[#This Row],[Repairs and maintenance]]&gt;0),NOT(DATA[[#This Row],[Number of hours of care charged for in last full accounting year]]&gt;0)),0,DATA[[#This Row],[Repairs and maintenance]]/DATA[[#This Row],[Number of hours of care charged for in last full accounting year]])</f>
        <v>1.4064015518913677E-2</v>
      </c>
      <c r="LK31"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0.20368574199806014</v>
      </c>
      <c r="LL31" s="30">
        <f>IF(OR(NOT(DATA[[#This Row],[Registration &amp; Inspection fees ]]&gt;0),NOT(DATA[[#This Row],[Number of hours of care charged for in last full accounting year]]&gt;0)),0,DATA[[#This Row],[Registration &amp; Inspection fees ]]/DATA[[#This Row],[Number of hours of care charged for in last full accounting year]])</f>
        <v>3.1037827352085354E-2</v>
      </c>
      <c r="LM31" s="30">
        <f>IF(OR(NOT(DATA[[#This Row],[Subscriptions]]&gt;0),NOT(DATA[[#This Row],[Number of hours of care charged for in last full accounting year]]&gt;0)),0,DATA[[#This Row],[Subscriptions]]/DATA[[#This Row],[Number of hours of care charged for in last full accounting year]])</f>
        <v>4.515712900096993E-2</v>
      </c>
      <c r="LN31" s="30">
        <f>IF(OR(NOT(DATA[[#This Row],[Cost of finance]]&gt;0),NOT(DATA[[#This Row],[Number of hours of care charged for in last full accounting year]]&gt;0)),0,DATA[[#This Row],[Cost of finance]]/DATA[[#This Row],[Number of hours of care charged for in last full accounting year]])</f>
        <v>2.3220174587778857E-2</v>
      </c>
      <c r="LO31" s="30">
        <f>IF(OR(NOT(DATA[[#This Row],[Other non-staff current expenses]]&gt;0),NOT(DATA[[#This Row],[Number of hours of care charged for in last full accounting year]]&gt;0)),0,DATA[[#This Row],[Other non-staff current expenses]]/DATA[[#This Row],[Number of hours of care charged for in last full accounting year]])</f>
        <v>0</v>
      </c>
      <c r="LP31"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0.1414161008729389</v>
      </c>
      <c r="LQ31"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6.9835111542192047E-2</v>
      </c>
      <c r="LR31" s="30">
        <f>IF(OR(NOT(DATA[[#This Row],[Central / Regional Management]]&gt;0),NOT(DATA[[#This Row],[Number of hours of care charged for in last full accounting year]]&gt;0)),0,DATA[[#This Row],[Central / Regional Management]]/DATA[[#This Row],[Number of hours of care charged for in last full accounting year]])</f>
        <v>0</v>
      </c>
      <c r="LS31"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9.6993210475266739E-3</v>
      </c>
      <c r="LT31"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1"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1" s="30">
        <f>SUM(DATA[[#This Row],[Management staff HOURLY RATE]:[Corporate Overheads: Other  - please specify (amount) 2 HOURLY RATE]])</f>
        <v>7.8604917555771099</v>
      </c>
      <c r="LW31" s="30">
        <f>IF(OR(NOT(DATA[[#This Row],[Net Operating Profit]]&gt;0),NOT(DATA[[#This Row],[Number of hours of care charged for in last full accounting year]]&gt;0)),"",DATA[[#This Row],[Net Operating Profit]]/DATA[[#This Row],[Number of hours of care charged for in last full accounting year]])</f>
        <v>1.6391852570320078</v>
      </c>
      <c r="LX31" s="30">
        <f>IF(OR(NOT(DATA[[#This Row],[Return on Capital employed]]&gt;0),NOT(DATA[[#This Row],[Number of hours of care charged for in last full accounting year]]&gt;0)),0,DATA[[#This Row],[Return on Capital employed]]/DATA[[#This Row],[Number of hours of care charged for in last full accounting year]])</f>
        <v>0</v>
      </c>
      <c r="LY31" s="31">
        <v>25</v>
      </c>
      <c r="LZ31" s="30" t="s">
        <v>345</v>
      </c>
      <c r="MA31" s="30" t="b">
        <f>DATA[[#This Row],[Number of Home support clients:]]&gt;0</f>
        <v>1</v>
      </c>
      <c r="MB31" s="30" t="b">
        <f>DATA[[#This Row],[Number of supported living clients:]]&gt;0</f>
        <v>1</v>
      </c>
      <c r="MC31" s="30" t="b">
        <f>DATA[[#This Row],[Total Home Support Hours]]&gt;0</f>
        <v>1</v>
      </c>
      <c r="MD31" s="30" t="b">
        <f>DATA[[#This Row],[Total Supported Living Hours]]&gt;0</f>
        <v>1</v>
      </c>
      <c r="ME31" s="30" t="b">
        <f>DATA[[#This Row],[Home Support service split percentage (Expenditure):]]&gt;0.5</f>
        <v>1</v>
      </c>
      <c r="MF31" s="30" t="b">
        <f>DATA[[#This Row],[Agency staff HOURLY RATE]]=0</f>
        <v>1</v>
      </c>
      <c r="MG31"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1" s="30">
        <f>IFERROR(IF(AVERAGE(DATA[[#This Row],[Deputy manager: Current 2021/22 Minimum hourly pay rate ADJUSTED]],DATA[[#This Row],[Deputy manager: Current 2021/22 Maximum hourly pay rate ADJUSTED]])&lt;LIVING_WAGE_22_23,DATA[[#This Row],[Deputy manager: Numbers employed (Full Time Equivalent)]],0),"")</f>
        <v>0</v>
      </c>
      <c r="MI31" s="30">
        <f>IFERROR(IF(AVERAGE(DATA[[#This Row],[Other manager 1: Current 2021/22 Minimum hourly pay rate ADJUSTED]],DATA[[#This Row],[Other manager 1: Current 2021/22 Maximum hourly pay rate ADJUSTED]])&lt;LIVING_WAGE_22_23,DATA[[#This Row],[Other manager 1: Numbers employed (Full Time Equivalent)]],0),"")</f>
        <v>0</v>
      </c>
      <c r="MJ31" s="30" t="str">
        <f>IFERROR(IF(AVERAGE(DATA[[#This Row],[Other manager 2: Current 2021/22 Minimum hourly pay rate ADJUSTED]],DATA[[#This Row],[Other manager 2: Current 2021/22 Maximum hourly pay rate ADJUSTED]])&lt;LIVING_WAGE_22_23,DATA[[#This Row],[Other manager 2: Numbers employed (Full Time Equivalent)]],0),"")</f>
        <v/>
      </c>
      <c r="MK31" s="30" t="str">
        <f>IFERROR(IF(AVERAGE(DATA[[#This Row],[Other manager 3: Current 2021/22 Minimum hourly pay rate ADJUSTED]],DATA[[#This Row],[Other manager 3: Current 2021/22 Maximum hourly pay rate ADJUSTED]])&lt;LIVING_WAGE_22_23,DATA[[#This Row],[Other manager 3: Numbers employed (Full Time Equivalent)]],0),"")</f>
        <v/>
      </c>
      <c r="ML31" s="30">
        <f>IFERROR(IF(AVERAGE(DATA[[#This Row],[Care Assistant 1: Current 2021/22 Minimum hourly pay rate ADJUSTED]],DATA[[#This Row],[Care Assistant 1: Current 2021/22 Maximum hourly pay rate ADJUSTED]])&lt;LIVING_WAGE_22_23,DATA[[#This Row],[Care Assistant 1: Numbers employed (Full Time Equivalent)]],0),"")</f>
        <v>0</v>
      </c>
      <c r="MM31" s="30">
        <f>IFERROR(IF(AVERAGE(DATA[[#This Row],[Care Assistant 2: Current 2021/22 Minimum hourly pay rate ADJUSTED]],DATA[[#This Row],[Care Assistant 2: Current 2021/22 Maximum hourly pay rate ADJUSTED]])&lt;LIVING_WAGE_22_23,DATA[[#This Row],[Care Assistant 2: Numbers employed (Full Time Equivalent)]],0),"")</f>
        <v>0</v>
      </c>
      <c r="MN31" s="30">
        <f>IFERROR(IF(AVERAGE(DATA[[#This Row],[Care Assistant 3: Current 2021/22 Minimum hourly pay rate ADJUSTED]],DATA[[#This Row],[Care Assistant 3: Current 2021/22 Maximum hourly pay rate ADJUSTED]])&lt;LIVING_WAGE_22_23,DATA[[#This Row],[Care Assistant 3: Numbers employed (Full Time Equivalent)]],0),"")</f>
        <v>1</v>
      </c>
      <c r="MO31" s="30">
        <f>IFERROR(IF(AVERAGE(DATA[[#This Row],[Care Assistant 4: Current 2021/22 Minimum hourly pay rate ADJUSTED]],DATA[[#This Row],[Care Assistant 4: Current 2021/22 Maximum hourly pay rate ADJUSTED]])&lt;LIVING_WAGE_22_23,DATA[[#This Row],[Care Assistant 4: Numbers employed (Full Time Equivalent)]],0),"")</f>
        <v>19</v>
      </c>
      <c r="MP31"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31"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31" s="30" t="str">
        <f>IFERROR(IF(AVERAGE(DATA[[#This Row],[Other staff 1: Current 2021/22 Minimum hourly pay rate ADJUSTED]],DATA[[#This Row],[Other staff 1: Current 2021/22 Maximum hourly pay rate ADJUSTED]])&lt;LIVING_WAGE_22_23,DATA[[#This Row],[Other staff 1: Numbers employed (Full Time Equivalent)]],0),"")</f>
        <v/>
      </c>
      <c r="MS31" s="30" t="str">
        <f>IFERROR(IF(AVERAGE(DATA[[#This Row],[Other staff 2: Current 2021/22 Minimum hourly pay rate ADJUSTED]],DATA[[#This Row],[Other staff 2: Current 2021/22 Maximum hourly pay rate ADJUSTED]])&lt;LIVING_WAGE_22_23,DATA[[#This Row],[Other staff 2: Numbers employed (Full Time Equivalent)]],0),"")</f>
        <v/>
      </c>
      <c r="MT31" s="30" t="str">
        <f>IFERROR(IF(AVERAGE(DATA[[#This Row],[Other staff 3: Current 2021/22 Minimum hourly pay rate ADJUSTED]],DATA[[#This Row],[Other staff 3: Current 2021/22 Maximum hourly pay rate ADJUSTED]])&lt;LIVING_WAGE_22_23,DATA[[#This Row],[Other staff 3: Numbers employed (Full Time Equivalent)]],0),"")</f>
        <v/>
      </c>
      <c r="MU31" s="30">
        <f>SUM(DATA[[#This Row],[Registered Manager FTE earning less than NLW 23yrs 2022/23]:[Other staff 3 FTE earning less than NLW 23yrs 2022/23]])</f>
        <v>20</v>
      </c>
      <c r="MV31"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1"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31"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31"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31"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31"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31"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31"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0.34999999999999964</v>
      </c>
      <c r="ND31"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9.5</v>
      </c>
      <c r="NE31"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31"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31"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31"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31"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31" s="30" t="b">
        <v>1</v>
      </c>
      <c r="NK31" s="30" t="b">
        <v>1</v>
      </c>
      <c r="NL31" s="30" t="s">
        <v>505</v>
      </c>
      <c r="NM31" s="30">
        <f>SUM(DATA[[#This Row],[Management staff HOURLY RATE]:[Training and development HOURLY RATE]])</f>
        <v>6.7566537342386033</v>
      </c>
      <c r="NN31" s="30">
        <f>SUM(DATA[[#This Row],[Recruitment &amp; advertising (including DBS checks) HOURLY RATE]:[Non-Staffing Direct Cost: Other  - please specify (amount) 2 HOURLY RATE]])</f>
        <v>0.42217264791464593</v>
      </c>
      <c r="NO31" s="30">
        <f>SUM(DATA[[#This Row],[Insurance  HOURLY RATE]:[Indirect costs: Other  - please specify (amount) 2 HOURLY RATE]])</f>
        <v>0.67196605237633367</v>
      </c>
      <c r="NP31" s="30">
        <f>SUM(DATA[[#This Row],[Central / Regional Management HOURLY RATE]:[Corporate Overheads: Other  - please specify (amount) 2 HOURLY RATE]])</f>
        <v>9.6993210475266739E-3</v>
      </c>
      <c r="NQ31"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1" s="30">
        <f>IFERROR(IF(AVERAGE(DATA[[#This Row],[Deputy manager: Current 2021/22 Minimum hourly pay rate ADJUSTED]],DATA[[#This Row],[Deputy manager: Current 2021/22 Maximum hourly pay rate ADJUSTED]])&lt;REAL_LIVING_WAGE_22_23,DATA[[#This Row],[Deputy manager: Numbers employed (Full Time Equivalent)]],0),"")</f>
        <v>0</v>
      </c>
      <c r="NS31" s="30">
        <f>IFERROR(IF(AVERAGE(DATA[[#This Row],[Other manager 1: Current 2021/22 Minimum hourly pay rate ADJUSTED]],DATA[[#This Row],[Other manager 1: Current 2021/22 Maximum hourly pay rate ADJUSTED]])&lt;REAL_LIVING_WAGE_22_23,DATA[[#This Row],[Other manager 1: Numbers employed (Full Time Equivalent)]],0),"")</f>
        <v>0</v>
      </c>
      <c r="NT31" s="30" t="str">
        <f>IFERROR(IF(AVERAGE(DATA[[#This Row],[Other manager 2: Current 2021/22 Minimum hourly pay rate ADJUSTED]],DATA[[#This Row],[Other manager 2: Current 2021/22 Maximum hourly pay rate ADJUSTED]])&lt;REAL_LIVING_WAGE_22_23,DATA[[#This Row],[Other manager 2: Numbers employed (Full Time Equivalent)]],0),"")</f>
        <v/>
      </c>
      <c r="NU31" s="30" t="str">
        <f>IFERROR(IF(AVERAGE(DATA[[#This Row],[Other manager 3: Current 2021/22 Minimum hourly pay rate ADJUSTED]],DATA[[#This Row],[Other manager 3: Current 2021/22 Maximum hourly pay rate ADJUSTED]])&lt;REAL_LIVING_WAGE_22_23,DATA[[#This Row],[Other manager 3: Numbers employed (Full Time Equivalent)]],0),"")</f>
        <v/>
      </c>
      <c r="NV31" s="30">
        <f>IFERROR(IF(AVERAGE(DATA[[#This Row],[Care Assistant 1: Current 2021/22 Minimum hourly pay rate ADJUSTED]],DATA[[#This Row],[Care Assistant 1: Current 2021/22 Maximum hourly pay rate ADJUSTED]])&lt;REAL_LIVING_WAGE_22_23,DATA[[#This Row],[Care Assistant 1: Numbers employed (Full Time Equivalent)]],0),"")</f>
        <v>0</v>
      </c>
      <c r="NW31" s="30">
        <f>IFERROR(IF(AVERAGE(DATA[[#This Row],[Care Assistant 2: Current 2021/22 Minimum hourly pay rate ADJUSTED]],DATA[[#This Row],[Care Assistant 2: Current 2021/22 Maximum hourly pay rate ADJUSTED]])&lt;REAL_LIVING_WAGE_22_23,DATA[[#This Row],[Care Assistant 2: Numbers employed (Full Time Equivalent)]],0),"")</f>
        <v>1</v>
      </c>
      <c r="NX31" s="30">
        <f>IFERROR(IF(AVERAGE(DATA[[#This Row],[Care Assistant 3: Current 2021/22 Minimum hourly pay rate ADJUSTED]],DATA[[#This Row],[Care Assistant 3: Current 2021/22 Maximum hourly pay rate ADJUSTED]])&lt;REAL_LIVING_WAGE_22_23,DATA[[#This Row],[Care Assistant 3: Numbers employed (Full Time Equivalent)]],0),"")</f>
        <v>1</v>
      </c>
      <c r="NY31" s="30">
        <f>IFERROR(IF(AVERAGE(DATA[[#This Row],[Care Assistant 4: Current 2021/22 Minimum hourly pay rate ADJUSTED]],DATA[[#This Row],[Care Assistant 4: Current 2021/22 Maximum hourly pay rate ADJUSTED]])&lt;REAL_LIVING_WAGE_22_23,DATA[[#This Row],[Care Assistant 4: Numbers employed (Full Time Equivalent)]],0),"")</f>
        <v>19</v>
      </c>
      <c r="NZ31"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31"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31" s="30" t="str">
        <f>IFERROR(IF(AVERAGE(DATA[[#This Row],[Other staff 1: Current 2021/22 Minimum hourly pay rate ADJUSTED]],DATA[[#This Row],[Other staff 1: Current 2021/22 Maximum hourly pay rate ADJUSTED]])&lt;REAL_LIVING_WAGE_22_23,DATA[[#This Row],[Other staff 1: Numbers employed (Full Time Equivalent)]],0),"")</f>
        <v/>
      </c>
      <c r="OC31" s="30" t="str">
        <f>IFERROR(IF(AVERAGE(DATA[[#This Row],[Other staff 2: Current 2021/22 Minimum hourly pay rate ADJUSTED]],DATA[[#This Row],[Other staff 2: Current 2021/22 Maximum hourly pay rate ADJUSTED]])&lt;REAL_LIVING_WAGE_22_23,DATA[[#This Row],[Other staff 2: Numbers employed (Full Time Equivalent)]],0),"")</f>
        <v/>
      </c>
      <c r="OD31" s="30" t="str">
        <f>IFERROR(IF(AVERAGE(DATA[[#This Row],[Other staff 3: Current 2021/22 Minimum hourly pay rate ADJUSTED]],DATA[[#This Row],[Other staff 3: Current 2021/22 Maximum hourly pay rate ADJUSTED]])&lt;REAL_LIVING_WAGE_22_23,DATA[[#This Row],[Other staff 3: Numbers employed (Full Time Equivalent)]],0),"")</f>
        <v/>
      </c>
      <c r="OE31" s="30">
        <f>SUM(DATA[[#This Row],[Registered Manager FTE earning less than RLW 23yrs 2022/23]:[Other staff 3 FTE earning less than RLW 23yrs 2022/23]])</f>
        <v>21</v>
      </c>
      <c r="OF31"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1"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31"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31"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31"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31"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31"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0.40000000000000036</v>
      </c>
      <c r="OM31"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0.75</v>
      </c>
      <c r="ON31"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17.100000000000009</v>
      </c>
      <c r="OO31"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31"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31"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31"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31"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31" s="30">
        <f>IFERROR(IF(DATA[[#This Row],[Registered manager: Numbers employed (Full Time Equivalent)]]=0,"",DATA[[#This Row],[Registered manager: Current 2021/22 Minimum hourly pay rate ADJUSTED 2]]*DATA[[#This Row],[Registered manager: Numbers employed (Full Time Equivalent)]]),"")</f>
        <v>18</v>
      </c>
      <c r="OU31" s="30">
        <f>IFERROR(IF(DATA[[#This Row],[Registered manager: Numbers employed (Full Time Equivalent)]]=0,"",DATA[[#This Row],[Registered manager: Current 2021/22 Maximum hourly pay rate ADJUSTED 2]]*DATA[[#This Row],[Registered manager: Numbers employed (Full Time Equivalent)]]),"")</f>
        <v>18</v>
      </c>
      <c r="OV31" s="30">
        <f>IFERROR(IF(DATA[[#This Row],[Registered manager: Numbers employed (Full Time Equivalent)]]=0,"",DATA[[#This Row],[Registered manager: Previous 2020/21 Minimum hourly pay rate ADJUSTED 2]]*DATA[[#This Row],[Registered manager: Numbers employed (Full Time Equivalent)]]),"")</f>
        <v>15</v>
      </c>
      <c r="OW31" s="30">
        <f>IFERROR(IF(DATA[[#This Row],[Registered manager: Numbers employed (Full Time Equivalent)]]=0,"",DATA[[#This Row],[Registered manager: Previous 2020/21 Maximum hourly pay rate ADJUSTED 2]]*DATA[[#This Row],[Registered manager: Numbers employed (Full Time Equivalent)]]),"")</f>
        <v>15</v>
      </c>
      <c r="OX31" s="30">
        <f>IFERROR(IF(DATA[[#This Row],[Deputy manager: Numbers employed (Full Time Equivalent)]]=0,"",DATA[[#This Row],[Deputy manager: Current 2021/22 Minimum hourly pay rate ADJUSTED 2]]*DATA[[#This Row],[Deputy manager: Numbers employed (Full Time Equivalent)]]),"")</f>
        <v>10</v>
      </c>
      <c r="OY31" s="30">
        <f>IFERROR(IF(DATA[[#This Row],[Deputy manager: Numbers employed (Full Time Equivalent)]]=0,"",DATA[[#This Row],[Deputy manager: Current 2021/22 Maximum hourly pay rate ADJUSTED 2]]*DATA[[#This Row],[Deputy manager: Numbers employed (Full Time Equivalent)]]),"")</f>
        <v>10</v>
      </c>
      <c r="OZ31" s="30">
        <f>IFERROR(IF(DATA[[#This Row],[Deputy manager: Numbers employed (Full Time Equivalent)]]=0,"",DATA[[#This Row],[Deputy manager: Previous 2020/21 Minimum hourly pay rate ADJUSTED 2]]*DATA[[#This Row],[Deputy manager: Numbers employed (Full Time Equivalent)]]),"")</f>
        <v>10</v>
      </c>
      <c r="PA31" s="30">
        <f>IFERROR(IF(DATA[[#This Row],[Deputy manager: Numbers employed (Full Time Equivalent)]]=0,"",DATA[[#This Row],[Deputy manager: Previous 2020/21 Maximum hourly pay rate ADJUSTED 2]]*DATA[[#This Row],[Deputy manager: Numbers employed (Full Time Equivalent)]]),"")</f>
        <v>10</v>
      </c>
      <c r="PB31" s="30">
        <f>IFERROR(IF(DATA[[#This Row],[Other manager 1: Numbers employed (Full Time Equivalent)]]=0,"",DATA[[#This Row],[Other manager 1: Current 2021/22 Minimum hourly pay rate ADJUSTED 2]]*DATA[[#This Row],[Other manager 1: Numbers employed (Full Time Equivalent)]]),"")</f>
        <v>12</v>
      </c>
      <c r="PC31" s="30">
        <f>IFERROR(IF(DATA[[#This Row],[Other manager 1: Numbers employed (Full Time Equivalent)]]=0,"",DATA[[#This Row],[Other manager 1: Current 2021/22 Maximum hourly pay rate ADJUSTED 2]]*DATA[[#This Row],[Other manager 1: Numbers employed (Full Time Equivalent)]]),"")</f>
        <v>12</v>
      </c>
      <c r="PD31" s="30">
        <f>IFERROR(IF(DATA[[#This Row],[Other manager 1: Numbers employed (Full Time Equivalent)]]=0,"",DATA[[#This Row],[Other manager 1: Previous 2020/21 Minimum hourly pay rate ADJUSTED 2]]*DATA[[#This Row],[Other manager 1: Numbers employed (Full Time Equivalent)]]),"")</f>
        <v>12</v>
      </c>
      <c r="PE31" s="30">
        <f>IFERROR(IF(DATA[[#This Row],[Other manager 1: Numbers employed (Full Time Equivalent)]]=0,"",DATA[[#This Row],[Other manager 1: Previous 2020/21 Maximum hourly pay rate ADJUSTED 2]]*DATA[[#This Row],[Other manager 1: Numbers employed (Full Time Equivalent)]]),"")</f>
        <v>12</v>
      </c>
      <c r="PF31" s="30" t="str">
        <f>IFERROR(IF(DATA[[#This Row],[Other manager 2: Numbers employed (Full Time Equivalent)]]=0,"",DATA[[#This Row],[Other manager 2: Current 2021/22 Minimum hourly pay rate ADJUSTED 2]]*DATA[[#This Row],[Other manager 2: Numbers employed (Full Time Equivalent)]]),"")</f>
        <v/>
      </c>
      <c r="PG31" s="30" t="str">
        <f>IFERROR(IF(DATA[[#This Row],[Other manager 2: Numbers employed (Full Time Equivalent)]]=0,"",DATA[[#This Row],[Other manager 2: Current 2021/22 Maximum hourly pay rate ADJUSTED 2]]*DATA[[#This Row],[Other manager 2: Numbers employed (Full Time Equivalent)]]),"")</f>
        <v/>
      </c>
      <c r="PH31" s="30" t="str">
        <f>IFERROR(IF(DATA[[#This Row],[Other manager 2: Numbers employed (Full Time Equivalent)]]=0,"",DATA[[#This Row],[Other manager 2: Previous 2020/21 Minimum hourly pay rate ADJUSTED 2]]*DATA[[#This Row],[Other manager 2: Numbers employed (Full Time Equivalent)]]),"")</f>
        <v/>
      </c>
      <c r="PI31" s="30" t="str">
        <f>IFERROR(IF(DATA[[#This Row],[Other manager 2: Numbers employed (Full Time Equivalent)]]=0,"",DATA[[#This Row],[Other manager 2: Previous 2020/21 Maximum hourly pay rate ADJUSTED 2]]*DATA[[#This Row],[Other manager 2: Numbers employed (Full Time Equivalent)]]),"")</f>
        <v/>
      </c>
      <c r="PJ31" s="30" t="str">
        <f>IFERROR(IF(DATA[[#This Row],[Other manager 3: Numbers employed (Full Time Equivalent)]]=0,"",DATA[[#This Row],[Other manager 3: Current 2021/22 Minimum hourly pay rate ADJUSTED 2]]*DATA[[#This Row],[Other manager 3: Numbers employed (Full Time Equivalent)]]),"")</f>
        <v/>
      </c>
      <c r="PK31" s="30" t="str">
        <f>IFERROR(IF(DATA[[#This Row],[Other manager 3: Numbers employed (Full Time Equivalent)]]=0,"",DATA[[#This Row],[Other manager 3: Current 2021/22 Maximum hourly pay rate ADJUSTED 2]]*DATA[[#This Row],[Other manager 3: Numbers employed (Full Time Equivalent)]]),"")</f>
        <v/>
      </c>
      <c r="PL31" s="30" t="str">
        <f>IFERROR(IF(DATA[[#This Row],[Other manager 3: Numbers employed (Full Time Equivalent)]]=0,"",DATA[[#This Row],[Other manager 3: Previous 2020/21 Minimum hourly pay rate ADJUSTED 2]]*DATA[[#This Row],[Other manager 3: Numbers employed (Full Time Equivalent)]]),"")</f>
        <v/>
      </c>
      <c r="PM31" s="30" t="str">
        <f>IFERROR(IF(DATA[[#This Row],[Other manager 3: Numbers employed (Full Time Equivalent)]]=0,"",DATA[[#This Row],[Other manager 3: Previous 2020/21 Maximum hourly pay rate ADJUSTED 2]]*DATA[[#This Row],[Other manager 3: Numbers employed (Full Time Equivalent)]]),"")</f>
        <v/>
      </c>
      <c r="PN31" s="30">
        <f>IFERROR(IF(DATA[[#This Row],[Care Assistant 1: Numbers employed (Full Time Equivalent)]]=0,"",DATA[[#This Row],[Care Assistant 1: Current 2021/22 Minimum hourly pay rate ADJUSTED 2]]*DATA[[#This Row],[Care Assistant 1: Numbers employed (Full Time Equivalent)]]),"")</f>
        <v>12</v>
      </c>
      <c r="PO31" s="30">
        <f>IFERROR(IF(DATA[[#This Row],[Care Assistant 1: Numbers employed (Full Time Equivalent)]]=0,"",DATA[[#This Row],[Care Assistant 1: Current 2021/22 Maximum hourly pay rate ADJUSTED 2]]*DATA[[#This Row],[Care Assistant 1: Numbers employed (Full Time Equivalent)]]),"")</f>
        <v>12</v>
      </c>
      <c r="PP31" s="30">
        <f>IFERROR(IF(DATA[[#This Row],[Care Assistant 1: Numbers employed (Full Time Equivalent)]]=0,"",DATA[[#This Row],[Care Assistant 1: Previous 2020/21 Minimum hourly pay rate ADJUSTED 2]]*DATA[[#This Row],[Care Assistant 1: Numbers employed (Full Time Equivalent)]]),"")</f>
        <v>9.5</v>
      </c>
      <c r="PQ31" s="30">
        <f>IFERROR(IF(DATA[[#This Row],[Care Assistant 1: Numbers employed (Full Time Equivalent)]]=0,"",DATA[[#This Row],[Care Assistant 1: Previous 2020/21 Maximum hourly pay rate ADJUSTED 2]]*DATA[[#This Row],[Care Assistant 1: Numbers employed (Full Time Equivalent)]]),"")</f>
        <v>9.5</v>
      </c>
      <c r="PR31" s="30">
        <f>IFERROR(IF(DATA[[#This Row],[Care Assistant 2: Numbers employed (Full Time Equivalent)]]=0,"",DATA[[#This Row],[Care Assistant 2: Current 2021/22 Minimum hourly pay rate ADJUSTED 2]]*DATA[[#This Row],[Care Assistant 2: Numbers employed (Full Time Equivalent)]]),"")</f>
        <v>9.5</v>
      </c>
      <c r="PS31" s="30">
        <f>IFERROR(IF(DATA[[#This Row],[Care Assistant 2: Numbers employed (Full Time Equivalent)]]=0,"",DATA[[#This Row],[Care Assistant 2: Current 2021/22 Maximum hourly pay rate ADJUSTED 2]]*DATA[[#This Row],[Care Assistant 2: Numbers employed (Full Time Equivalent)]]),"")</f>
        <v>9.5</v>
      </c>
      <c r="PT31" s="30">
        <f>IFERROR(IF(DATA[[#This Row],[Care Assistant 2: Numbers employed (Full Time Equivalent)]]=0,"",DATA[[#This Row],[Care Assistant 2: Previous 2020/21 Minimum hourly pay rate ADJUSTED 2]]*DATA[[#This Row],[Care Assistant 2: Numbers employed (Full Time Equivalent)]]),"")</f>
        <v>9.5</v>
      </c>
      <c r="PU31" s="30">
        <f>IFERROR(IF(DATA[[#This Row],[Care Assistant 2: Numbers employed (Full Time Equivalent)]]=0,"",DATA[[#This Row],[Care Assistant 2: Previous 2020/21 Maximum hourly pay rate ADJUSTED 2]]*DATA[[#This Row],[Care Assistant 2: Numbers employed (Full Time Equivalent)]]),"")</f>
        <v>9.5</v>
      </c>
      <c r="PV31" s="30">
        <f>IFERROR(IF(DATA[[#This Row],[Care Assistant 3: Numbers employed (Full Time Equivalent)]]=0,"",DATA[[#This Row],[Care Assistant 3: Current 2021/22 Minimum hourly pay rate ADJUSTED 2]]*DATA[[#This Row],[Care Assistant 3: Numbers employed (Full Time Equivalent)]]),"")</f>
        <v>9.15</v>
      </c>
      <c r="PW31" s="30">
        <f>IFERROR(IF(DATA[[#This Row],[Care Assistant 3: Numbers employed (Full Time Equivalent)]]=0,"",DATA[[#This Row],[Care Assistant 3: Current 2021/22 Maximum hourly pay rate ADJUSTED 2]]*DATA[[#This Row],[Care Assistant 3: Numbers employed (Full Time Equivalent)]]),"")</f>
        <v>9.15</v>
      </c>
      <c r="PX31" s="30">
        <f>IFERROR(IF(DATA[[#This Row],[Care Assistant 3: Numbers employed (Full Time Equivalent)]]=0,"",DATA[[#This Row],[Care Assistant 3: Previous 2020/21 Minimum hourly pay rate ADJUSTED 2]]*DATA[[#This Row],[Care Assistant 3: Numbers employed (Full Time Equivalent)]]),"")</f>
        <v>8.85</v>
      </c>
      <c r="PY31" s="30">
        <f>IFERROR(IF(DATA[[#This Row],[Care Assistant 3: Numbers employed (Full Time Equivalent)]]=0,"",DATA[[#This Row],[Care Assistant 3: Previous 2020/21 Maximum hourly pay rate ADJUSTED 2]]*DATA[[#This Row],[Care Assistant 3: Numbers employed (Full Time Equivalent)]]),"")</f>
        <v>8.85</v>
      </c>
      <c r="PZ31" s="30">
        <f>IFERROR(IF(DATA[[#This Row],[Care Assistant 4: Numbers employed (Full Time Equivalent)]]=0,"",DATA[[#This Row],[Care Assistant 4: Current 2021/22 Minimum hourly pay rate ADJUSTED 2]]*DATA[[#This Row],[Care Assistant 4: Numbers employed (Full Time Equivalent)]]),"")</f>
        <v>171</v>
      </c>
      <c r="QA31" s="30">
        <f>IFERROR(IF(DATA[[#This Row],[Care Assistant 4: Numbers employed (Full Time Equivalent)]]=0,"",DATA[[#This Row],[Care Assistant 4: Current 2021/22 Maximum hourly pay rate ADJUSTED 2]]*DATA[[#This Row],[Care Assistant 4: Numbers employed (Full Time Equivalent)]]),"")</f>
        <v>171</v>
      </c>
      <c r="QB31" s="30">
        <f>IFERROR(IF(DATA[[#This Row],[Care Assistant 4: Numbers employed (Full Time Equivalent)]]=0,"",DATA[[#This Row],[Care Assistant 4: Previous 2020/21 Minimum hourly pay rate ADJUSTED 2]]*DATA[[#This Row],[Care Assistant 4: Numbers employed (Full Time Equivalent)]]),"")</f>
        <v>171</v>
      </c>
      <c r="QC31" s="30">
        <f>IFERROR(IF(DATA[[#This Row],[Care Assistant 4: Numbers employed (Full Time Equivalent)]]=0,"",DATA[[#This Row],[Care Assistant 4: Previous 2020/21 Maximum hourly pay rate ADJUSTED 2]]*DATA[[#This Row],[Care Assistant 4: Numbers employed (Full Time Equivalent)]]),"")</f>
        <v>171</v>
      </c>
      <c r="QD31" s="30">
        <f>IFERROR(IF(DATA[[#This Row],[Administrative Officer 1: Numbers employed (Full Time Equivalent)]]=0,"",DATA[[#This Row],[Administrative Officer 1: Current 2021/22 Minimum hourly pay rate ADJUSTED 2]]*DATA[[#This Row],[Administrative Officer 1: Numbers employed (Full Time Equivalent)]]),"")</f>
        <v>13</v>
      </c>
      <c r="QE31" s="30">
        <f>IFERROR(IF(DATA[[#This Row],[Administrative Officer 1: Numbers employed (Full Time Equivalent)]]=0,"",DATA[[#This Row],[Administrative Officer 1: Current 2021/22 Maximum hourly pay rate ADJUSTED 2]]*DATA[[#This Row],[Administrative Officer 1: Numbers employed (Full Time Equivalent)]]),"")</f>
        <v>13</v>
      </c>
      <c r="QF31" s="30">
        <f>IFERROR(IF(DATA[[#This Row],[Administrative Officer 1: Numbers employed (Full Time Equivalent)]]=0,"",DATA[[#This Row],[Administrative Officer 1: Previous 2020/21 Minimum hourly pay rate ADJUSTED 2]]*DATA[[#This Row],[Administrative Officer 1: Numbers employed (Full Time Equivalent)]]),"")</f>
        <v>13</v>
      </c>
      <c r="QG31" s="30">
        <f>IFERROR(IF(DATA[[#This Row],[Administrative Officer 1: Numbers employed (Full Time Equivalent)]]=0,"",DATA[[#This Row],[Administrative Officer 1: Previous 2020/21 Maximum hourly pay rate ADJUSTED 2]]*DATA[[#This Row],[Administrative Officer 1: Numbers employed (Full Time Equivalent)]]),"")</f>
        <v>13</v>
      </c>
      <c r="QH31" s="30" t="str">
        <f>IFERROR(IF(DATA[[#This Row],[Administrative Officer 2: Numbers employed (Full Time Equivalent)]]=0,"",DATA[[#This Row],[Administrative Officer 2: Current 2021/22 Minimum hourly pay rate ADJUSTED 2]]*DATA[[#This Row],[Administrative Officer 2: Numbers employed (Full Time Equivalent)]]),"")</f>
        <v/>
      </c>
      <c r="QI31" s="30" t="str">
        <f>IFERROR(IF(DATA[[#This Row],[Administrative Officer 2: Numbers employed (Full Time Equivalent)]]=0,"",DATA[[#This Row],[Administrative Officer 2: Current 2021/22 Maximum hourly pay rate ADJUSTED 2]]*DATA[[#This Row],[Administrative Officer 2: Numbers employed (Full Time Equivalent)]]),"")</f>
        <v/>
      </c>
      <c r="QJ31" s="30" t="str">
        <f>IFERROR(IF(DATA[[#This Row],[Administrative Officer 2: Numbers employed (Full Time Equivalent)]]=0,"",DATA[[#This Row],[Administrative Officer 2: Previous 2020/21 Minimum hourly pay rate ADJUSTED 2]]*DATA[[#This Row],[Administrative Officer 2: Numbers employed (Full Time Equivalent)]]),"")</f>
        <v/>
      </c>
      <c r="QK31" s="30" t="str">
        <f>IFERROR(IF(DATA[[#This Row],[Administrative Officer 2: Numbers employed (Full Time Equivalent)]]=0,"",DATA[[#This Row],[Administrative Officer 2: Previous 2020/21 Maximum hourly pay rate ADJUSTED 2]]*DATA[[#This Row],[Administrative Officer 2: Numbers employed (Full Time Equivalent)]]),"")</f>
        <v/>
      </c>
      <c r="QL31" s="30" t="str">
        <f>IFERROR(IF(DATA[[#This Row],[Administrative Officer 3: Numbers employed (Full Time Equivalent)]]=0,"",DATA[[#This Row],[Administrative Officer 3: Current 2021/22 Minimum hourly pay rate ADJUSTED 2]]*DATA[[#This Row],[Administrative Officer 3: Numbers employed (Full Time Equivalent)]]),"")</f>
        <v/>
      </c>
      <c r="QM31" s="30" t="str">
        <f>IFERROR(IF(DATA[[#This Row],[Administrative Officer 3: Numbers employed (Full Time Equivalent)]]=0,"",DATA[[#This Row],[Administrative Officer 3: Current 2021/22 Maximum hourly pay rate ADJUSTED 2]]*DATA[[#This Row],[Administrative Officer 3: Numbers employed (Full Time Equivalent)]]),"")</f>
        <v/>
      </c>
      <c r="QN31" s="30" t="str">
        <f>IFERROR(IF(DATA[[#This Row],[Administrative Officer 3: Numbers employed (Full Time Equivalent)]]=0,"",DATA[[#This Row],[Administrative Officer 3: Previous 2020/21 Minimum hourly pay rate ADJUSTED 2]]*DATA[[#This Row],[Administrative Officer 3: Numbers employed (Full Time Equivalent)]]),"")</f>
        <v/>
      </c>
      <c r="QO31" s="30" t="str">
        <f>IFERROR(IF(DATA[[#This Row],[Administrative Officer 3: Numbers employed (Full Time Equivalent)]]=0,"",DATA[[#This Row],[Administrative Officer 3: Previous 2020/21 Maximum hourly pay rate ADJUSTED 2]]*DATA[[#This Row],[Administrative Officer 3: Numbers employed (Full Time Equivalent)]]),"")</f>
        <v/>
      </c>
      <c r="QP31" s="28" t="str">
        <f>IFERROR(IF(DATA[[#This Row],[Other staff 1: Numbers employed (Full Time Equivalent)]]=0,"",DATA[[#This Row],[Other staff 1: Current 2021/22 Minimum hourly pay rate ADJUSTED 2]]*DATA[[#This Row],[Other staff 1: Numbers employed (Full Time Equivalent)]]),"")</f>
        <v/>
      </c>
      <c r="QQ31" s="28" t="str">
        <f>IFERROR(IF(DATA[[#This Row],[Other staff 1: Numbers employed (Full Time Equivalent)]]=0,"",DATA[[#This Row],[Other staff 1: Current 2021/22 Maximum hourly pay rate ADJUSTED 2]]*DATA[[#This Row],[Other staff 1: Numbers employed (Full Time Equivalent)]]),"")</f>
        <v/>
      </c>
      <c r="QR31" s="28" t="str">
        <f>IFERROR(IF(DATA[[#This Row],[Other staff 1: Numbers employed (Full Time Equivalent)]]=0,"",DATA[[#This Row],[Other staff 1: Previous 2020/21 Minimum hourly pay rate ADJUSTED 2]]*DATA[[#This Row],[Other staff 1: Numbers employed (Full Time Equivalent)]]),"")</f>
        <v/>
      </c>
      <c r="QS31" s="28" t="str">
        <f>IFERROR(IF(DATA[[#This Row],[Other staff 1: Numbers employed (Full Time Equivalent)]]=0,"",DATA[[#This Row],[Other staff 1: Previous 2020/21 Maximum hourly pay rate ADJUSTED 2]]*DATA[[#This Row],[Other staff 1: Numbers employed (Full Time Equivalent)]]),"")</f>
        <v/>
      </c>
      <c r="QT31" s="28" t="str">
        <f>IFERROR(IF(DATA[[#This Row],[Other staff 2: Numbers employed (Full Time Equivalent)]]=0,"",DATA[[#This Row],[Other staff 2: Current 2021/22 Minimum hourly pay rate ADJUSTED 2]]*DATA[[#This Row],[Other staff 2: Numbers employed (Full Time Equivalent)]]),"")</f>
        <v/>
      </c>
      <c r="QU31" s="28" t="str">
        <f>IFERROR(IF(DATA[[#This Row],[Other staff 2: Numbers employed (Full Time Equivalent)]]=0,"",DATA[[#This Row],[Other staff 2: Current 2021/22 Maximum hourly pay rate ADJUSTED 2]]*DATA[[#This Row],[Other staff 2: Numbers employed (Full Time Equivalent)]]),"")</f>
        <v/>
      </c>
      <c r="QV31" s="28" t="str">
        <f>IFERROR(IF(DATA[[#This Row],[Other staff 2: Numbers employed (Full Time Equivalent)]]=0,"",DATA[[#This Row],[Other staff 2: Previous 2020/21 Minimum hourly pay rate ADJUSTED 2]]*DATA[[#This Row],[Other staff 2: Numbers employed (Full Time Equivalent)]]),"")</f>
        <v/>
      </c>
      <c r="QW31" s="28" t="str">
        <f>IFERROR(IF(DATA[[#This Row],[Other staff 2: Numbers employed (Full Time Equivalent)]]=0,"",DATA[[#This Row],[Other staff 2: Previous 2020/21 Maximum hourly pay rate ADJUSTED 2]]*DATA[[#This Row],[Other staff 2: Numbers employed (Full Time Equivalent)]]),"")</f>
        <v/>
      </c>
      <c r="QX31" s="28" t="str">
        <f>IFERROR(IF(DATA[[#This Row],[Other staff 3: Numbers employed (Full Time Equivalent)]]=0,"",DATA[[#This Row],[Other staff 3: Current 2021/22 Minimum hourly pay rate ADJUSTED 2]]*DATA[[#This Row],[Other staff 3: Numbers employed (Full Time Equivalent)]]),"")</f>
        <v/>
      </c>
      <c r="QY31" s="28" t="str">
        <f>IFERROR(IF(DATA[[#This Row],[Other staff 3: Numbers employed (Full Time Equivalent)]]=0,"",DATA[[#This Row],[Other staff 3: Current 2021/22 Maximum hourly pay rate ADJUSTED 2]]*DATA[[#This Row],[Other staff 3: Numbers employed (Full Time Equivalent)]]),"")</f>
        <v/>
      </c>
      <c r="QZ31" s="28" t="str">
        <f>IFERROR(IF(DATA[[#This Row],[Other staff 3: Numbers employed (Full Time Equivalent)]]=0,"",DATA[[#This Row],[Other staff 3: Previous 2020/21 Minimum hourly pay rate ADJUSTED 2]]*DATA[[#This Row],[Other staff 3: Numbers employed (Full Time Equivalent)]]),"")</f>
        <v/>
      </c>
      <c r="RA31" s="28" t="str">
        <f>IFERROR(IF(DATA[[#This Row],[Other staff 3: Numbers employed (Full Time Equivalent)]]=0,"",DATA[[#This Row],[Other staff 3: Previous 2020/21 Maximum hourly pay rate ADJUSTED 2]]*DATA[[#This Row],[Other staff 3: Numbers employed (Full Time Equivalent)]]),"")</f>
        <v/>
      </c>
      <c r="RB31"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31"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31"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31"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31"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31"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v>
      </c>
      <c r="RH31"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v>
      </c>
      <c r="RI31"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1</v>
      </c>
      <c r="RJ31"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19</v>
      </c>
      <c r="RK31"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31"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31"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31"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31"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31"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2" spans="7:484" x14ac:dyDescent="0.25">
      <c r="G32" s="2">
        <v>26</v>
      </c>
      <c r="H32" s="2">
        <v>131</v>
      </c>
      <c r="I32" s="2">
        <v>0</v>
      </c>
      <c r="J32" s="2">
        <v>1</v>
      </c>
      <c r="K32" s="2">
        <v>0</v>
      </c>
      <c r="L32" s="2" t="s">
        <v>328</v>
      </c>
      <c r="M32" s="2" t="s">
        <v>328</v>
      </c>
      <c r="R32" s="2">
        <v>19.23</v>
      </c>
      <c r="S32" s="2">
        <v>19.23</v>
      </c>
      <c r="T32" s="2">
        <v>19.23</v>
      </c>
      <c r="U32" s="2">
        <v>19.23</v>
      </c>
      <c r="V32" s="2">
        <v>1</v>
      </c>
      <c r="W32" s="2">
        <v>14.42</v>
      </c>
      <c r="X32" s="2">
        <v>14.42</v>
      </c>
      <c r="Y32" s="2">
        <v>14.42</v>
      </c>
      <c r="Z32" s="2">
        <v>14.42</v>
      </c>
      <c r="AA32" s="2">
        <v>1</v>
      </c>
      <c r="AB32" s="2" t="s">
        <v>450</v>
      </c>
      <c r="AC32" s="2">
        <v>14.42</v>
      </c>
      <c r="AD32" s="2">
        <v>14.42</v>
      </c>
      <c r="AE32" s="2">
        <v>14.42</v>
      </c>
      <c r="AF32" s="2">
        <v>14.42</v>
      </c>
      <c r="AG32" s="2">
        <v>1</v>
      </c>
      <c r="AH32" s="2" t="s">
        <v>414</v>
      </c>
      <c r="AI32" s="2">
        <v>12.02</v>
      </c>
      <c r="AJ32" s="2">
        <v>12.02</v>
      </c>
      <c r="AK32" s="2">
        <v>12.02</v>
      </c>
      <c r="AL32" s="2">
        <v>12.02</v>
      </c>
      <c r="AM32" s="2">
        <v>1</v>
      </c>
      <c r="AN32" s="2" t="s">
        <v>412</v>
      </c>
      <c r="AO32" s="2">
        <v>28.85</v>
      </c>
      <c r="AP32" s="2">
        <v>28.85</v>
      </c>
      <c r="AQ32" s="2">
        <v>28.85</v>
      </c>
      <c r="AR32" s="2">
        <v>28.85</v>
      </c>
      <c r="AS32" s="2">
        <v>1</v>
      </c>
      <c r="AT32" s="2" t="s">
        <v>316</v>
      </c>
      <c r="AU32" s="2">
        <v>8.91</v>
      </c>
      <c r="AV32" s="2">
        <v>8.91</v>
      </c>
      <c r="AW32" s="2">
        <v>8.91</v>
      </c>
      <c r="AX32" s="2">
        <v>8.91</v>
      </c>
      <c r="AY32" s="2">
        <v>98</v>
      </c>
      <c r="AZ32" s="2" t="s">
        <v>435</v>
      </c>
      <c r="BA32" s="2">
        <v>9.5</v>
      </c>
      <c r="BB32" s="2">
        <v>9.5</v>
      </c>
      <c r="BC32" s="2">
        <v>9.5</v>
      </c>
      <c r="BD32" s="2">
        <v>9.5</v>
      </c>
      <c r="BE32" s="2">
        <v>6</v>
      </c>
      <c r="BF32" s="2" t="s">
        <v>316</v>
      </c>
      <c r="BG32" s="2">
        <v>0</v>
      </c>
      <c r="BH32" s="2">
        <v>0</v>
      </c>
      <c r="BI32" s="2">
        <v>0</v>
      </c>
      <c r="BJ32" s="2">
        <v>0</v>
      </c>
      <c r="BK32" s="2">
        <v>0</v>
      </c>
      <c r="BL32" s="2" t="s">
        <v>316</v>
      </c>
      <c r="BM32" s="2">
        <v>0</v>
      </c>
      <c r="BN32" s="2">
        <v>0</v>
      </c>
      <c r="BO32" s="2">
        <v>0</v>
      </c>
      <c r="BP32" s="2">
        <v>0</v>
      </c>
      <c r="BQ32" s="2">
        <v>0</v>
      </c>
      <c r="BR32" s="2" t="s">
        <v>451</v>
      </c>
      <c r="BS32" s="2">
        <v>9.6199999999999992</v>
      </c>
      <c r="BT32" s="2">
        <v>9.6199999999999992</v>
      </c>
      <c r="BU32" s="2">
        <v>9.6199999999999992</v>
      </c>
      <c r="BV32" s="2">
        <v>9.6199999999999992</v>
      </c>
      <c r="BW32" s="2">
        <v>1</v>
      </c>
      <c r="BX32" s="2" t="s">
        <v>422</v>
      </c>
      <c r="BY32" s="2">
        <v>11.06</v>
      </c>
      <c r="BZ32" s="2">
        <v>11.06</v>
      </c>
      <c r="CA32" s="2">
        <v>11.06</v>
      </c>
      <c r="CB32" s="2">
        <v>11.06</v>
      </c>
      <c r="CC32" s="2">
        <v>3</v>
      </c>
      <c r="CD32" s="2" t="s">
        <v>452</v>
      </c>
      <c r="CE32" s="2">
        <v>11.06</v>
      </c>
      <c r="CF32" s="2">
        <v>11.06</v>
      </c>
      <c r="CG32" s="2">
        <v>11.06</v>
      </c>
      <c r="CH32" s="2">
        <v>11.06</v>
      </c>
      <c r="CI32" s="2">
        <v>1</v>
      </c>
      <c r="CJ32" s="2" t="s">
        <v>335</v>
      </c>
      <c r="CK32" s="2">
        <v>12.02</v>
      </c>
      <c r="CL32" s="2">
        <v>12.02</v>
      </c>
      <c r="CM32" s="2">
        <v>12.02</v>
      </c>
      <c r="CN32" s="2">
        <v>12.02</v>
      </c>
      <c r="CO32" s="2">
        <v>1</v>
      </c>
      <c r="CP32" s="2" t="s">
        <v>453</v>
      </c>
      <c r="CQ32" s="2">
        <v>9.1300000000000008</v>
      </c>
      <c r="CR32" s="2">
        <v>9.1300000000000008</v>
      </c>
      <c r="CS32" s="2">
        <v>9.1300000000000008</v>
      </c>
      <c r="CT32" s="2">
        <v>9.1300000000000008</v>
      </c>
      <c r="CU32" s="2">
        <v>1</v>
      </c>
      <c r="CV32" s="2" t="s">
        <v>318</v>
      </c>
      <c r="CW32" s="2">
        <v>0</v>
      </c>
      <c r="CX32" s="2">
        <v>0</v>
      </c>
      <c r="CY32" s="2">
        <v>0</v>
      </c>
      <c r="CZ32" s="2">
        <v>0</v>
      </c>
      <c r="DA32" s="2">
        <v>0</v>
      </c>
      <c r="DB32" s="2">
        <v>0.03</v>
      </c>
      <c r="DC32" s="2">
        <v>0</v>
      </c>
      <c r="DD32" s="2">
        <v>1556</v>
      </c>
      <c r="DE32" s="2">
        <v>384</v>
      </c>
      <c r="DF32" s="2">
        <v>286</v>
      </c>
      <c r="DG32" s="2">
        <v>345</v>
      </c>
      <c r="DH32" s="2">
        <v>278</v>
      </c>
      <c r="DI32" s="2">
        <v>0</v>
      </c>
      <c r="DJ32" s="2">
        <v>0</v>
      </c>
      <c r="DK32" s="2">
        <v>0</v>
      </c>
      <c r="DL32" s="2">
        <v>0</v>
      </c>
      <c r="DM32" s="2">
        <v>0</v>
      </c>
      <c r="DN32" s="2">
        <v>0</v>
      </c>
      <c r="DO32" s="2">
        <v>16.34</v>
      </c>
      <c r="DP32" s="2">
        <v>18.5</v>
      </c>
      <c r="DQ32" s="2">
        <v>17.760000000000002</v>
      </c>
      <c r="DR32" s="18">
        <v>43800</v>
      </c>
      <c r="DS32" s="18">
        <v>44165</v>
      </c>
      <c r="DT32" s="2">
        <v>82767.5</v>
      </c>
      <c r="DU32" s="2">
        <v>125000</v>
      </c>
      <c r="DV32" s="2">
        <v>804267.07</v>
      </c>
      <c r="DW32" s="2">
        <v>0</v>
      </c>
      <c r="DX32" s="2">
        <v>0</v>
      </c>
      <c r="DY32" s="2">
        <v>0</v>
      </c>
      <c r="DZ32" s="2">
        <v>11072</v>
      </c>
      <c r="EA32" s="2">
        <v>23275.93</v>
      </c>
      <c r="EB32" s="2">
        <v>24419</v>
      </c>
      <c r="EC32" s="2">
        <v>21320</v>
      </c>
      <c r="ED32" s="2">
        <v>7077</v>
      </c>
      <c r="EE32" s="2">
        <v>23401</v>
      </c>
      <c r="EF32" s="2">
        <v>36725</v>
      </c>
      <c r="EG32" s="2">
        <v>25001</v>
      </c>
      <c r="EH32" s="2" t="s">
        <v>324</v>
      </c>
      <c r="EI32" s="2">
        <v>0</v>
      </c>
      <c r="EJ32" s="2" t="s">
        <v>324</v>
      </c>
      <c r="EK32" s="2">
        <v>0</v>
      </c>
      <c r="EL32" s="2">
        <v>5136</v>
      </c>
      <c r="EM32" s="2">
        <v>1471</v>
      </c>
      <c r="EN32" s="2">
        <v>68399</v>
      </c>
      <c r="EO32" s="2">
        <v>22800</v>
      </c>
      <c r="EP32" s="2">
        <v>7908</v>
      </c>
      <c r="EQ32" s="2">
        <v>11378</v>
      </c>
      <c r="ER32" s="2">
        <v>44472</v>
      </c>
      <c r="ES32" s="2">
        <v>30230</v>
      </c>
      <c r="ET32" s="2" t="s">
        <v>324</v>
      </c>
      <c r="EU32" s="2">
        <v>0</v>
      </c>
      <c r="EV32" s="2" t="s">
        <v>324</v>
      </c>
      <c r="EW32" s="2">
        <v>0</v>
      </c>
      <c r="EX32" s="2">
        <v>0</v>
      </c>
      <c r="EY32" s="2">
        <v>0</v>
      </c>
      <c r="EZ32" s="2" t="s">
        <v>326</v>
      </c>
      <c r="FA32" s="2">
        <v>0</v>
      </c>
      <c r="FB32" s="2" t="s">
        <v>326</v>
      </c>
      <c r="FC32" s="2">
        <v>0</v>
      </c>
      <c r="FD32" s="2">
        <v>71200</v>
      </c>
      <c r="FE32" s="2">
        <v>100</v>
      </c>
      <c r="FF32" s="2">
        <v>62619</v>
      </c>
      <c r="FG32" s="2"/>
      <c r="FH32" s="19">
        <v>44480.624039351853</v>
      </c>
      <c r="FI32" s="2" t="s">
        <v>449</v>
      </c>
      <c r="FJ32" s="2">
        <f>SUM(DATA[[#This Row],[Number of Home support clients:]],DATA[[#This Row],[Number of supported living clients:]])</f>
        <v>131</v>
      </c>
      <c r="FK32"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131-140</v>
      </c>
      <c r="FL32"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19.23</v>
      </c>
      <c r="FM32"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19.23</v>
      </c>
      <c r="FN32"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19.23</v>
      </c>
      <c r="FO32"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19.23</v>
      </c>
      <c r="FP32"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14.42</v>
      </c>
      <c r="FQ32"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14.42</v>
      </c>
      <c r="FR32"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14.42</v>
      </c>
      <c r="FS32"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14.42</v>
      </c>
      <c r="FT32"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14.42</v>
      </c>
      <c r="FU32"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14.42</v>
      </c>
      <c r="FV32"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14.42</v>
      </c>
      <c r="FW32"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14.42</v>
      </c>
      <c r="FX32"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12.02</v>
      </c>
      <c r="FY32"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12.02</v>
      </c>
      <c r="FZ32"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12.02</v>
      </c>
      <c r="GA32"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12.02</v>
      </c>
      <c r="GB32"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28.85</v>
      </c>
      <c r="GC32"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28.85</v>
      </c>
      <c r="GD32"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28.85</v>
      </c>
      <c r="GE32"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28.85</v>
      </c>
      <c r="GF32"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32"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32"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8.91</v>
      </c>
      <c r="GI32"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8.91</v>
      </c>
      <c r="GJ32"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9.5</v>
      </c>
      <c r="GK32"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9.5</v>
      </c>
      <c r="GL32"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9.5</v>
      </c>
      <c r="GM32"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9.5</v>
      </c>
      <c r="GN32"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32"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32"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32"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32"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32"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32"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32"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32"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9.6199999999999992</v>
      </c>
      <c r="GW32"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9.6199999999999992</v>
      </c>
      <c r="GX32"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9.6199999999999992</v>
      </c>
      <c r="GY32"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9.6199999999999992</v>
      </c>
      <c r="GZ32"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11.06</v>
      </c>
      <c r="HA32"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11.06</v>
      </c>
      <c r="HB32"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11.06</v>
      </c>
      <c r="HC32"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11.06</v>
      </c>
      <c r="HD32"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11.06</v>
      </c>
      <c r="HE32"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11.06</v>
      </c>
      <c r="HF32" s="2">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11.06</v>
      </c>
      <c r="HG32" s="2">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11.06</v>
      </c>
      <c r="HH32"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12.02</v>
      </c>
      <c r="HI32"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12.02</v>
      </c>
      <c r="HJ32"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12.02</v>
      </c>
      <c r="HK32"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12.02</v>
      </c>
      <c r="HL32"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9.1300000000000008</v>
      </c>
      <c r="HM32"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9.1300000000000008</v>
      </c>
      <c r="HN32" s="2">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9.1300000000000008</v>
      </c>
      <c r="HO32" s="2">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9.1300000000000008</v>
      </c>
      <c r="HP32"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32"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32"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32"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32"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19.23</v>
      </c>
      <c r="HU32"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19.23</v>
      </c>
      <c r="HV32"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19.23</v>
      </c>
      <c r="HW32"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19.23</v>
      </c>
      <c r="HX32"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14.42</v>
      </c>
      <c r="HY32"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14.42</v>
      </c>
      <c r="HZ32"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14.42</v>
      </c>
      <c r="IA32"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14.42</v>
      </c>
      <c r="IB32"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14.42</v>
      </c>
      <c r="IC32"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14.42</v>
      </c>
      <c r="ID32"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14.42</v>
      </c>
      <c r="IE32"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14.42</v>
      </c>
      <c r="IF32"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12.02</v>
      </c>
      <c r="IG32"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12.02</v>
      </c>
      <c r="IH32"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12.02</v>
      </c>
      <c r="II32"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12.02</v>
      </c>
      <c r="IJ32"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28.85</v>
      </c>
      <c r="IK32"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28.85</v>
      </c>
      <c r="IL32"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28.85</v>
      </c>
      <c r="IM32"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28.85</v>
      </c>
      <c r="IN32"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32"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32"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8.91</v>
      </c>
      <c r="IQ32"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8.91</v>
      </c>
      <c r="IR32"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9.5</v>
      </c>
      <c r="IS32"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9.5</v>
      </c>
      <c r="IT32"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9.5</v>
      </c>
      <c r="IU32"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9.5</v>
      </c>
      <c r="IV32"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32"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32"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32"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32"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32"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32"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32"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32"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9.6199999999999992</v>
      </c>
      <c r="JE32"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9.6199999999999992</v>
      </c>
      <c r="JF32"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9.6199999999999992</v>
      </c>
      <c r="JG32"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9.6199999999999992</v>
      </c>
      <c r="JH32"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11.06</v>
      </c>
      <c r="JI32"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11.06</v>
      </c>
      <c r="JJ32"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11.06</v>
      </c>
      <c r="JK32"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11.06</v>
      </c>
      <c r="JL32"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11.06</v>
      </c>
      <c r="JM32"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11.06</v>
      </c>
      <c r="JN32"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11.06</v>
      </c>
      <c r="JO32"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11.06</v>
      </c>
      <c r="JP32"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12.02</v>
      </c>
      <c r="JQ32"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12.02</v>
      </c>
      <c r="JR32"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12.02</v>
      </c>
      <c r="JS32"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12.02</v>
      </c>
      <c r="JT32"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9.1300000000000008</v>
      </c>
      <c r="JU32"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9.1300000000000008</v>
      </c>
      <c r="JV32"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9.1300000000000008</v>
      </c>
      <c r="JW32"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9.1300000000000008</v>
      </c>
      <c r="JX32"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32"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32"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32"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32"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5</v>
      </c>
      <c r="KC32" s="21">
        <f>SUM(DATA[[#This Row],[Care Assistant 1: Numbers employed (Full Time Equivalent)]],DATA[[#This Row],[Care Assistant 2: Numbers employed (Full Time Equivalent)]],DATA[[#This Row],[Care Assistant 3: Numbers employed (Full Time Equivalent)]],DATA[[#This Row],[Care Assistant 4: Numbers employed (Full Time Equivalent)]])</f>
        <v>104</v>
      </c>
      <c r="KD32" s="21">
        <f>SUM(DATA[[#This Row],[Administrative Officer 1: Numbers employed (Full Time Equivalent)]],DATA[[#This Row],[Administrative Officer 2: Numbers employed (Full Time Equivalent)]])</f>
        <v>4</v>
      </c>
      <c r="KE32" s="21">
        <f>SUM(DATA[[#This Row],[Other staff 1: Numbers employed (Full Time Equivalent)]],DATA[[#This Row],[Other staff 2: Numbers employed (Full Time Equivalent)]],DATA[[#This Row],[Other staff 3: Numbers employed (Full Time Equivalent)]])</f>
        <v>2</v>
      </c>
      <c r="KF32" s="21">
        <f>SUM(DATA[[#This Row],[Total FTE Management Employees]:[Total FTE Other Employees]])</f>
        <v>115</v>
      </c>
      <c r="KG32" s="21" t="str">
        <f>IF(SUM(DATA[[#This Row],[Home Support service split percentage (Expenditure):]],DATA[[#This Row],[Supported Living service split percentage (Expenditure):]])&gt;0, IF(DATA[[#This Row],[Home Support service split percentage (Expenditure):]]&gt;0.5,"Home Support","Supported Living"), "Unknown")</f>
        <v>Home Support</v>
      </c>
      <c r="KH32" s="21">
        <f>SUM(DATA[[#This Row],[Home Support: Birmingham City Council]:[Home Support: Self-funded]])</f>
        <v>2849</v>
      </c>
      <c r="KI32" s="21">
        <f>SUM(DATA[[#This Row],[Supported Living: Birmingham City Council]:[Supported Living: Self-funded]])</f>
        <v>0</v>
      </c>
      <c r="KJ32"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88.94</v>
      </c>
      <c r="KK32"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88.94</v>
      </c>
      <c r="KL32"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88.94</v>
      </c>
      <c r="KM32"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88.94</v>
      </c>
      <c r="KN32" s="21" t="b">
        <f>SUM(DATA[[#This Row],[Number of hours of care charged for in last full accounting year]:[Corporate Overheads: Other  - please specify (category) 1]])&gt;0</f>
        <v>1</v>
      </c>
      <c r="KO32" s="21">
        <f>SUM(DATA[[#This Row],[Total annual expenditure: Management staff]:[Total annual expenditure: Training and development]])</f>
        <v>988034</v>
      </c>
      <c r="KP32" s="21">
        <f>SUM(DATA[[#This Row],[Recruitment &amp; advertising (including DBS checks)]:[Non-Staffing Direct Cost: Other  - please specify (amount) 2]])</f>
        <v>113524</v>
      </c>
      <c r="KQ32" s="21">
        <f>SUM(DATA[[#This Row],[Insurance ]:[Indirect costs: Other 2 - please specify (amount)]])</f>
        <v>191794</v>
      </c>
      <c r="KR32" s="21">
        <f>SUM(DATA[[#This Row],[Central / Regional Management]],DATA[[#This Row],[Support Services (finance / HR / Payroll / legal etc.)]],DATA[[#This Row],[Corporate Overheads: Other  - please specify (amount) 1]],DATA[[#This Row],[Corporate Overheads: Other  - please specify (amount) 2]])</f>
        <v>0</v>
      </c>
      <c r="KS32"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1.5102546289304377</v>
      </c>
      <c r="KT32"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9.7171845229105624</v>
      </c>
      <c r="KU32"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32"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32"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2" s="30">
        <f>IF(OR(NOT(DATA[[#This Row],[Total annual expenditure: Travel Cost]]&gt;0),NOT(DATA[[#This Row],[Number of hours of care charged for in last full accounting year]]&gt;0)),0,DATA[[#This Row],[Total annual expenditure: Travel Cost]]/DATA[[#This Row],[Number of hours of care charged for in last full accounting year]])</f>
        <v>0.13377231401214246</v>
      </c>
      <c r="KY32" s="30">
        <f>IF(OR(NOT(DATA[[#This Row],[Total annual expenditure: Travel Time]]&gt;0),NOT(DATA[[#This Row],[Number of hours of care charged for in last full accounting year]]&gt;0)),0,DATA[[#This Row],[Total annual expenditure: Travel Time]]/DATA[[#This Row],[Number of hours of care charged for in last full accounting year]])</f>
        <v>0.28122064820128673</v>
      </c>
      <c r="KZ32"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0.29503126227081888</v>
      </c>
      <c r="LA32"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0.25758902951037543</v>
      </c>
      <c r="LB32"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8.5504576071525659E-2</v>
      </c>
      <c r="LC32" s="30">
        <f>IF(OR(NOT(DATA[[#This Row],[Care consumables &amp; uniforms]]&gt;0),NOT(DATA[[#This Row],[Number of hours of care charged for in last full accounting year]]&gt;0)),0,DATA[[#This Row],[Care consumables &amp; uniforms]]/DATA[[#This Row],[Number of hours of care charged for in last full accounting year]])</f>
        <v>0.28273174857280936</v>
      </c>
      <c r="LD32" s="30">
        <f>IF(OR(NOT(DATA[[#This Row],[Electronic call monitoring]]&gt;0),NOT(DATA[[#This Row],[Number of hours of care charged for in last full accounting year]]&gt;0)),0,DATA[[#This Row],[Electronic call monitoring]]/DATA[[#This Row],[Number of hours of care charged for in last full accounting year]])</f>
        <v>0.44371280997976259</v>
      </c>
      <c r="LE32" s="30">
        <f>IF(OR(NOT(DATA[[#This Row],[IT Equipment &amp; Telephoney]]&gt;0),NOT(DATA[[#This Row],[Number of hours of care charged for in last full accounting year]]&gt;0)),0,DATA[[#This Row],[IT Equipment &amp; Telephoney]]/DATA[[#This Row],[Number of hours of care charged for in last full accounting year]])</f>
        <v>0.30206300782311896</v>
      </c>
      <c r="LF32"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32"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32" s="30">
        <f>IF(OR(NOT(DATA[[#This Row],[Insurance ]]&gt;0),NOT(DATA[[#This Row],[Number of hours of care charged for in last full accounting year]]&gt;0)),0,DATA[[#This Row],[Insurance ]]/DATA[[#This Row],[Number of hours of care charged for in last full accounting year]])</f>
        <v>6.2053342193493823E-2</v>
      </c>
      <c r="LI32"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1.7772676473253389E-2</v>
      </c>
      <c r="LJ32" s="30">
        <f>IF(OR(NOT(DATA[[#This Row],[Repairs and maintenance]]&gt;0),NOT(DATA[[#This Row],[Number of hours of care charged for in last full accounting year]]&gt;0)),0,DATA[[#This Row],[Repairs and maintenance]]/DATA[[#This Row],[Number of hours of care charged for in last full accounting year]])</f>
        <v>0.82639925091370403</v>
      </c>
      <c r="LK32"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0.27547044431691181</v>
      </c>
      <c r="LL32" s="30">
        <f>IF(OR(NOT(DATA[[#This Row],[Registration &amp; Inspection fees ]]&gt;0),NOT(DATA[[#This Row],[Number of hours of care charged for in last full accounting year]]&gt;0)),0,DATA[[#This Row],[Registration &amp; Inspection fees ]]/DATA[[#This Row],[Number of hours of care charged for in last full accounting year]])</f>
        <v>9.5544748844655206E-2</v>
      </c>
      <c r="LM32" s="30">
        <f>IF(OR(NOT(DATA[[#This Row],[Subscriptions]]&gt;0),NOT(DATA[[#This Row],[Number of hours of care charged for in last full accounting year]]&gt;0)),0,DATA[[#This Row],[Subscriptions]]/DATA[[#This Row],[Number of hours of care charged for in last full accounting year]])</f>
        <v>0.13746941734376417</v>
      </c>
      <c r="LN32" s="30">
        <f>IF(OR(NOT(DATA[[#This Row],[Cost of finance]]&gt;0),NOT(DATA[[#This Row],[Number of hours of care charged for in last full accounting year]]&gt;0)),0,DATA[[#This Row],[Cost of finance]]/DATA[[#This Row],[Number of hours of care charged for in last full accounting year]])</f>
        <v>0.5373123508623554</v>
      </c>
      <c r="LO32" s="30">
        <f>IF(OR(NOT(DATA[[#This Row],[Other non-staff current expenses]]&gt;0),NOT(DATA[[#This Row],[Number of hours of care charged for in last full accounting year]]&gt;0)),0,DATA[[#This Row],[Other non-staff current expenses]]/DATA[[#This Row],[Number of hours of care charged for in last full accounting year]])</f>
        <v>0.36523997946053705</v>
      </c>
      <c r="LP32"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32"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32" s="30">
        <f>IF(OR(NOT(DATA[[#This Row],[Central / Regional Management]]&gt;0),NOT(DATA[[#This Row],[Number of hours of care charged for in last full accounting year]]&gt;0)),0,DATA[[#This Row],[Central / Regional Management]]/DATA[[#This Row],[Number of hours of care charged for in last full accounting year]])</f>
        <v>0</v>
      </c>
      <c r="LS32"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32"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2"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2" s="30">
        <f>SUM(DATA[[#This Row],[Management staff HOURLY RATE]:[Corporate Overheads: Other  - please specify (amount) 2 HOURLY RATE]])</f>
        <v>15.626326758691517</v>
      </c>
      <c r="LW32" s="30">
        <f>IF(OR(NOT(DATA[[#This Row],[Net Operating Profit]]&gt;0),NOT(DATA[[#This Row],[Number of hours of care charged for in last full accounting year]]&gt;0)),"",DATA[[#This Row],[Net Operating Profit]]/DATA[[#This Row],[Number of hours of care charged for in last full accounting year]])</f>
        <v>0.86024103663877727</v>
      </c>
      <c r="LX32" s="30">
        <f>IF(OR(NOT(DATA[[#This Row],[Return on Capital employed]]&gt;0),NOT(DATA[[#This Row],[Number of hours of care charged for in last full accounting year]]&gt;0)),0,DATA[[#This Row],[Return on Capital employed]]/DATA[[#This Row],[Number of hours of care charged for in last full accounting year]])</f>
        <v>1.2082037031443502E-3</v>
      </c>
      <c r="LY32" s="31">
        <v>26</v>
      </c>
      <c r="LZ32" s="30" t="s">
        <v>358</v>
      </c>
      <c r="MA32" s="30" t="b">
        <f>DATA[[#This Row],[Number of Home support clients:]]&gt;0</f>
        <v>1</v>
      </c>
      <c r="MB32" s="30" t="b">
        <f>DATA[[#This Row],[Number of supported living clients:]]&gt;0</f>
        <v>0</v>
      </c>
      <c r="MC32" s="30" t="b">
        <f>DATA[[#This Row],[Total Home Support Hours]]&gt;0</f>
        <v>1</v>
      </c>
      <c r="MD32" s="30" t="b">
        <f>DATA[[#This Row],[Total Supported Living Hours]]&gt;0</f>
        <v>0</v>
      </c>
      <c r="ME32" s="30" t="b">
        <f>DATA[[#This Row],[Home Support service split percentage (Expenditure):]]&gt;0.5</f>
        <v>1</v>
      </c>
      <c r="MF32" s="30" t="b">
        <f>DATA[[#This Row],[Agency staff HOURLY RATE]]=0</f>
        <v>1</v>
      </c>
      <c r="MG32"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2" s="30">
        <f>IFERROR(IF(AVERAGE(DATA[[#This Row],[Deputy manager: Current 2021/22 Minimum hourly pay rate ADJUSTED]],DATA[[#This Row],[Deputy manager: Current 2021/22 Maximum hourly pay rate ADJUSTED]])&lt;LIVING_WAGE_22_23,DATA[[#This Row],[Deputy manager: Numbers employed (Full Time Equivalent)]],0),"")</f>
        <v>0</v>
      </c>
      <c r="MI32" s="30">
        <f>IFERROR(IF(AVERAGE(DATA[[#This Row],[Other manager 1: Current 2021/22 Minimum hourly pay rate ADJUSTED]],DATA[[#This Row],[Other manager 1: Current 2021/22 Maximum hourly pay rate ADJUSTED]])&lt;LIVING_WAGE_22_23,DATA[[#This Row],[Other manager 1: Numbers employed (Full Time Equivalent)]],0),"")</f>
        <v>0</v>
      </c>
      <c r="MJ32" s="30">
        <f>IFERROR(IF(AVERAGE(DATA[[#This Row],[Other manager 2: Current 2021/22 Minimum hourly pay rate ADJUSTED]],DATA[[#This Row],[Other manager 2: Current 2021/22 Maximum hourly pay rate ADJUSTED]])&lt;LIVING_WAGE_22_23,DATA[[#This Row],[Other manager 2: Numbers employed (Full Time Equivalent)]],0),"")</f>
        <v>0</v>
      </c>
      <c r="MK32" s="30">
        <f>IFERROR(IF(AVERAGE(DATA[[#This Row],[Other manager 3: Current 2021/22 Minimum hourly pay rate ADJUSTED]],DATA[[#This Row],[Other manager 3: Current 2021/22 Maximum hourly pay rate ADJUSTED]])&lt;LIVING_WAGE_22_23,DATA[[#This Row],[Other manager 3: Numbers employed (Full Time Equivalent)]],0),"")</f>
        <v>0</v>
      </c>
      <c r="ML32" s="30">
        <f>IFERROR(IF(AVERAGE(DATA[[#This Row],[Care Assistant 1: Current 2021/22 Minimum hourly pay rate ADJUSTED]],DATA[[#This Row],[Care Assistant 1: Current 2021/22 Maximum hourly pay rate ADJUSTED]])&lt;LIVING_WAGE_22_23,DATA[[#This Row],[Care Assistant 1: Numbers employed (Full Time Equivalent)]],0),"")</f>
        <v>98</v>
      </c>
      <c r="MM32" s="30">
        <f>IFERROR(IF(AVERAGE(DATA[[#This Row],[Care Assistant 2: Current 2021/22 Minimum hourly pay rate ADJUSTED]],DATA[[#This Row],[Care Assistant 2: Current 2021/22 Maximum hourly pay rate ADJUSTED]])&lt;LIVING_WAGE_22_23,DATA[[#This Row],[Care Assistant 2: Numbers employed (Full Time Equivalent)]],0),"")</f>
        <v>0</v>
      </c>
      <c r="MN32" s="30" t="str">
        <f>IFERROR(IF(AVERAGE(DATA[[#This Row],[Care Assistant 3: Current 2021/22 Minimum hourly pay rate ADJUSTED]],DATA[[#This Row],[Care Assistant 3: Current 2021/22 Maximum hourly pay rate ADJUSTED]])&lt;LIVING_WAGE_22_23,DATA[[#This Row],[Care Assistant 3: Numbers employed (Full Time Equivalent)]],0),"")</f>
        <v/>
      </c>
      <c r="MO32" s="30" t="str">
        <f>IFERROR(IF(AVERAGE(DATA[[#This Row],[Care Assistant 4: Current 2021/22 Minimum hourly pay rate ADJUSTED]],DATA[[#This Row],[Care Assistant 4: Current 2021/22 Maximum hourly pay rate ADJUSTED]])&lt;LIVING_WAGE_22_23,DATA[[#This Row],[Care Assistant 4: Numbers employed (Full Time Equivalent)]],0),"")</f>
        <v/>
      </c>
      <c r="MP32"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32"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32" s="30">
        <f>IFERROR(IF(AVERAGE(DATA[[#This Row],[Other staff 1: Current 2021/22 Minimum hourly pay rate ADJUSTED]],DATA[[#This Row],[Other staff 1: Current 2021/22 Maximum hourly pay rate ADJUSTED]])&lt;LIVING_WAGE_22_23,DATA[[#This Row],[Other staff 1: Numbers employed (Full Time Equivalent)]],0),"")</f>
        <v>0</v>
      </c>
      <c r="MS32" s="30">
        <f>IFERROR(IF(AVERAGE(DATA[[#This Row],[Other staff 2: Current 2021/22 Minimum hourly pay rate ADJUSTED]],DATA[[#This Row],[Other staff 2: Current 2021/22 Maximum hourly pay rate ADJUSTED]])&lt;LIVING_WAGE_22_23,DATA[[#This Row],[Other staff 2: Numbers employed (Full Time Equivalent)]],0),"")</f>
        <v>1</v>
      </c>
      <c r="MT32" s="30" t="str">
        <f>IFERROR(IF(AVERAGE(DATA[[#This Row],[Other staff 3: Current 2021/22 Minimum hourly pay rate ADJUSTED]],DATA[[#This Row],[Other staff 3: Current 2021/22 Maximum hourly pay rate ADJUSTED]])&lt;LIVING_WAGE_22_23,DATA[[#This Row],[Other staff 3: Numbers employed (Full Time Equivalent)]],0),"")</f>
        <v/>
      </c>
      <c r="MU32" s="30">
        <f>SUM(DATA[[#This Row],[Registered Manager FTE earning less than NLW 23yrs 2022/23]:[Other staff 3 FTE earning less than NLW 23yrs 2022/23]])</f>
        <v>99</v>
      </c>
      <c r="MV32"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2"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32"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32"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32"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32"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57.819999999999986</v>
      </c>
      <c r="NB32"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32"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32"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32"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32"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32"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32"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0.36999999999999922</v>
      </c>
      <c r="NI32"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32" s="30" t="b">
        <v>0</v>
      </c>
      <c r="NK32" s="30" t="b">
        <v>1</v>
      </c>
      <c r="NL32" s="30" t="s">
        <v>972</v>
      </c>
      <c r="NM32" s="30">
        <f>SUM(DATA[[#This Row],[Management staff HOURLY RATE]:[Training and development HOURLY RATE]])</f>
        <v>11.937463376325249</v>
      </c>
      <c r="NN32" s="30">
        <f>SUM(DATA[[#This Row],[Recruitment &amp; advertising (including DBS checks) HOURLY RATE]:[Non-Staffing Direct Cost: Other  - please specify (amount) 2 HOURLY RATE]])</f>
        <v>1.3716011719575922</v>
      </c>
      <c r="NO32" s="30">
        <f>SUM(DATA[[#This Row],[Insurance  HOURLY RATE]:[Indirect costs: Other  - please specify (amount) 2 HOURLY RATE]])</f>
        <v>2.3172622104086749</v>
      </c>
      <c r="NP32" s="30">
        <f>SUM(DATA[[#This Row],[Central / Regional Management HOURLY RATE]:[Corporate Overheads: Other  - please specify (amount) 2 HOURLY RATE]])</f>
        <v>0</v>
      </c>
      <c r="NQ32"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2" s="30">
        <f>IFERROR(IF(AVERAGE(DATA[[#This Row],[Deputy manager: Current 2021/22 Minimum hourly pay rate ADJUSTED]],DATA[[#This Row],[Deputy manager: Current 2021/22 Maximum hourly pay rate ADJUSTED]])&lt;REAL_LIVING_WAGE_22_23,DATA[[#This Row],[Deputy manager: Numbers employed (Full Time Equivalent)]],0),"")</f>
        <v>0</v>
      </c>
      <c r="NS32" s="30">
        <f>IFERROR(IF(AVERAGE(DATA[[#This Row],[Other manager 1: Current 2021/22 Minimum hourly pay rate ADJUSTED]],DATA[[#This Row],[Other manager 1: Current 2021/22 Maximum hourly pay rate ADJUSTED]])&lt;REAL_LIVING_WAGE_22_23,DATA[[#This Row],[Other manager 1: Numbers employed (Full Time Equivalent)]],0),"")</f>
        <v>0</v>
      </c>
      <c r="NT32" s="30">
        <f>IFERROR(IF(AVERAGE(DATA[[#This Row],[Other manager 2: Current 2021/22 Minimum hourly pay rate ADJUSTED]],DATA[[#This Row],[Other manager 2: Current 2021/22 Maximum hourly pay rate ADJUSTED]])&lt;REAL_LIVING_WAGE_22_23,DATA[[#This Row],[Other manager 2: Numbers employed (Full Time Equivalent)]],0),"")</f>
        <v>0</v>
      </c>
      <c r="NU32" s="30">
        <f>IFERROR(IF(AVERAGE(DATA[[#This Row],[Other manager 3: Current 2021/22 Minimum hourly pay rate ADJUSTED]],DATA[[#This Row],[Other manager 3: Current 2021/22 Maximum hourly pay rate ADJUSTED]])&lt;REAL_LIVING_WAGE_22_23,DATA[[#This Row],[Other manager 3: Numbers employed (Full Time Equivalent)]],0),"")</f>
        <v>0</v>
      </c>
      <c r="NV32" s="30">
        <f>IFERROR(IF(AVERAGE(DATA[[#This Row],[Care Assistant 1: Current 2021/22 Minimum hourly pay rate ADJUSTED]],DATA[[#This Row],[Care Assistant 1: Current 2021/22 Maximum hourly pay rate ADJUSTED]])&lt;REAL_LIVING_WAGE_22_23,DATA[[#This Row],[Care Assistant 1: Numbers employed (Full Time Equivalent)]],0),"")</f>
        <v>98</v>
      </c>
      <c r="NW32" s="30">
        <f>IFERROR(IF(AVERAGE(DATA[[#This Row],[Care Assistant 2: Current 2021/22 Minimum hourly pay rate ADJUSTED]],DATA[[#This Row],[Care Assistant 2: Current 2021/22 Maximum hourly pay rate ADJUSTED]])&lt;REAL_LIVING_WAGE_22_23,DATA[[#This Row],[Care Assistant 2: Numbers employed (Full Time Equivalent)]],0),"")</f>
        <v>6</v>
      </c>
      <c r="NX32"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32"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32"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32"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32" s="30">
        <f>IFERROR(IF(AVERAGE(DATA[[#This Row],[Other staff 1: Current 2021/22 Minimum hourly pay rate ADJUSTED]],DATA[[#This Row],[Other staff 1: Current 2021/22 Maximum hourly pay rate ADJUSTED]])&lt;REAL_LIVING_WAGE_22_23,DATA[[#This Row],[Other staff 1: Numbers employed (Full Time Equivalent)]],0),"")</f>
        <v>0</v>
      </c>
      <c r="OC32" s="30">
        <f>IFERROR(IF(AVERAGE(DATA[[#This Row],[Other staff 2: Current 2021/22 Minimum hourly pay rate ADJUSTED]],DATA[[#This Row],[Other staff 2: Current 2021/22 Maximum hourly pay rate ADJUSTED]])&lt;REAL_LIVING_WAGE_22_23,DATA[[#This Row],[Other staff 2: Numbers employed (Full Time Equivalent)]],0),"")</f>
        <v>1</v>
      </c>
      <c r="OD32" s="30" t="str">
        <f>IFERROR(IF(AVERAGE(DATA[[#This Row],[Other staff 3: Current 2021/22 Minimum hourly pay rate ADJUSTED]],DATA[[#This Row],[Other staff 3: Current 2021/22 Maximum hourly pay rate ADJUSTED]])&lt;REAL_LIVING_WAGE_22_23,DATA[[#This Row],[Other staff 3: Numbers employed (Full Time Equivalent)]],0),"")</f>
        <v/>
      </c>
      <c r="OE32" s="30">
        <f>SUM(DATA[[#This Row],[Registered Manager FTE earning less than RLW 23yrs 2022/23]:[Other staff 3 FTE earning less than RLW 23yrs 2022/23]])</f>
        <v>106</v>
      </c>
      <c r="OF32"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2"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32"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32"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32"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32"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97.020000000000024</v>
      </c>
      <c r="OL32"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2.4000000000000021</v>
      </c>
      <c r="OM32"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32"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32"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0.28000000000000114</v>
      </c>
      <c r="OP32"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32"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32"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0.76999999999999957</v>
      </c>
      <c r="OS32"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32" s="30">
        <f>IFERROR(IF(DATA[[#This Row],[Registered manager: Numbers employed (Full Time Equivalent)]]=0,"",DATA[[#This Row],[Registered manager: Current 2021/22 Minimum hourly pay rate ADJUSTED 2]]*DATA[[#This Row],[Registered manager: Numbers employed (Full Time Equivalent)]]),"")</f>
        <v>19.23</v>
      </c>
      <c r="OU32" s="30">
        <f>IFERROR(IF(DATA[[#This Row],[Registered manager: Numbers employed (Full Time Equivalent)]]=0,"",DATA[[#This Row],[Registered manager: Current 2021/22 Maximum hourly pay rate ADJUSTED 2]]*DATA[[#This Row],[Registered manager: Numbers employed (Full Time Equivalent)]]),"")</f>
        <v>19.23</v>
      </c>
      <c r="OV32" s="30">
        <f>IFERROR(IF(DATA[[#This Row],[Registered manager: Numbers employed (Full Time Equivalent)]]=0,"",DATA[[#This Row],[Registered manager: Previous 2020/21 Minimum hourly pay rate ADJUSTED 2]]*DATA[[#This Row],[Registered manager: Numbers employed (Full Time Equivalent)]]),"")</f>
        <v>19.23</v>
      </c>
      <c r="OW32" s="30">
        <f>IFERROR(IF(DATA[[#This Row],[Registered manager: Numbers employed (Full Time Equivalent)]]=0,"",DATA[[#This Row],[Registered manager: Previous 2020/21 Maximum hourly pay rate ADJUSTED 2]]*DATA[[#This Row],[Registered manager: Numbers employed (Full Time Equivalent)]]),"")</f>
        <v>19.23</v>
      </c>
      <c r="OX32" s="30">
        <f>IFERROR(IF(DATA[[#This Row],[Deputy manager: Numbers employed (Full Time Equivalent)]]=0,"",DATA[[#This Row],[Deputy manager: Current 2021/22 Minimum hourly pay rate ADJUSTED 2]]*DATA[[#This Row],[Deputy manager: Numbers employed (Full Time Equivalent)]]),"")</f>
        <v>14.42</v>
      </c>
      <c r="OY32" s="30">
        <f>IFERROR(IF(DATA[[#This Row],[Deputy manager: Numbers employed (Full Time Equivalent)]]=0,"",DATA[[#This Row],[Deputy manager: Current 2021/22 Maximum hourly pay rate ADJUSTED 2]]*DATA[[#This Row],[Deputy manager: Numbers employed (Full Time Equivalent)]]),"")</f>
        <v>14.42</v>
      </c>
      <c r="OZ32" s="30">
        <f>IFERROR(IF(DATA[[#This Row],[Deputy manager: Numbers employed (Full Time Equivalent)]]=0,"",DATA[[#This Row],[Deputy manager: Previous 2020/21 Minimum hourly pay rate ADJUSTED 2]]*DATA[[#This Row],[Deputy manager: Numbers employed (Full Time Equivalent)]]),"")</f>
        <v>14.42</v>
      </c>
      <c r="PA32" s="30">
        <f>IFERROR(IF(DATA[[#This Row],[Deputy manager: Numbers employed (Full Time Equivalent)]]=0,"",DATA[[#This Row],[Deputy manager: Previous 2020/21 Maximum hourly pay rate ADJUSTED 2]]*DATA[[#This Row],[Deputy manager: Numbers employed (Full Time Equivalent)]]),"")</f>
        <v>14.42</v>
      </c>
      <c r="PB32" s="30">
        <f>IFERROR(IF(DATA[[#This Row],[Other manager 1: Numbers employed (Full Time Equivalent)]]=0,"",DATA[[#This Row],[Other manager 1: Current 2021/22 Minimum hourly pay rate ADJUSTED 2]]*DATA[[#This Row],[Other manager 1: Numbers employed (Full Time Equivalent)]]),"")</f>
        <v>14.42</v>
      </c>
      <c r="PC32" s="30">
        <f>IFERROR(IF(DATA[[#This Row],[Other manager 1: Numbers employed (Full Time Equivalent)]]=0,"",DATA[[#This Row],[Other manager 1: Current 2021/22 Maximum hourly pay rate ADJUSTED 2]]*DATA[[#This Row],[Other manager 1: Numbers employed (Full Time Equivalent)]]),"")</f>
        <v>14.42</v>
      </c>
      <c r="PD32" s="30">
        <f>IFERROR(IF(DATA[[#This Row],[Other manager 1: Numbers employed (Full Time Equivalent)]]=0,"",DATA[[#This Row],[Other manager 1: Previous 2020/21 Minimum hourly pay rate ADJUSTED 2]]*DATA[[#This Row],[Other manager 1: Numbers employed (Full Time Equivalent)]]),"")</f>
        <v>14.42</v>
      </c>
      <c r="PE32" s="30">
        <f>IFERROR(IF(DATA[[#This Row],[Other manager 1: Numbers employed (Full Time Equivalent)]]=0,"",DATA[[#This Row],[Other manager 1: Previous 2020/21 Maximum hourly pay rate ADJUSTED 2]]*DATA[[#This Row],[Other manager 1: Numbers employed (Full Time Equivalent)]]),"")</f>
        <v>14.42</v>
      </c>
      <c r="PF32" s="30">
        <f>IFERROR(IF(DATA[[#This Row],[Other manager 2: Numbers employed (Full Time Equivalent)]]=0,"",DATA[[#This Row],[Other manager 2: Current 2021/22 Minimum hourly pay rate ADJUSTED 2]]*DATA[[#This Row],[Other manager 2: Numbers employed (Full Time Equivalent)]]),"")</f>
        <v>12.02</v>
      </c>
      <c r="PG32" s="30">
        <f>IFERROR(IF(DATA[[#This Row],[Other manager 2: Numbers employed (Full Time Equivalent)]]=0,"",DATA[[#This Row],[Other manager 2: Current 2021/22 Maximum hourly pay rate ADJUSTED 2]]*DATA[[#This Row],[Other manager 2: Numbers employed (Full Time Equivalent)]]),"")</f>
        <v>12.02</v>
      </c>
      <c r="PH32" s="30">
        <f>IFERROR(IF(DATA[[#This Row],[Other manager 2: Numbers employed (Full Time Equivalent)]]=0,"",DATA[[#This Row],[Other manager 2: Previous 2020/21 Minimum hourly pay rate ADJUSTED 2]]*DATA[[#This Row],[Other manager 2: Numbers employed (Full Time Equivalent)]]),"")</f>
        <v>12.02</v>
      </c>
      <c r="PI32" s="30">
        <f>IFERROR(IF(DATA[[#This Row],[Other manager 2: Numbers employed (Full Time Equivalent)]]=0,"",DATA[[#This Row],[Other manager 2: Previous 2020/21 Maximum hourly pay rate ADJUSTED 2]]*DATA[[#This Row],[Other manager 2: Numbers employed (Full Time Equivalent)]]),"")</f>
        <v>12.02</v>
      </c>
      <c r="PJ32" s="30">
        <f>IFERROR(IF(DATA[[#This Row],[Other manager 3: Numbers employed (Full Time Equivalent)]]=0,"",DATA[[#This Row],[Other manager 3: Current 2021/22 Minimum hourly pay rate ADJUSTED 2]]*DATA[[#This Row],[Other manager 3: Numbers employed (Full Time Equivalent)]]),"")</f>
        <v>28.85</v>
      </c>
      <c r="PK32" s="30">
        <f>IFERROR(IF(DATA[[#This Row],[Other manager 3: Numbers employed (Full Time Equivalent)]]=0,"",DATA[[#This Row],[Other manager 3: Current 2021/22 Maximum hourly pay rate ADJUSTED 2]]*DATA[[#This Row],[Other manager 3: Numbers employed (Full Time Equivalent)]]),"")</f>
        <v>28.85</v>
      </c>
      <c r="PL32" s="30">
        <f>IFERROR(IF(DATA[[#This Row],[Other manager 3: Numbers employed (Full Time Equivalent)]]=0,"",DATA[[#This Row],[Other manager 3: Previous 2020/21 Minimum hourly pay rate ADJUSTED 2]]*DATA[[#This Row],[Other manager 3: Numbers employed (Full Time Equivalent)]]),"")</f>
        <v>28.85</v>
      </c>
      <c r="PM32" s="30">
        <f>IFERROR(IF(DATA[[#This Row],[Other manager 3: Numbers employed (Full Time Equivalent)]]=0,"",DATA[[#This Row],[Other manager 3: Previous 2020/21 Maximum hourly pay rate ADJUSTED 2]]*DATA[[#This Row],[Other manager 3: Numbers employed (Full Time Equivalent)]]),"")</f>
        <v>28.85</v>
      </c>
      <c r="PN32" s="30">
        <f>IFERROR(IF(DATA[[#This Row],[Care Assistant 1: Numbers employed (Full Time Equivalent)]]=0,"",DATA[[#This Row],[Care Assistant 1: Current 2021/22 Minimum hourly pay rate ADJUSTED 2]]*DATA[[#This Row],[Care Assistant 1: Numbers employed (Full Time Equivalent)]]),"")</f>
        <v>873.18000000000006</v>
      </c>
      <c r="PO32" s="30">
        <f>IFERROR(IF(DATA[[#This Row],[Care Assistant 1: Numbers employed (Full Time Equivalent)]]=0,"",DATA[[#This Row],[Care Assistant 1: Current 2021/22 Maximum hourly pay rate ADJUSTED 2]]*DATA[[#This Row],[Care Assistant 1: Numbers employed (Full Time Equivalent)]]),"")</f>
        <v>873.18000000000006</v>
      </c>
      <c r="PP32" s="30">
        <f>IFERROR(IF(DATA[[#This Row],[Care Assistant 1: Numbers employed (Full Time Equivalent)]]=0,"",DATA[[#This Row],[Care Assistant 1: Previous 2020/21 Minimum hourly pay rate ADJUSTED 2]]*DATA[[#This Row],[Care Assistant 1: Numbers employed (Full Time Equivalent)]]),"")</f>
        <v>873.18000000000006</v>
      </c>
      <c r="PQ32" s="30">
        <f>IFERROR(IF(DATA[[#This Row],[Care Assistant 1: Numbers employed (Full Time Equivalent)]]=0,"",DATA[[#This Row],[Care Assistant 1: Previous 2020/21 Maximum hourly pay rate ADJUSTED 2]]*DATA[[#This Row],[Care Assistant 1: Numbers employed (Full Time Equivalent)]]),"")</f>
        <v>873.18000000000006</v>
      </c>
      <c r="PR32" s="30">
        <f>IFERROR(IF(DATA[[#This Row],[Care Assistant 2: Numbers employed (Full Time Equivalent)]]=0,"",DATA[[#This Row],[Care Assistant 2: Current 2021/22 Minimum hourly pay rate ADJUSTED 2]]*DATA[[#This Row],[Care Assistant 2: Numbers employed (Full Time Equivalent)]]),"")</f>
        <v>57</v>
      </c>
      <c r="PS32" s="30">
        <f>IFERROR(IF(DATA[[#This Row],[Care Assistant 2: Numbers employed (Full Time Equivalent)]]=0,"",DATA[[#This Row],[Care Assistant 2: Current 2021/22 Maximum hourly pay rate ADJUSTED 2]]*DATA[[#This Row],[Care Assistant 2: Numbers employed (Full Time Equivalent)]]),"")</f>
        <v>57</v>
      </c>
      <c r="PT32" s="30">
        <f>IFERROR(IF(DATA[[#This Row],[Care Assistant 2: Numbers employed (Full Time Equivalent)]]=0,"",DATA[[#This Row],[Care Assistant 2: Previous 2020/21 Minimum hourly pay rate ADJUSTED 2]]*DATA[[#This Row],[Care Assistant 2: Numbers employed (Full Time Equivalent)]]),"")</f>
        <v>57</v>
      </c>
      <c r="PU32" s="30">
        <f>IFERROR(IF(DATA[[#This Row],[Care Assistant 2: Numbers employed (Full Time Equivalent)]]=0,"",DATA[[#This Row],[Care Assistant 2: Previous 2020/21 Maximum hourly pay rate ADJUSTED 2]]*DATA[[#This Row],[Care Assistant 2: Numbers employed (Full Time Equivalent)]]),"")</f>
        <v>57</v>
      </c>
      <c r="PV32" s="30" t="str">
        <f>IFERROR(IF(DATA[[#This Row],[Care Assistant 3: Numbers employed (Full Time Equivalent)]]=0,"",DATA[[#This Row],[Care Assistant 3: Current 2021/22 Minimum hourly pay rate ADJUSTED 2]]*DATA[[#This Row],[Care Assistant 3: Numbers employed (Full Time Equivalent)]]),"")</f>
        <v/>
      </c>
      <c r="PW32" s="30" t="str">
        <f>IFERROR(IF(DATA[[#This Row],[Care Assistant 3: Numbers employed (Full Time Equivalent)]]=0,"",DATA[[#This Row],[Care Assistant 3: Current 2021/22 Maximum hourly pay rate ADJUSTED 2]]*DATA[[#This Row],[Care Assistant 3: Numbers employed (Full Time Equivalent)]]),"")</f>
        <v/>
      </c>
      <c r="PX32" s="30" t="str">
        <f>IFERROR(IF(DATA[[#This Row],[Care Assistant 3: Numbers employed (Full Time Equivalent)]]=0,"",DATA[[#This Row],[Care Assistant 3: Previous 2020/21 Minimum hourly pay rate ADJUSTED 2]]*DATA[[#This Row],[Care Assistant 3: Numbers employed (Full Time Equivalent)]]),"")</f>
        <v/>
      </c>
      <c r="PY32" s="30" t="str">
        <f>IFERROR(IF(DATA[[#This Row],[Care Assistant 3: Numbers employed (Full Time Equivalent)]]=0,"",DATA[[#This Row],[Care Assistant 3: Previous 2020/21 Maximum hourly pay rate ADJUSTED 2]]*DATA[[#This Row],[Care Assistant 3: Numbers employed (Full Time Equivalent)]]),"")</f>
        <v/>
      </c>
      <c r="PZ32" s="30" t="str">
        <f>IFERROR(IF(DATA[[#This Row],[Care Assistant 4: Numbers employed (Full Time Equivalent)]]=0,"",DATA[[#This Row],[Care Assistant 4: Current 2021/22 Minimum hourly pay rate ADJUSTED 2]]*DATA[[#This Row],[Care Assistant 4: Numbers employed (Full Time Equivalent)]]),"")</f>
        <v/>
      </c>
      <c r="QA32" s="30" t="str">
        <f>IFERROR(IF(DATA[[#This Row],[Care Assistant 4: Numbers employed (Full Time Equivalent)]]=0,"",DATA[[#This Row],[Care Assistant 4: Current 2021/22 Maximum hourly pay rate ADJUSTED 2]]*DATA[[#This Row],[Care Assistant 4: Numbers employed (Full Time Equivalent)]]),"")</f>
        <v/>
      </c>
      <c r="QB32" s="30" t="str">
        <f>IFERROR(IF(DATA[[#This Row],[Care Assistant 4: Numbers employed (Full Time Equivalent)]]=0,"",DATA[[#This Row],[Care Assistant 4: Previous 2020/21 Minimum hourly pay rate ADJUSTED 2]]*DATA[[#This Row],[Care Assistant 4: Numbers employed (Full Time Equivalent)]]),"")</f>
        <v/>
      </c>
      <c r="QC32" s="30" t="str">
        <f>IFERROR(IF(DATA[[#This Row],[Care Assistant 4: Numbers employed (Full Time Equivalent)]]=0,"",DATA[[#This Row],[Care Assistant 4: Previous 2020/21 Maximum hourly pay rate ADJUSTED 2]]*DATA[[#This Row],[Care Assistant 4: Numbers employed (Full Time Equivalent)]]),"")</f>
        <v/>
      </c>
      <c r="QD32" s="30">
        <f>IFERROR(IF(DATA[[#This Row],[Administrative Officer 1: Numbers employed (Full Time Equivalent)]]=0,"",DATA[[#This Row],[Administrative Officer 1: Current 2021/22 Minimum hourly pay rate ADJUSTED 2]]*DATA[[#This Row],[Administrative Officer 1: Numbers employed (Full Time Equivalent)]]),"")</f>
        <v>9.6199999999999992</v>
      </c>
      <c r="QE32" s="30">
        <f>IFERROR(IF(DATA[[#This Row],[Administrative Officer 1: Numbers employed (Full Time Equivalent)]]=0,"",DATA[[#This Row],[Administrative Officer 1: Current 2021/22 Maximum hourly pay rate ADJUSTED 2]]*DATA[[#This Row],[Administrative Officer 1: Numbers employed (Full Time Equivalent)]]),"")</f>
        <v>9.6199999999999992</v>
      </c>
      <c r="QF32" s="30">
        <f>IFERROR(IF(DATA[[#This Row],[Administrative Officer 1: Numbers employed (Full Time Equivalent)]]=0,"",DATA[[#This Row],[Administrative Officer 1: Previous 2020/21 Minimum hourly pay rate ADJUSTED 2]]*DATA[[#This Row],[Administrative Officer 1: Numbers employed (Full Time Equivalent)]]),"")</f>
        <v>9.6199999999999992</v>
      </c>
      <c r="QG32" s="30">
        <f>IFERROR(IF(DATA[[#This Row],[Administrative Officer 1: Numbers employed (Full Time Equivalent)]]=0,"",DATA[[#This Row],[Administrative Officer 1: Previous 2020/21 Maximum hourly pay rate ADJUSTED 2]]*DATA[[#This Row],[Administrative Officer 1: Numbers employed (Full Time Equivalent)]]),"")</f>
        <v>9.6199999999999992</v>
      </c>
      <c r="QH32" s="30">
        <f>IFERROR(IF(DATA[[#This Row],[Administrative Officer 2: Numbers employed (Full Time Equivalent)]]=0,"",DATA[[#This Row],[Administrative Officer 2: Current 2021/22 Minimum hourly pay rate ADJUSTED 2]]*DATA[[#This Row],[Administrative Officer 2: Numbers employed (Full Time Equivalent)]]),"")</f>
        <v>33.18</v>
      </c>
      <c r="QI32" s="30">
        <f>IFERROR(IF(DATA[[#This Row],[Administrative Officer 2: Numbers employed (Full Time Equivalent)]]=0,"",DATA[[#This Row],[Administrative Officer 2: Current 2021/22 Maximum hourly pay rate ADJUSTED 2]]*DATA[[#This Row],[Administrative Officer 2: Numbers employed (Full Time Equivalent)]]),"")</f>
        <v>33.18</v>
      </c>
      <c r="QJ32" s="30">
        <f>IFERROR(IF(DATA[[#This Row],[Administrative Officer 2: Numbers employed (Full Time Equivalent)]]=0,"",DATA[[#This Row],[Administrative Officer 2: Previous 2020/21 Minimum hourly pay rate ADJUSTED 2]]*DATA[[#This Row],[Administrative Officer 2: Numbers employed (Full Time Equivalent)]]),"")</f>
        <v>33.18</v>
      </c>
      <c r="QK32" s="30">
        <f>IFERROR(IF(DATA[[#This Row],[Administrative Officer 2: Numbers employed (Full Time Equivalent)]]=0,"",DATA[[#This Row],[Administrative Officer 2: Previous 2020/21 Maximum hourly pay rate ADJUSTED 2]]*DATA[[#This Row],[Administrative Officer 2: Numbers employed (Full Time Equivalent)]]),"")</f>
        <v>33.18</v>
      </c>
      <c r="QL32" s="30">
        <f>IFERROR(IF(DATA[[#This Row],[Administrative Officer 3: Numbers employed (Full Time Equivalent)]]=0,"",DATA[[#This Row],[Administrative Officer 3: Current 2021/22 Minimum hourly pay rate ADJUSTED 2]]*DATA[[#This Row],[Administrative Officer 3: Numbers employed (Full Time Equivalent)]]),"")</f>
        <v>11.06</v>
      </c>
      <c r="QM32" s="30">
        <f>IFERROR(IF(DATA[[#This Row],[Administrative Officer 3: Numbers employed (Full Time Equivalent)]]=0,"",DATA[[#This Row],[Administrative Officer 3: Current 2021/22 Maximum hourly pay rate ADJUSTED 2]]*DATA[[#This Row],[Administrative Officer 3: Numbers employed (Full Time Equivalent)]]),"")</f>
        <v>11.06</v>
      </c>
      <c r="QN32" s="30">
        <f>IFERROR(IF(DATA[[#This Row],[Administrative Officer 3: Numbers employed (Full Time Equivalent)]]=0,"",DATA[[#This Row],[Administrative Officer 3: Previous 2020/21 Minimum hourly pay rate ADJUSTED 2]]*DATA[[#This Row],[Administrative Officer 3: Numbers employed (Full Time Equivalent)]]),"")</f>
        <v>11.06</v>
      </c>
      <c r="QO32" s="30">
        <f>IFERROR(IF(DATA[[#This Row],[Administrative Officer 3: Numbers employed (Full Time Equivalent)]]=0,"",DATA[[#This Row],[Administrative Officer 3: Previous 2020/21 Maximum hourly pay rate ADJUSTED 2]]*DATA[[#This Row],[Administrative Officer 3: Numbers employed (Full Time Equivalent)]]),"")</f>
        <v>11.06</v>
      </c>
      <c r="QP32" s="28">
        <f>IFERROR(IF(DATA[[#This Row],[Other staff 1: Numbers employed (Full Time Equivalent)]]=0,"",DATA[[#This Row],[Other staff 1: Current 2021/22 Minimum hourly pay rate ADJUSTED 2]]*DATA[[#This Row],[Other staff 1: Numbers employed (Full Time Equivalent)]]),"")</f>
        <v>12.02</v>
      </c>
      <c r="QQ32" s="28">
        <f>IFERROR(IF(DATA[[#This Row],[Other staff 1: Numbers employed (Full Time Equivalent)]]=0,"",DATA[[#This Row],[Other staff 1: Current 2021/22 Maximum hourly pay rate ADJUSTED 2]]*DATA[[#This Row],[Other staff 1: Numbers employed (Full Time Equivalent)]]),"")</f>
        <v>12.02</v>
      </c>
      <c r="QR32" s="28">
        <f>IFERROR(IF(DATA[[#This Row],[Other staff 1: Numbers employed (Full Time Equivalent)]]=0,"",DATA[[#This Row],[Other staff 1: Previous 2020/21 Minimum hourly pay rate ADJUSTED 2]]*DATA[[#This Row],[Other staff 1: Numbers employed (Full Time Equivalent)]]),"")</f>
        <v>12.02</v>
      </c>
      <c r="QS32" s="28">
        <f>IFERROR(IF(DATA[[#This Row],[Other staff 1: Numbers employed (Full Time Equivalent)]]=0,"",DATA[[#This Row],[Other staff 1: Previous 2020/21 Maximum hourly pay rate ADJUSTED 2]]*DATA[[#This Row],[Other staff 1: Numbers employed (Full Time Equivalent)]]),"")</f>
        <v>12.02</v>
      </c>
      <c r="QT32" s="28">
        <f>IFERROR(IF(DATA[[#This Row],[Other staff 2: Numbers employed (Full Time Equivalent)]]=0,"",DATA[[#This Row],[Other staff 2: Current 2021/22 Minimum hourly pay rate ADJUSTED 2]]*DATA[[#This Row],[Other staff 2: Numbers employed (Full Time Equivalent)]]),"")</f>
        <v>9.1300000000000008</v>
      </c>
      <c r="QU32" s="28">
        <f>IFERROR(IF(DATA[[#This Row],[Other staff 2: Numbers employed (Full Time Equivalent)]]=0,"",DATA[[#This Row],[Other staff 2: Current 2021/22 Maximum hourly pay rate ADJUSTED 2]]*DATA[[#This Row],[Other staff 2: Numbers employed (Full Time Equivalent)]]),"")</f>
        <v>9.1300000000000008</v>
      </c>
      <c r="QV32" s="28">
        <f>IFERROR(IF(DATA[[#This Row],[Other staff 2: Numbers employed (Full Time Equivalent)]]=0,"",DATA[[#This Row],[Other staff 2: Previous 2020/21 Minimum hourly pay rate ADJUSTED 2]]*DATA[[#This Row],[Other staff 2: Numbers employed (Full Time Equivalent)]]),"")</f>
        <v>9.1300000000000008</v>
      </c>
      <c r="QW32" s="28">
        <f>IFERROR(IF(DATA[[#This Row],[Other staff 2: Numbers employed (Full Time Equivalent)]]=0,"",DATA[[#This Row],[Other staff 2: Previous 2020/21 Maximum hourly pay rate ADJUSTED 2]]*DATA[[#This Row],[Other staff 2: Numbers employed (Full Time Equivalent)]]),"")</f>
        <v>9.1300000000000008</v>
      </c>
      <c r="QX32" s="28" t="str">
        <f>IFERROR(IF(DATA[[#This Row],[Other staff 3: Numbers employed (Full Time Equivalent)]]=0,"",DATA[[#This Row],[Other staff 3: Current 2021/22 Minimum hourly pay rate ADJUSTED 2]]*DATA[[#This Row],[Other staff 3: Numbers employed (Full Time Equivalent)]]),"")</f>
        <v/>
      </c>
      <c r="QY32" s="28" t="str">
        <f>IFERROR(IF(DATA[[#This Row],[Other staff 3: Numbers employed (Full Time Equivalent)]]=0,"",DATA[[#This Row],[Other staff 3: Current 2021/22 Maximum hourly pay rate ADJUSTED 2]]*DATA[[#This Row],[Other staff 3: Numbers employed (Full Time Equivalent)]]),"")</f>
        <v/>
      </c>
      <c r="QZ32" s="28" t="str">
        <f>IFERROR(IF(DATA[[#This Row],[Other staff 3: Numbers employed (Full Time Equivalent)]]=0,"",DATA[[#This Row],[Other staff 3: Previous 2020/21 Minimum hourly pay rate ADJUSTED 2]]*DATA[[#This Row],[Other staff 3: Numbers employed (Full Time Equivalent)]]),"")</f>
        <v/>
      </c>
      <c r="RA32" s="28" t="str">
        <f>IFERROR(IF(DATA[[#This Row],[Other staff 3: Numbers employed (Full Time Equivalent)]]=0,"",DATA[[#This Row],[Other staff 3: Previous 2020/21 Maximum hourly pay rate ADJUSTED 2]]*DATA[[#This Row],[Other staff 3: Numbers employed (Full Time Equivalent)]]),"")</f>
        <v/>
      </c>
      <c r="RB32"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32"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32"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32"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32"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1</v>
      </c>
      <c r="RG32"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98</v>
      </c>
      <c r="RH32"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6</v>
      </c>
      <c r="RI32"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32"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32"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32"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3</v>
      </c>
      <c r="RM32"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1</v>
      </c>
      <c r="RN32"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32"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1</v>
      </c>
      <c r="RP32"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3" spans="7:484" x14ac:dyDescent="0.25">
      <c r="G33" s="2">
        <v>27</v>
      </c>
      <c r="H33" s="2">
        <v>18</v>
      </c>
      <c r="I33" s="2">
        <v>1</v>
      </c>
      <c r="J33" s="2">
        <v>0.9</v>
      </c>
      <c r="K33" s="2">
        <v>0.1</v>
      </c>
      <c r="L33" s="2" t="s">
        <v>328</v>
      </c>
      <c r="M33" s="2" t="s">
        <v>365</v>
      </c>
      <c r="R33" s="2">
        <v>9</v>
      </c>
      <c r="S33" s="2">
        <v>11</v>
      </c>
      <c r="T33" s="2">
        <v>8.2899999999999991</v>
      </c>
      <c r="U33" s="2">
        <v>9</v>
      </c>
      <c r="V33" s="2">
        <v>2</v>
      </c>
      <c r="W33" s="2">
        <v>9</v>
      </c>
      <c r="X33" s="2">
        <v>11</v>
      </c>
      <c r="Y33" s="2">
        <v>8.1999999999999993</v>
      </c>
      <c r="Z33" s="2">
        <v>9</v>
      </c>
      <c r="AA33" s="2">
        <v>0</v>
      </c>
      <c r="AB33" s="2" t="s">
        <v>315</v>
      </c>
      <c r="AC33" s="2">
        <v>0</v>
      </c>
      <c r="AD33" s="2">
        <v>0</v>
      </c>
      <c r="AE33" s="2">
        <v>0</v>
      </c>
      <c r="AF33" s="2">
        <v>0</v>
      </c>
      <c r="AG33" s="2">
        <v>0</v>
      </c>
      <c r="AH33" s="2" t="s">
        <v>315</v>
      </c>
      <c r="AI33" s="2">
        <v>0</v>
      </c>
      <c r="AJ33" s="2">
        <v>0</v>
      </c>
      <c r="AK33" s="2">
        <v>0</v>
      </c>
      <c r="AL33" s="2">
        <v>0</v>
      </c>
      <c r="AM33" s="2">
        <v>0</v>
      </c>
      <c r="AN33" s="2" t="s">
        <v>315</v>
      </c>
      <c r="AO33" s="2">
        <v>0</v>
      </c>
      <c r="AP33" s="2">
        <v>0</v>
      </c>
      <c r="AQ33" s="2">
        <v>0</v>
      </c>
      <c r="AR33" s="2">
        <v>0</v>
      </c>
      <c r="AS33" s="2">
        <v>0</v>
      </c>
      <c r="AT33" s="2" t="s">
        <v>454</v>
      </c>
      <c r="AU33" s="2">
        <v>8.5</v>
      </c>
      <c r="AV33" s="2">
        <v>11</v>
      </c>
      <c r="AW33" s="2">
        <v>8.5</v>
      </c>
      <c r="AX33" s="2">
        <v>9</v>
      </c>
      <c r="AY33" s="2">
        <v>3</v>
      </c>
      <c r="AZ33" s="2" t="s">
        <v>455</v>
      </c>
      <c r="BA33" s="2">
        <v>9</v>
      </c>
      <c r="BB33" s="2">
        <v>11.5</v>
      </c>
      <c r="BC33" s="2">
        <v>9</v>
      </c>
      <c r="BD33" s="2">
        <v>10.5</v>
      </c>
      <c r="BE33" s="2">
        <v>5</v>
      </c>
      <c r="BF33" s="2" t="s">
        <v>456</v>
      </c>
      <c r="BG33" s="2">
        <v>11</v>
      </c>
      <c r="BH33" s="2">
        <v>12</v>
      </c>
      <c r="BI33" s="2">
        <v>0</v>
      </c>
      <c r="BJ33" s="2">
        <v>0</v>
      </c>
      <c r="BK33" s="2">
        <v>2</v>
      </c>
      <c r="BL33" s="2" t="s">
        <v>316</v>
      </c>
      <c r="BM33" s="2">
        <v>0</v>
      </c>
      <c r="BN33" s="2">
        <v>0</v>
      </c>
      <c r="BO33" s="2">
        <v>0</v>
      </c>
      <c r="BP33" s="2">
        <v>0</v>
      </c>
      <c r="BQ33" s="2">
        <v>0</v>
      </c>
      <c r="BR33" s="2" t="s">
        <v>317</v>
      </c>
      <c r="BS33" s="2">
        <v>8.75</v>
      </c>
      <c r="BT33" s="2">
        <v>9.5</v>
      </c>
      <c r="BU33" s="2">
        <v>0</v>
      </c>
      <c r="BV33" s="2">
        <v>0</v>
      </c>
      <c r="BW33" s="2">
        <v>0</v>
      </c>
      <c r="BX33" s="2" t="s">
        <v>317</v>
      </c>
      <c r="BY33" s="2">
        <v>0</v>
      </c>
      <c r="BZ33" s="2">
        <v>0</v>
      </c>
      <c r="CA33" s="2">
        <v>0</v>
      </c>
      <c r="CB33" s="2">
        <v>0</v>
      </c>
      <c r="CC33" s="2">
        <v>0</v>
      </c>
      <c r="CD33" s="2" t="s">
        <v>317</v>
      </c>
      <c r="CE33" s="2">
        <v>0</v>
      </c>
      <c r="CF33" s="2">
        <v>0</v>
      </c>
      <c r="CG33" s="2">
        <v>0</v>
      </c>
      <c r="CH33" s="2">
        <v>0</v>
      </c>
      <c r="CI33" s="2">
        <v>0</v>
      </c>
      <c r="CJ33" s="2" t="s">
        <v>318</v>
      </c>
      <c r="CK33" s="2">
        <v>0</v>
      </c>
      <c r="CL33" s="2">
        <v>0</v>
      </c>
      <c r="CM33" s="2">
        <v>0</v>
      </c>
      <c r="CN33" s="2">
        <v>0</v>
      </c>
      <c r="CO33" s="2">
        <v>0</v>
      </c>
      <c r="CP33" s="2" t="s">
        <v>318</v>
      </c>
      <c r="CQ33" s="2">
        <v>0</v>
      </c>
      <c r="CR33" s="2">
        <v>0</v>
      </c>
      <c r="CS33" s="2">
        <v>0</v>
      </c>
      <c r="CT33" s="2">
        <v>0</v>
      </c>
      <c r="CU33" s="2">
        <v>0</v>
      </c>
      <c r="CV33" s="2" t="s">
        <v>318</v>
      </c>
      <c r="CW33" s="2">
        <v>0</v>
      </c>
      <c r="CX33" s="2">
        <v>0</v>
      </c>
      <c r="CY33" s="2">
        <v>0</v>
      </c>
      <c r="CZ33" s="2">
        <v>0</v>
      </c>
      <c r="DA33" s="2">
        <v>0</v>
      </c>
      <c r="DB33" s="2">
        <v>0.14380000000000001</v>
      </c>
      <c r="DC33" s="2">
        <v>0</v>
      </c>
      <c r="DD33" s="2">
        <v>0</v>
      </c>
      <c r="DE33" s="2">
        <v>450</v>
      </c>
      <c r="DF33" s="2">
        <v>0</v>
      </c>
      <c r="DG33" s="2">
        <v>100</v>
      </c>
      <c r="DH33" s="2">
        <v>0</v>
      </c>
      <c r="DI33" s="2">
        <v>0</v>
      </c>
      <c r="DJ33" s="2">
        <v>0</v>
      </c>
      <c r="DK33" s="2">
        <v>0</v>
      </c>
      <c r="DL33" s="2">
        <v>0</v>
      </c>
      <c r="DM33" s="2">
        <v>0</v>
      </c>
      <c r="DN33" s="2">
        <v>0</v>
      </c>
      <c r="DO33" s="2">
        <v>15.58</v>
      </c>
      <c r="DP33" s="2">
        <v>15.58</v>
      </c>
      <c r="DQ33" s="2">
        <v>17</v>
      </c>
      <c r="DR33" s="18">
        <v>43647</v>
      </c>
      <c r="DS33" s="18">
        <v>44043</v>
      </c>
      <c r="DT33" s="2">
        <v>224000</v>
      </c>
      <c r="DU33" s="2">
        <v>5000</v>
      </c>
      <c r="DV33" s="2">
        <v>140000</v>
      </c>
      <c r="DW33" s="2">
        <v>9000</v>
      </c>
      <c r="DX33" s="2">
        <v>0</v>
      </c>
      <c r="DY33" s="2">
        <v>0</v>
      </c>
      <c r="DZ33" s="2">
        <v>3000</v>
      </c>
      <c r="EA33" s="2">
        <v>2000</v>
      </c>
      <c r="EB33" s="2">
        <v>8000</v>
      </c>
      <c r="EC33" s="2">
        <v>2400</v>
      </c>
      <c r="ED33" s="2">
        <v>6000</v>
      </c>
      <c r="EE33" s="2">
        <v>10000</v>
      </c>
      <c r="EF33" s="2">
        <v>1500</v>
      </c>
      <c r="EG33" s="2">
        <v>1200</v>
      </c>
      <c r="EH33" s="2" t="s">
        <v>324</v>
      </c>
      <c r="EI33" s="2">
        <v>0</v>
      </c>
      <c r="EJ33" s="2" t="s">
        <v>324</v>
      </c>
      <c r="EK33" s="2">
        <v>0</v>
      </c>
      <c r="EL33" s="2">
        <v>1300</v>
      </c>
      <c r="EM33" s="2">
        <v>5000</v>
      </c>
      <c r="EN33" s="2">
        <v>500</v>
      </c>
      <c r="EO33" s="2">
        <v>4000</v>
      </c>
      <c r="EP33" s="2">
        <v>3000</v>
      </c>
      <c r="EQ33" s="2">
        <v>600</v>
      </c>
      <c r="ER33" s="2">
        <v>0</v>
      </c>
      <c r="ES33" s="2">
        <v>0</v>
      </c>
      <c r="ET33" s="2" t="s">
        <v>324</v>
      </c>
      <c r="EU33" s="2">
        <v>0</v>
      </c>
      <c r="EV33" s="2" t="s">
        <v>324</v>
      </c>
      <c r="EW33" s="2">
        <v>0</v>
      </c>
      <c r="EX33" s="2">
        <v>0</v>
      </c>
      <c r="EY33" s="2">
        <v>2000</v>
      </c>
      <c r="EZ33" s="2" t="s">
        <v>326</v>
      </c>
      <c r="FA33" s="2">
        <v>0</v>
      </c>
      <c r="FB33" s="2" t="s">
        <v>326</v>
      </c>
      <c r="FC33" s="2">
        <v>0</v>
      </c>
      <c r="FD33" s="2"/>
      <c r="FE33" s="2">
        <v>0</v>
      </c>
      <c r="FF33" s="2">
        <v>0</v>
      </c>
      <c r="FG33" s="2"/>
      <c r="FH33" s="19">
        <v>44480.624097222222</v>
      </c>
      <c r="FI33" s="2" t="s">
        <v>345</v>
      </c>
      <c r="FJ33" s="2">
        <f>SUM(DATA[[#This Row],[Number of Home support clients:]],DATA[[#This Row],[Number of supported living clients:]])</f>
        <v>19</v>
      </c>
      <c r="FK33"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33"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9</v>
      </c>
      <c r="FM33"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11</v>
      </c>
      <c r="FN33"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8.2899999999999991</v>
      </c>
      <c r="FO33"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9</v>
      </c>
      <c r="FP33"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9</v>
      </c>
      <c r="FQ33"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11</v>
      </c>
      <c r="FR33"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8.1999999999999993</v>
      </c>
      <c r="FS33"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9</v>
      </c>
      <c r="FT33"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33"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33"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33"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33"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33"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33"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33"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33"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33"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33"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33"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33"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8.5</v>
      </c>
      <c r="GG33"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11</v>
      </c>
      <c r="GH33"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8.5</v>
      </c>
      <c r="GI33"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v>
      </c>
      <c r="GJ33"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v>
      </c>
      <c r="GK33"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11.5</v>
      </c>
      <c r="GL33"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v>
      </c>
      <c r="GM33"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10.5</v>
      </c>
      <c r="GN33"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11</v>
      </c>
      <c r="GO33"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12</v>
      </c>
      <c r="GP33"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33"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33"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33"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33"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33"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33"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8.75</v>
      </c>
      <c r="GW33"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9.5</v>
      </c>
      <c r="GX33"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33"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33"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33"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33"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33"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33"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33"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33"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33"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33"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33"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33"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33"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33"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33"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33"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33"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33"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33"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33"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33"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33"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9</v>
      </c>
      <c r="HU33"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11</v>
      </c>
      <c r="HV33"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8.2899999999999991</v>
      </c>
      <c r="HW33"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9</v>
      </c>
      <c r="HX33"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9</v>
      </c>
      <c r="HY33"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11</v>
      </c>
      <c r="HZ33"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8.1999999999999993</v>
      </c>
      <c r="IA33"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9</v>
      </c>
      <c r="IB33"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33"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33"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33"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33"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33"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33"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33"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33"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33"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33"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33"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33"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8.5</v>
      </c>
      <c r="IO33"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11</v>
      </c>
      <c r="IP33"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8.5</v>
      </c>
      <c r="IQ33"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v>
      </c>
      <c r="IR33"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v>
      </c>
      <c r="IS33"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11.5</v>
      </c>
      <c r="IT33"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v>
      </c>
      <c r="IU33"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10.5</v>
      </c>
      <c r="IV33"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11</v>
      </c>
      <c r="IW33"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12</v>
      </c>
      <c r="IX33"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11</v>
      </c>
      <c r="IY33"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12</v>
      </c>
      <c r="IZ33"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33"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33"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33"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33"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8.75</v>
      </c>
      <c r="JE33"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9.5</v>
      </c>
      <c r="JF33"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8.75</v>
      </c>
      <c r="JG33"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9.5</v>
      </c>
      <c r="JH33"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33"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33"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33"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33"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33"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33"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33"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33"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33"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33"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33"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33"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33"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33"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33"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33"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33"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33"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33"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33"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33" s="21">
        <f>SUM(DATA[[#This Row],[Care Assistant 1: Numbers employed (Full Time Equivalent)]],DATA[[#This Row],[Care Assistant 2: Numbers employed (Full Time Equivalent)]],DATA[[#This Row],[Care Assistant 3: Numbers employed (Full Time Equivalent)]],DATA[[#This Row],[Care Assistant 4: Numbers employed (Full Time Equivalent)]])</f>
        <v>10</v>
      </c>
      <c r="KD33" s="21">
        <f>SUM(DATA[[#This Row],[Administrative Officer 1: Numbers employed (Full Time Equivalent)]],DATA[[#This Row],[Administrative Officer 2: Numbers employed (Full Time Equivalent)]])</f>
        <v>0</v>
      </c>
      <c r="KE33" s="21">
        <f>SUM(DATA[[#This Row],[Other staff 1: Numbers employed (Full Time Equivalent)]],DATA[[#This Row],[Other staff 2: Numbers employed (Full Time Equivalent)]],DATA[[#This Row],[Other staff 3: Numbers employed (Full Time Equivalent)]])</f>
        <v>0</v>
      </c>
      <c r="KF33" s="21">
        <f>SUM(DATA[[#This Row],[Total FTE Management Employees]:[Total FTE Other Employees]])</f>
        <v>12</v>
      </c>
      <c r="KG33" s="21" t="str">
        <f>IF(SUM(DATA[[#This Row],[Home Support service split percentage (Expenditure):]],DATA[[#This Row],[Supported Living service split percentage (Expenditure):]])&gt;0, IF(DATA[[#This Row],[Home Support service split percentage (Expenditure):]]&gt;0.5,"Home Support","Supported Living"), "Unknown")</f>
        <v>Home Support</v>
      </c>
      <c r="KH33" s="21">
        <f>SUM(DATA[[#This Row],[Home Support: Birmingham City Council]:[Home Support: Self-funded]])</f>
        <v>550</v>
      </c>
      <c r="KI33" s="21">
        <f>SUM(DATA[[#This Row],[Supported Living: Birmingham City Council]:[Supported Living: Self-funded]])</f>
        <v>0</v>
      </c>
      <c r="KJ33"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33"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33"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33"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33" s="21" t="b">
        <f>SUM(DATA[[#This Row],[Number of hours of care charged for in last full accounting year]:[Corporate Overheads: Other  - please specify (category) 1]])&gt;0</f>
        <v>1</v>
      </c>
      <c r="KO33" s="21">
        <f>SUM(DATA[[#This Row],[Total annual expenditure: Management staff]:[Total annual expenditure: Training and development]])</f>
        <v>167000</v>
      </c>
      <c r="KP33" s="21">
        <f>SUM(DATA[[#This Row],[Recruitment &amp; advertising (including DBS checks)]:[Non-Staffing Direct Cost: Other  - please specify (amount) 2]])</f>
        <v>21100</v>
      </c>
      <c r="KQ33" s="21">
        <f>SUM(DATA[[#This Row],[Insurance ]:[Indirect costs: Other 2 - please specify (amount)]])</f>
        <v>14400</v>
      </c>
      <c r="KR33" s="21">
        <f>SUM(DATA[[#This Row],[Central / Regional Management]],DATA[[#This Row],[Support Services (finance / HR / Payroll / legal etc.)]],DATA[[#This Row],[Corporate Overheads: Other  - please specify (amount) 1]],DATA[[#This Row],[Corporate Overheads: Other  - please specify (amount) 2]])</f>
        <v>2000</v>
      </c>
      <c r="KS33"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2.2321428571428572E-2</v>
      </c>
      <c r="KT33"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0.625</v>
      </c>
      <c r="KU33"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4.0178571428571432E-2</v>
      </c>
      <c r="KV33"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33"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3" s="30">
        <f>IF(OR(NOT(DATA[[#This Row],[Total annual expenditure: Travel Cost]]&gt;0),NOT(DATA[[#This Row],[Number of hours of care charged for in last full accounting year]]&gt;0)),0,DATA[[#This Row],[Total annual expenditure: Travel Cost]]/DATA[[#This Row],[Number of hours of care charged for in last full accounting year]])</f>
        <v>1.3392857142857142E-2</v>
      </c>
      <c r="KY33" s="30">
        <f>IF(OR(NOT(DATA[[#This Row],[Total annual expenditure: Travel Time]]&gt;0),NOT(DATA[[#This Row],[Number of hours of care charged for in last full accounting year]]&gt;0)),0,DATA[[#This Row],[Total annual expenditure: Travel Time]]/DATA[[#This Row],[Number of hours of care charged for in last full accounting year]])</f>
        <v>8.9285714285714281E-3</v>
      </c>
      <c r="KZ33"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3.5714285714285712E-2</v>
      </c>
      <c r="LA33"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1.0714285714285714E-2</v>
      </c>
      <c r="LB33"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2.6785714285714284E-2</v>
      </c>
      <c r="LC33" s="30">
        <f>IF(OR(NOT(DATA[[#This Row],[Care consumables &amp; uniforms]]&gt;0),NOT(DATA[[#This Row],[Number of hours of care charged for in last full accounting year]]&gt;0)),0,DATA[[#This Row],[Care consumables &amp; uniforms]]/DATA[[#This Row],[Number of hours of care charged for in last full accounting year]])</f>
        <v>4.4642857142857144E-2</v>
      </c>
      <c r="LD33" s="30">
        <f>IF(OR(NOT(DATA[[#This Row],[Electronic call monitoring]]&gt;0),NOT(DATA[[#This Row],[Number of hours of care charged for in last full accounting year]]&gt;0)),0,DATA[[#This Row],[Electronic call monitoring]]/DATA[[#This Row],[Number of hours of care charged for in last full accounting year]])</f>
        <v>6.6964285714285711E-3</v>
      </c>
      <c r="LE33" s="30">
        <f>IF(OR(NOT(DATA[[#This Row],[IT Equipment &amp; Telephoney]]&gt;0),NOT(DATA[[#This Row],[Number of hours of care charged for in last full accounting year]]&gt;0)),0,DATA[[#This Row],[IT Equipment &amp; Telephoney]]/DATA[[#This Row],[Number of hours of care charged for in last full accounting year]])</f>
        <v>5.3571428571428572E-3</v>
      </c>
      <c r="LF33"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33"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33" s="30">
        <f>IF(OR(NOT(DATA[[#This Row],[Insurance ]]&gt;0),NOT(DATA[[#This Row],[Number of hours of care charged for in last full accounting year]]&gt;0)),0,DATA[[#This Row],[Insurance ]]/DATA[[#This Row],[Number of hours of care charged for in last full accounting year]])</f>
        <v>5.8035714285714288E-3</v>
      </c>
      <c r="LI33"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2.2321428571428572E-2</v>
      </c>
      <c r="LJ33" s="30">
        <f>IF(OR(NOT(DATA[[#This Row],[Repairs and maintenance]]&gt;0),NOT(DATA[[#This Row],[Number of hours of care charged for in last full accounting year]]&gt;0)),0,DATA[[#This Row],[Repairs and maintenance]]/DATA[[#This Row],[Number of hours of care charged for in last full accounting year]])</f>
        <v>2.232142857142857E-3</v>
      </c>
      <c r="LK33"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1.7857142857142856E-2</v>
      </c>
      <c r="LL33" s="30">
        <f>IF(OR(NOT(DATA[[#This Row],[Registration &amp; Inspection fees ]]&gt;0),NOT(DATA[[#This Row],[Number of hours of care charged for in last full accounting year]]&gt;0)),0,DATA[[#This Row],[Registration &amp; Inspection fees ]]/DATA[[#This Row],[Number of hours of care charged for in last full accounting year]])</f>
        <v>1.3392857142857142E-2</v>
      </c>
      <c r="LM33" s="30">
        <f>IF(OR(NOT(DATA[[#This Row],[Subscriptions]]&gt;0),NOT(DATA[[#This Row],[Number of hours of care charged for in last full accounting year]]&gt;0)),0,DATA[[#This Row],[Subscriptions]]/DATA[[#This Row],[Number of hours of care charged for in last full accounting year]])</f>
        <v>2.6785714285714286E-3</v>
      </c>
      <c r="LN33" s="30">
        <f>IF(OR(NOT(DATA[[#This Row],[Cost of finance]]&gt;0),NOT(DATA[[#This Row],[Number of hours of care charged for in last full accounting year]]&gt;0)),0,DATA[[#This Row],[Cost of finance]]/DATA[[#This Row],[Number of hours of care charged for in last full accounting year]])</f>
        <v>0</v>
      </c>
      <c r="LO33" s="30">
        <f>IF(OR(NOT(DATA[[#This Row],[Other non-staff current expenses]]&gt;0),NOT(DATA[[#This Row],[Number of hours of care charged for in last full accounting year]]&gt;0)),0,DATA[[#This Row],[Other non-staff current expenses]]/DATA[[#This Row],[Number of hours of care charged for in last full accounting year]])</f>
        <v>0</v>
      </c>
      <c r="LP33"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33"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33" s="30">
        <f>IF(OR(NOT(DATA[[#This Row],[Central / Regional Management]]&gt;0),NOT(DATA[[#This Row],[Number of hours of care charged for in last full accounting year]]&gt;0)),0,DATA[[#This Row],[Central / Regional Management]]/DATA[[#This Row],[Number of hours of care charged for in last full accounting year]])</f>
        <v>0</v>
      </c>
      <c r="LS33"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8.9285714285714281E-3</v>
      </c>
      <c r="LT33"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3"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3" s="30">
        <f>SUM(DATA[[#This Row],[Management staff HOURLY RATE]:[Corporate Overheads: Other  - please specify (amount) 2 HOURLY RATE]])</f>
        <v>0.91294642857142849</v>
      </c>
      <c r="LW33" s="30" t="str">
        <f>IF(OR(NOT(DATA[[#This Row],[Net Operating Profit]]&gt;0),NOT(DATA[[#This Row],[Number of hours of care charged for in last full accounting year]]&gt;0)),"",DATA[[#This Row],[Net Operating Profit]]/DATA[[#This Row],[Number of hours of care charged for in last full accounting year]])</f>
        <v/>
      </c>
      <c r="LX33" s="30">
        <f>IF(OR(NOT(DATA[[#This Row],[Return on Capital employed]]&gt;0),NOT(DATA[[#This Row],[Number of hours of care charged for in last full accounting year]]&gt;0)),0,DATA[[#This Row],[Return on Capital employed]]/DATA[[#This Row],[Number of hours of care charged for in last full accounting year]])</f>
        <v>0</v>
      </c>
      <c r="LY33" s="31">
        <v>27</v>
      </c>
      <c r="LZ33" s="30" t="s">
        <v>345</v>
      </c>
      <c r="MA33" s="30" t="b">
        <f>DATA[[#This Row],[Number of Home support clients:]]&gt;0</f>
        <v>1</v>
      </c>
      <c r="MB33" s="30" t="b">
        <f>DATA[[#This Row],[Number of supported living clients:]]&gt;0</f>
        <v>1</v>
      </c>
      <c r="MC33" s="30" t="b">
        <f>DATA[[#This Row],[Total Home Support Hours]]&gt;0</f>
        <v>1</v>
      </c>
      <c r="MD33" s="30" t="b">
        <f>DATA[[#This Row],[Total Supported Living Hours]]&gt;0</f>
        <v>0</v>
      </c>
      <c r="ME33" s="30" t="b">
        <f>DATA[[#This Row],[Home Support service split percentage (Expenditure):]]&gt;0.5</f>
        <v>1</v>
      </c>
      <c r="MF33" s="30" t="b">
        <f>DATA[[#This Row],[Agency staff HOURLY RATE]]=0</f>
        <v>1</v>
      </c>
      <c r="MG33"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3" s="30">
        <f>IFERROR(IF(AVERAGE(DATA[[#This Row],[Deputy manager: Current 2021/22 Minimum hourly pay rate ADJUSTED]],DATA[[#This Row],[Deputy manager: Current 2021/22 Maximum hourly pay rate ADJUSTED]])&lt;LIVING_WAGE_22_23,DATA[[#This Row],[Deputy manager: Numbers employed (Full Time Equivalent)]],0),"")</f>
        <v>0</v>
      </c>
      <c r="MI33" s="30" t="str">
        <f>IFERROR(IF(AVERAGE(DATA[[#This Row],[Other manager 1: Current 2021/22 Minimum hourly pay rate ADJUSTED]],DATA[[#This Row],[Other manager 1: Current 2021/22 Maximum hourly pay rate ADJUSTED]])&lt;LIVING_WAGE_22_23,DATA[[#This Row],[Other manager 1: Numbers employed (Full Time Equivalent)]],0),"")</f>
        <v/>
      </c>
      <c r="MJ33" s="30" t="str">
        <f>IFERROR(IF(AVERAGE(DATA[[#This Row],[Other manager 2: Current 2021/22 Minimum hourly pay rate ADJUSTED]],DATA[[#This Row],[Other manager 2: Current 2021/22 Maximum hourly pay rate ADJUSTED]])&lt;LIVING_WAGE_22_23,DATA[[#This Row],[Other manager 2: Numbers employed (Full Time Equivalent)]],0),"")</f>
        <v/>
      </c>
      <c r="MK33" s="30" t="str">
        <f>IFERROR(IF(AVERAGE(DATA[[#This Row],[Other manager 3: Current 2021/22 Minimum hourly pay rate ADJUSTED]],DATA[[#This Row],[Other manager 3: Current 2021/22 Maximum hourly pay rate ADJUSTED]])&lt;LIVING_WAGE_22_23,DATA[[#This Row],[Other manager 3: Numbers employed (Full Time Equivalent)]],0),"")</f>
        <v/>
      </c>
      <c r="ML33" s="30">
        <f>IFERROR(IF(AVERAGE(DATA[[#This Row],[Care Assistant 1: Current 2021/22 Minimum hourly pay rate ADJUSTED]],DATA[[#This Row],[Care Assistant 1: Current 2021/22 Maximum hourly pay rate ADJUSTED]])&lt;LIVING_WAGE_22_23,DATA[[#This Row],[Care Assistant 1: Numbers employed (Full Time Equivalent)]],0),"")</f>
        <v>0</v>
      </c>
      <c r="MM33" s="30">
        <f>IFERROR(IF(AVERAGE(DATA[[#This Row],[Care Assistant 2: Current 2021/22 Minimum hourly pay rate ADJUSTED]],DATA[[#This Row],[Care Assistant 2: Current 2021/22 Maximum hourly pay rate ADJUSTED]])&lt;LIVING_WAGE_22_23,DATA[[#This Row],[Care Assistant 2: Numbers employed (Full Time Equivalent)]],0),"")</f>
        <v>0</v>
      </c>
      <c r="MN33" s="30">
        <f>IFERROR(IF(AVERAGE(DATA[[#This Row],[Care Assistant 3: Current 2021/22 Minimum hourly pay rate ADJUSTED]],DATA[[#This Row],[Care Assistant 3: Current 2021/22 Maximum hourly pay rate ADJUSTED]])&lt;LIVING_WAGE_22_23,DATA[[#This Row],[Care Assistant 3: Numbers employed (Full Time Equivalent)]],0),"")</f>
        <v>0</v>
      </c>
      <c r="MO33" s="30" t="str">
        <f>IFERROR(IF(AVERAGE(DATA[[#This Row],[Care Assistant 4: Current 2021/22 Minimum hourly pay rate ADJUSTED]],DATA[[#This Row],[Care Assistant 4: Current 2021/22 Maximum hourly pay rate ADJUSTED]])&lt;LIVING_WAGE_22_23,DATA[[#This Row],[Care Assistant 4: Numbers employed (Full Time Equivalent)]],0),"")</f>
        <v/>
      </c>
      <c r="MP33"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33"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33" s="30" t="str">
        <f>IFERROR(IF(AVERAGE(DATA[[#This Row],[Other staff 1: Current 2021/22 Minimum hourly pay rate ADJUSTED]],DATA[[#This Row],[Other staff 1: Current 2021/22 Maximum hourly pay rate ADJUSTED]])&lt;LIVING_WAGE_22_23,DATA[[#This Row],[Other staff 1: Numbers employed (Full Time Equivalent)]],0),"")</f>
        <v/>
      </c>
      <c r="MS33" s="30" t="str">
        <f>IFERROR(IF(AVERAGE(DATA[[#This Row],[Other staff 2: Current 2021/22 Minimum hourly pay rate ADJUSTED]],DATA[[#This Row],[Other staff 2: Current 2021/22 Maximum hourly pay rate ADJUSTED]])&lt;LIVING_WAGE_22_23,DATA[[#This Row],[Other staff 2: Numbers employed (Full Time Equivalent)]],0),"")</f>
        <v/>
      </c>
      <c r="MT33" s="30" t="str">
        <f>IFERROR(IF(AVERAGE(DATA[[#This Row],[Other staff 3: Current 2021/22 Minimum hourly pay rate ADJUSTED]],DATA[[#This Row],[Other staff 3: Current 2021/22 Maximum hourly pay rate ADJUSTED]])&lt;LIVING_WAGE_22_23,DATA[[#This Row],[Other staff 3: Numbers employed (Full Time Equivalent)]],0),"")</f>
        <v/>
      </c>
      <c r="MU33" s="30">
        <f>SUM(DATA[[#This Row],[Registered Manager FTE earning less than NLW 23yrs 2022/23]:[Other staff 3 FTE earning less than NLW 23yrs 2022/23]])</f>
        <v>0</v>
      </c>
      <c r="MV33"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3"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33"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33"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33"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33"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33"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33"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33"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33"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33"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33"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33"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33"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33" s="30" t="b">
        <v>1</v>
      </c>
      <c r="NK33" s="30" t="b">
        <v>1</v>
      </c>
      <c r="NL33" s="30" t="s">
        <v>505</v>
      </c>
      <c r="NM33" s="30">
        <f>SUM(DATA[[#This Row],[Management staff HOURLY RATE]:[Training and development HOURLY RATE]])</f>
        <v>0.74553571428571419</v>
      </c>
      <c r="NN33" s="30">
        <f>SUM(DATA[[#This Row],[Recruitment &amp; advertising (including DBS checks) HOURLY RATE]:[Non-Staffing Direct Cost: Other  - please specify (amount) 2 HOURLY RATE]])</f>
        <v>9.419642857142857E-2</v>
      </c>
      <c r="NO33" s="30">
        <f>SUM(DATA[[#This Row],[Insurance  HOURLY RATE]:[Indirect costs: Other  - please specify (amount) 2 HOURLY RATE]])</f>
        <v>6.4285714285714279E-2</v>
      </c>
      <c r="NP33" s="30">
        <f>SUM(DATA[[#This Row],[Central / Regional Management HOURLY RATE]:[Corporate Overheads: Other  - please specify (amount) 2 HOURLY RATE]])</f>
        <v>8.9285714285714281E-3</v>
      </c>
      <c r="NQ33"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3" s="30">
        <f>IFERROR(IF(AVERAGE(DATA[[#This Row],[Deputy manager: Current 2021/22 Minimum hourly pay rate ADJUSTED]],DATA[[#This Row],[Deputy manager: Current 2021/22 Maximum hourly pay rate ADJUSTED]])&lt;REAL_LIVING_WAGE_22_23,DATA[[#This Row],[Deputy manager: Numbers employed (Full Time Equivalent)]],0),"")</f>
        <v>0</v>
      </c>
      <c r="NS33" s="30" t="str">
        <f>IFERROR(IF(AVERAGE(DATA[[#This Row],[Other manager 1: Current 2021/22 Minimum hourly pay rate ADJUSTED]],DATA[[#This Row],[Other manager 1: Current 2021/22 Maximum hourly pay rate ADJUSTED]])&lt;REAL_LIVING_WAGE_22_23,DATA[[#This Row],[Other manager 1: Numbers employed (Full Time Equivalent)]],0),"")</f>
        <v/>
      </c>
      <c r="NT33" s="30" t="str">
        <f>IFERROR(IF(AVERAGE(DATA[[#This Row],[Other manager 2: Current 2021/22 Minimum hourly pay rate ADJUSTED]],DATA[[#This Row],[Other manager 2: Current 2021/22 Maximum hourly pay rate ADJUSTED]])&lt;REAL_LIVING_WAGE_22_23,DATA[[#This Row],[Other manager 2: Numbers employed (Full Time Equivalent)]],0),"")</f>
        <v/>
      </c>
      <c r="NU33" s="30" t="str">
        <f>IFERROR(IF(AVERAGE(DATA[[#This Row],[Other manager 3: Current 2021/22 Minimum hourly pay rate ADJUSTED]],DATA[[#This Row],[Other manager 3: Current 2021/22 Maximum hourly pay rate ADJUSTED]])&lt;REAL_LIVING_WAGE_22_23,DATA[[#This Row],[Other manager 3: Numbers employed (Full Time Equivalent)]],0),"")</f>
        <v/>
      </c>
      <c r="NV33" s="30">
        <f>IFERROR(IF(AVERAGE(DATA[[#This Row],[Care Assistant 1: Current 2021/22 Minimum hourly pay rate ADJUSTED]],DATA[[#This Row],[Care Assistant 1: Current 2021/22 Maximum hourly pay rate ADJUSTED]])&lt;REAL_LIVING_WAGE_22_23,DATA[[#This Row],[Care Assistant 1: Numbers employed (Full Time Equivalent)]],0),"")</f>
        <v>3</v>
      </c>
      <c r="NW33" s="30">
        <f>IFERROR(IF(AVERAGE(DATA[[#This Row],[Care Assistant 2: Current 2021/22 Minimum hourly pay rate ADJUSTED]],DATA[[#This Row],[Care Assistant 2: Current 2021/22 Maximum hourly pay rate ADJUSTED]])&lt;REAL_LIVING_WAGE_22_23,DATA[[#This Row],[Care Assistant 2: Numbers employed (Full Time Equivalent)]],0),"")</f>
        <v>0</v>
      </c>
      <c r="NX33" s="30">
        <f>IFERROR(IF(AVERAGE(DATA[[#This Row],[Care Assistant 3: Current 2021/22 Minimum hourly pay rate ADJUSTED]],DATA[[#This Row],[Care Assistant 3: Current 2021/22 Maximum hourly pay rate ADJUSTED]])&lt;REAL_LIVING_WAGE_22_23,DATA[[#This Row],[Care Assistant 3: Numbers employed (Full Time Equivalent)]],0),"")</f>
        <v>0</v>
      </c>
      <c r="NY33"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33"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33"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33" s="30" t="str">
        <f>IFERROR(IF(AVERAGE(DATA[[#This Row],[Other staff 1: Current 2021/22 Minimum hourly pay rate ADJUSTED]],DATA[[#This Row],[Other staff 1: Current 2021/22 Maximum hourly pay rate ADJUSTED]])&lt;REAL_LIVING_WAGE_22_23,DATA[[#This Row],[Other staff 1: Numbers employed (Full Time Equivalent)]],0),"")</f>
        <v/>
      </c>
      <c r="OC33" s="30" t="str">
        <f>IFERROR(IF(AVERAGE(DATA[[#This Row],[Other staff 2: Current 2021/22 Minimum hourly pay rate ADJUSTED]],DATA[[#This Row],[Other staff 2: Current 2021/22 Maximum hourly pay rate ADJUSTED]])&lt;REAL_LIVING_WAGE_22_23,DATA[[#This Row],[Other staff 2: Numbers employed (Full Time Equivalent)]],0),"")</f>
        <v/>
      </c>
      <c r="OD33" s="30" t="str">
        <f>IFERROR(IF(AVERAGE(DATA[[#This Row],[Other staff 3: Current 2021/22 Minimum hourly pay rate ADJUSTED]],DATA[[#This Row],[Other staff 3: Current 2021/22 Maximum hourly pay rate ADJUSTED]])&lt;REAL_LIVING_WAGE_22_23,DATA[[#This Row],[Other staff 3: Numbers employed (Full Time Equivalent)]],0),"")</f>
        <v/>
      </c>
      <c r="OE33" s="30">
        <f>SUM(DATA[[#This Row],[Registered Manager FTE earning less than RLW 23yrs 2022/23]:[Other staff 3 FTE earning less than RLW 23yrs 2022/23]])</f>
        <v>3</v>
      </c>
      <c r="OF33"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3"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33"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33"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33"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33"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0.45000000000000107</v>
      </c>
      <c r="OL33"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33"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v>
      </c>
      <c r="ON33"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33"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33"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33"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33"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33"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33" s="30">
        <f>IFERROR(IF(DATA[[#This Row],[Registered manager: Numbers employed (Full Time Equivalent)]]=0,"",DATA[[#This Row],[Registered manager: Current 2021/22 Minimum hourly pay rate ADJUSTED 2]]*DATA[[#This Row],[Registered manager: Numbers employed (Full Time Equivalent)]]),"")</f>
        <v>18</v>
      </c>
      <c r="OU33" s="30">
        <f>IFERROR(IF(DATA[[#This Row],[Registered manager: Numbers employed (Full Time Equivalent)]]=0,"",DATA[[#This Row],[Registered manager: Current 2021/22 Maximum hourly pay rate ADJUSTED 2]]*DATA[[#This Row],[Registered manager: Numbers employed (Full Time Equivalent)]]),"")</f>
        <v>22</v>
      </c>
      <c r="OV33" s="30">
        <f>IFERROR(IF(DATA[[#This Row],[Registered manager: Numbers employed (Full Time Equivalent)]]=0,"",DATA[[#This Row],[Registered manager: Previous 2020/21 Minimum hourly pay rate ADJUSTED 2]]*DATA[[#This Row],[Registered manager: Numbers employed (Full Time Equivalent)]]),"")</f>
        <v>16.579999999999998</v>
      </c>
      <c r="OW33" s="30">
        <f>IFERROR(IF(DATA[[#This Row],[Registered manager: Numbers employed (Full Time Equivalent)]]=0,"",DATA[[#This Row],[Registered manager: Previous 2020/21 Maximum hourly pay rate ADJUSTED 2]]*DATA[[#This Row],[Registered manager: Numbers employed (Full Time Equivalent)]]),"")</f>
        <v>18</v>
      </c>
      <c r="OX33" s="30" t="str">
        <f>IFERROR(IF(DATA[[#This Row],[Deputy manager: Numbers employed (Full Time Equivalent)]]=0,"",DATA[[#This Row],[Deputy manager: Current 2021/22 Minimum hourly pay rate ADJUSTED 2]]*DATA[[#This Row],[Deputy manager: Numbers employed (Full Time Equivalent)]]),"")</f>
        <v/>
      </c>
      <c r="OY33" s="30" t="str">
        <f>IFERROR(IF(DATA[[#This Row],[Deputy manager: Numbers employed (Full Time Equivalent)]]=0,"",DATA[[#This Row],[Deputy manager: Current 2021/22 Maximum hourly pay rate ADJUSTED 2]]*DATA[[#This Row],[Deputy manager: Numbers employed (Full Time Equivalent)]]),"")</f>
        <v/>
      </c>
      <c r="OZ33" s="30" t="str">
        <f>IFERROR(IF(DATA[[#This Row],[Deputy manager: Numbers employed (Full Time Equivalent)]]=0,"",DATA[[#This Row],[Deputy manager: Previous 2020/21 Minimum hourly pay rate ADJUSTED 2]]*DATA[[#This Row],[Deputy manager: Numbers employed (Full Time Equivalent)]]),"")</f>
        <v/>
      </c>
      <c r="PA33" s="30" t="str">
        <f>IFERROR(IF(DATA[[#This Row],[Deputy manager: Numbers employed (Full Time Equivalent)]]=0,"",DATA[[#This Row],[Deputy manager: Previous 2020/21 Maximum hourly pay rate ADJUSTED 2]]*DATA[[#This Row],[Deputy manager: Numbers employed (Full Time Equivalent)]]),"")</f>
        <v/>
      </c>
      <c r="PB33" s="30" t="str">
        <f>IFERROR(IF(DATA[[#This Row],[Other manager 1: Numbers employed (Full Time Equivalent)]]=0,"",DATA[[#This Row],[Other manager 1: Current 2021/22 Minimum hourly pay rate ADJUSTED 2]]*DATA[[#This Row],[Other manager 1: Numbers employed (Full Time Equivalent)]]),"")</f>
        <v/>
      </c>
      <c r="PC33" s="30" t="str">
        <f>IFERROR(IF(DATA[[#This Row],[Other manager 1: Numbers employed (Full Time Equivalent)]]=0,"",DATA[[#This Row],[Other manager 1: Current 2021/22 Maximum hourly pay rate ADJUSTED 2]]*DATA[[#This Row],[Other manager 1: Numbers employed (Full Time Equivalent)]]),"")</f>
        <v/>
      </c>
      <c r="PD33" s="30" t="str">
        <f>IFERROR(IF(DATA[[#This Row],[Other manager 1: Numbers employed (Full Time Equivalent)]]=0,"",DATA[[#This Row],[Other manager 1: Previous 2020/21 Minimum hourly pay rate ADJUSTED 2]]*DATA[[#This Row],[Other manager 1: Numbers employed (Full Time Equivalent)]]),"")</f>
        <v/>
      </c>
      <c r="PE33" s="30" t="str">
        <f>IFERROR(IF(DATA[[#This Row],[Other manager 1: Numbers employed (Full Time Equivalent)]]=0,"",DATA[[#This Row],[Other manager 1: Previous 2020/21 Maximum hourly pay rate ADJUSTED 2]]*DATA[[#This Row],[Other manager 1: Numbers employed (Full Time Equivalent)]]),"")</f>
        <v/>
      </c>
      <c r="PF33" s="30" t="str">
        <f>IFERROR(IF(DATA[[#This Row],[Other manager 2: Numbers employed (Full Time Equivalent)]]=0,"",DATA[[#This Row],[Other manager 2: Current 2021/22 Minimum hourly pay rate ADJUSTED 2]]*DATA[[#This Row],[Other manager 2: Numbers employed (Full Time Equivalent)]]),"")</f>
        <v/>
      </c>
      <c r="PG33" s="30" t="str">
        <f>IFERROR(IF(DATA[[#This Row],[Other manager 2: Numbers employed (Full Time Equivalent)]]=0,"",DATA[[#This Row],[Other manager 2: Current 2021/22 Maximum hourly pay rate ADJUSTED 2]]*DATA[[#This Row],[Other manager 2: Numbers employed (Full Time Equivalent)]]),"")</f>
        <v/>
      </c>
      <c r="PH33" s="30" t="str">
        <f>IFERROR(IF(DATA[[#This Row],[Other manager 2: Numbers employed (Full Time Equivalent)]]=0,"",DATA[[#This Row],[Other manager 2: Previous 2020/21 Minimum hourly pay rate ADJUSTED 2]]*DATA[[#This Row],[Other manager 2: Numbers employed (Full Time Equivalent)]]),"")</f>
        <v/>
      </c>
      <c r="PI33" s="30" t="str">
        <f>IFERROR(IF(DATA[[#This Row],[Other manager 2: Numbers employed (Full Time Equivalent)]]=0,"",DATA[[#This Row],[Other manager 2: Previous 2020/21 Maximum hourly pay rate ADJUSTED 2]]*DATA[[#This Row],[Other manager 2: Numbers employed (Full Time Equivalent)]]),"")</f>
        <v/>
      </c>
      <c r="PJ33" s="30" t="str">
        <f>IFERROR(IF(DATA[[#This Row],[Other manager 3: Numbers employed (Full Time Equivalent)]]=0,"",DATA[[#This Row],[Other manager 3: Current 2021/22 Minimum hourly pay rate ADJUSTED 2]]*DATA[[#This Row],[Other manager 3: Numbers employed (Full Time Equivalent)]]),"")</f>
        <v/>
      </c>
      <c r="PK33" s="30" t="str">
        <f>IFERROR(IF(DATA[[#This Row],[Other manager 3: Numbers employed (Full Time Equivalent)]]=0,"",DATA[[#This Row],[Other manager 3: Current 2021/22 Maximum hourly pay rate ADJUSTED 2]]*DATA[[#This Row],[Other manager 3: Numbers employed (Full Time Equivalent)]]),"")</f>
        <v/>
      </c>
      <c r="PL33" s="30" t="str">
        <f>IFERROR(IF(DATA[[#This Row],[Other manager 3: Numbers employed (Full Time Equivalent)]]=0,"",DATA[[#This Row],[Other manager 3: Previous 2020/21 Minimum hourly pay rate ADJUSTED 2]]*DATA[[#This Row],[Other manager 3: Numbers employed (Full Time Equivalent)]]),"")</f>
        <v/>
      </c>
      <c r="PM33" s="30" t="str">
        <f>IFERROR(IF(DATA[[#This Row],[Other manager 3: Numbers employed (Full Time Equivalent)]]=0,"",DATA[[#This Row],[Other manager 3: Previous 2020/21 Maximum hourly pay rate ADJUSTED 2]]*DATA[[#This Row],[Other manager 3: Numbers employed (Full Time Equivalent)]]),"")</f>
        <v/>
      </c>
      <c r="PN33" s="30">
        <f>IFERROR(IF(DATA[[#This Row],[Care Assistant 1: Numbers employed (Full Time Equivalent)]]=0,"",DATA[[#This Row],[Care Assistant 1: Current 2021/22 Minimum hourly pay rate ADJUSTED 2]]*DATA[[#This Row],[Care Assistant 1: Numbers employed (Full Time Equivalent)]]),"")</f>
        <v>25.5</v>
      </c>
      <c r="PO33" s="30">
        <f>IFERROR(IF(DATA[[#This Row],[Care Assistant 1: Numbers employed (Full Time Equivalent)]]=0,"",DATA[[#This Row],[Care Assistant 1: Current 2021/22 Maximum hourly pay rate ADJUSTED 2]]*DATA[[#This Row],[Care Assistant 1: Numbers employed (Full Time Equivalent)]]),"")</f>
        <v>33</v>
      </c>
      <c r="PP33" s="30">
        <f>IFERROR(IF(DATA[[#This Row],[Care Assistant 1: Numbers employed (Full Time Equivalent)]]=0,"",DATA[[#This Row],[Care Assistant 1: Previous 2020/21 Minimum hourly pay rate ADJUSTED 2]]*DATA[[#This Row],[Care Assistant 1: Numbers employed (Full Time Equivalent)]]),"")</f>
        <v>25.5</v>
      </c>
      <c r="PQ33" s="30">
        <f>IFERROR(IF(DATA[[#This Row],[Care Assistant 1: Numbers employed (Full Time Equivalent)]]=0,"",DATA[[#This Row],[Care Assistant 1: Previous 2020/21 Maximum hourly pay rate ADJUSTED 2]]*DATA[[#This Row],[Care Assistant 1: Numbers employed (Full Time Equivalent)]]),"")</f>
        <v>27</v>
      </c>
      <c r="PR33" s="30">
        <f>IFERROR(IF(DATA[[#This Row],[Care Assistant 2: Numbers employed (Full Time Equivalent)]]=0,"",DATA[[#This Row],[Care Assistant 2: Current 2021/22 Minimum hourly pay rate ADJUSTED 2]]*DATA[[#This Row],[Care Assistant 2: Numbers employed (Full Time Equivalent)]]),"")</f>
        <v>45</v>
      </c>
      <c r="PS33" s="30">
        <f>IFERROR(IF(DATA[[#This Row],[Care Assistant 2: Numbers employed (Full Time Equivalent)]]=0,"",DATA[[#This Row],[Care Assistant 2: Current 2021/22 Maximum hourly pay rate ADJUSTED 2]]*DATA[[#This Row],[Care Assistant 2: Numbers employed (Full Time Equivalent)]]),"")</f>
        <v>57.5</v>
      </c>
      <c r="PT33" s="30">
        <f>IFERROR(IF(DATA[[#This Row],[Care Assistant 2: Numbers employed (Full Time Equivalent)]]=0,"",DATA[[#This Row],[Care Assistant 2: Previous 2020/21 Minimum hourly pay rate ADJUSTED 2]]*DATA[[#This Row],[Care Assistant 2: Numbers employed (Full Time Equivalent)]]),"")</f>
        <v>45</v>
      </c>
      <c r="PU33" s="30">
        <f>IFERROR(IF(DATA[[#This Row],[Care Assistant 2: Numbers employed (Full Time Equivalent)]]=0,"",DATA[[#This Row],[Care Assistant 2: Previous 2020/21 Maximum hourly pay rate ADJUSTED 2]]*DATA[[#This Row],[Care Assistant 2: Numbers employed (Full Time Equivalent)]]),"")</f>
        <v>52.5</v>
      </c>
      <c r="PV33" s="30">
        <f>IFERROR(IF(DATA[[#This Row],[Care Assistant 3: Numbers employed (Full Time Equivalent)]]=0,"",DATA[[#This Row],[Care Assistant 3: Current 2021/22 Minimum hourly pay rate ADJUSTED 2]]*DATA[[#This Row],[Care Assistant 3: Numbers employed (Full Time Equivalent)]]),"")</f>
        <v>22</v>
      </c>
      <c r="PW33" s="30">
        <f>IFERROR(IF(DATA[[#This Row],[Care Assistant 3: Numbers employed (Full Time Equivalent)]]=0,"",DATA[[#This Row],[Care Assistant 3: Current 2021/22 Maximum hourly pay rate ADJUSTED 2]]*DATA[[#This Row],[Care Assistant 3: Numbers employed (Full Time Equivalent)]]),"")</f>
        <v>24</v>
      </c>
      <c r="PX33" s="30">
        <f>IFERROR(IF(DATA[[#This Row],[Care Assistant 3: Numbers employed (Full Time Equivalent)]]=0,"",DATA[[#This Row],[Care Assistant 3: Previous 2020/21 Minimum hourly pay rate ADJUSTED 2]]*DATA[[#This Row],[Care Assistant 3: Numbers employed (Full Time Equivalent)]]),"")</f>
        <v>22</v>
      </c>
      <c r="PY33" s="30">
        <f>IFERROR(IF(DATA[[#This Row],[Care Assistant 3: Numbers employed (Full Time Equivalent)]]=0,"",DATA[[#This Row],[Care Assistant 3: Previous 2020/21 Maximum hourly pay rate ADJUSTED 2]]*DATA[[#This Row],[Care Assistant 3: Numbers employed (Full Time Equivalent)]]),"")</f>
        <v>24</v>
      </c>
      <c r="PZ33" s="30" t="str">
        <f>IFERROR(IF(DATA[[#This Row],[Care Assistant 4: Numbers employed (Full Time Equivalent)]]=0,"",DATA[[#This Row],[Care Assistant 4: Current 2021/22 Minimum hourly pay rate ADJUSTED 2]]*DATA[[#This Row],[Care Assistant 4: Numbers employed (Full Time Equivalent)]]),"")</f>
        <v/>
      </c>
      <c r="QA33" s="30" t="str">
        <f>IFERROR(IF(DATA[[#This Row],[Care Assistant 4: Numbers employed (Full Time Equivalent)]]=0,"",DATA[[#This Row],[Care Assistant 4: Current 2021/22 Maximum hourly pay rate ADJUSTED 2]]*DATA[[#This Row],[Care Assistant 4: Numbers employed (Full Time Equivalent)]]),"")</f>
        <v/>
      </c>
      <c r="QB33" s="30" t="str">
        <f>IFERROR(IF(DATA[[#This Row],[Care Assistant 4: Numbers employed (Full Time Equivalent)]]=0,"",DATA[[#This Row],[Care Assistant 4: Previous 2020/21 Minimum hourly pay rate ADJUSTED 2]]*DATA[[#This Row],[Care Assistant 4: Numbers employed (Full Time Equivalent)]]),"")</f>
        <v/>
      </c>
      <c r="QC33" s="30" t="str">
        <f>IFERROR(IF(DATA[[#This Row],[Care Assistant 4: Numbers employed (Full Time Equivalent)]]=0,"",DATA[[#This Row],[Care Assistant 4: Previous 2020/21 Maximum hourly pay rate ADJUSTED 2]]*DATA[[#This Row],[Care Assistant 4: Numbers employed (Full Time Equivalent)]]),"")</f>
        <v/>
      </c>
      <c r="QD33" s="30" t="str">
        <f>IFERROR(IF(DATA[[#This Row],[Administrative Officer 1: Numbers employed (Full Time Equivalent)]]=0,"",DATA[[#This Row],[Administrative Officer 1: Current 2021/22 Minimum hourly pay rate ADJUSTED 2]]*DATA[[#This Row],[Administrative Officer 1: Numbers employed (Full Time Equivalent)]]),"")</f>
        <v/>
      </c>
      <c r="QE33" s="30" t="str">
        <f>IFERROR(IF(DATA[[#This Row],[Administrative Officer 1: Numbers employed (Full Time Equivalent)]]=0,"",DATA[[#This Row],[Administrative Officer 1: Current 2021/22 Maximum hourly pay rate ADJUSTED 2]]*DATA[[#This Row],[Administrative Officer 1: Numbers employed (Full Time Equivalent)]]),"")</f>
        <v/>
      </c>
      <c r="QF33" s="30" t="str">
        <f>IFERROR(IF(DATA[[#This Row],[Administrative Officer 1: Numbers employed (Full Time Equivalent)]]=0,"",DATA[[#This Row],[Administrative Officer 1: Previous 2020/21 Minimum hourly pay rate ADJUSTED 2]]*DATA[[#This Row],[Administrative Officer 1: Numbers employed (Full Time Equivalent)]]),"")</f>
        <v/>
      </c>
      <c r="QG33" s="30" t="str">
        <f>IFERROR(IF(DATA[[#This Row],[Administrative Officer 1: Numbers employed (Full Time Equivalent)]]=0,"",DATA[[#This Row],[Administrative Officer 1: Previous 2020/21 Maximum hourly pay rate ADJUSTED 2]]*DATA[[#This Row],[Administrative Officer 1: Numbers employed (Full Time Equivalent)]]),"")</f>
        <v/>
      </c>
      <c r="QH33" s="30" t="str">
        <f>IFERROR(IF(DATA[[#This Row],[Administrative Officer 2: Numbers employed (Full Time Equivalent)]]=0,"",DATA[[#This Row],[Administrative Officer 2: Current 2021/22 Minimum hourly pay rate ADJUSTED 2]]*DATA[[#This Row],[Administrative Officer 2: Numbers employed (Full Time Equivalent)]]),"")</f>
        <v/>
      </c>
      <c r="QI33" s="30" t="str">
        <f>IFERROR(IF(DATA[[#This Row],[Administrative Officer 2: Numbers employed (Full Time Equivalent)]]=0,"",DATA[[#This Row],[Administrative Officer 2: Current 2021/22 Maximum hourly pay rate ADJUSTED 2]]*DATA[[#This Row],[Administrative Officer 2: Numbers employed (Full Time Equivalent)]]),"")</f>
        <v/>
      </c>
      <c r="QJ33" s="30" t="str">
        <f>IFERROR(IF(DATA[[#This Row],[Administrative Officer 2: Numbers employed (Full Time Equivalent)]]=0,"",DATA[[#This Row],[Administrative Officer 2: Previous 2020/21 Minimum hourly pay rate ADJUSTED 2]]*DATA[[#This Row],[Administrative Officer 2: Numbers employed (Full Time Equivalent)]]),"")</f>
        <v/>
      </c>
      <c r="QK33" s="30" t="str">
        <f>IFERROR(IF(DATA[[#This Row],[Administrative Officer 2: Numbers employed (Full Time Equivalent)]]=0,"",DATA[[#This Row],[Administrative Officer 2: Previous 2020/21 Maximum hourly pay rate ADJUSTED 2]]*DATA[[#This Row],[Administrative Officer 2: Numbers employed (Full Time Equivalent)]]),"")</f>
        <v/>
      </c>
      <c r="QL33" s="30" t="str">
        <f>IFERROR(IF(DATA[[#This Row],[Administrative Officer 3: Numbers employed (Full Time Equivalent)]]=0,"",DATA[[#This Row],[Administrative Officer 3: Current 2021/22 Minimum hourly pay rate ADJUSTED 2]]*DATA[[#This Row],[Administrative Officer 3: Numbers employed (Full Time Equivalent)]]),"")</f>
        <v/>
      </c>
      <c r="QM33" s="30" t="str">
        <f>IFERROR(IF(DATA[[#This Row],[Administrative Officer 3: Numbers employed (Full Time Equivalent)]]=0,"",DATA[[#This Row],[Administrative Officer 3: Current 2021/22 Maximum hourly pay rate ADJUSTED 2]]*DATA[[#This Row],[Administrative Officer 3: Numbers employed (Full Time Equivalent)]]),"")</f>
        <v/>
      </c>
      <c r="QN33" s="30" t="str">
        <f>IFERROR(IF(DATA[[#This Row],[Administrative Officer 3: Numbers employed (Full Time Equivalent)]]=0,"",DATA[[#This Row],[Administrative Officer 3: Previous 2020/21 Minimum hourly pay rate ADJUSTED 2]]*DATA[[#This Row],[Administrative Officer 3: Numbers employed (Full Time Equivalent)]]),"")</f>
        <v/>
      </c>
      <c r="QO33" s="30" t="str">
        <f>IFERROR(IF(DATA[[#This Row],[Administrative Officer 3: Numbers employed (Full Time Equivalent)]]=0,"",DATA[[#This Row],[Administrative Officer 3: Previous 2020/21 Maximum hourly pay rate ADJUSTED 2]]*DATA[[#This Row],[Administrative Officer 3: Numbers employed (Full Time Equivalent)]]),"")</f>
        <v/>
      </c>
      <c r="QP33" s="28" t="str">
        <f>IFERROR(IF(DATA[[#This Row],[Other staff 1: Numbers employed (Full Time Equivalent)]]=0,"",DATA[[#This Row],[Other staff 1: Current 2021/22 Minimum hourly pay rate ADJUSTED 2]]*DATA[[#This Row],[Other staff 1: Numbers employed (Full Time Equivalent)]]),"")</f>
        <v/>
      </c>
      <c r="QQ33" s="28" t="str">
        <f>IFERROR(IF(DATA[[#This Row],[Other staff 1: Numbers employed (Full Time Equivalent)]]=0,"",DATA[[#This Row],[Other staff 1: Current 2021/22 Maximum hourly pay rate ADJUSTED 2]]*DATA[[#This Row],[Other staff 1: Numbers employed (Full Time Equivalent)]]),"")</f>
        <v/>
      </c>
      <c r="QR33" s="28" t="str">
        <f>IFERROR(IF(DATA[[#This Row],[Other staff 1: Numbers employed (Full Time Equivalent)]]=0,"",DATA[[#This Row],[Other staff 1: Previous 2020/21 Minimum hourly pay rate ADJUSTED 2]]*DATA[[#This Row],[Other staff 1: Numbers employed (Full Time Equivalent)]]),"")</f>
        <v/>
      </c>
      <c r="QS33" s="28" t="str">
        <f>IFERROR(IF(DATA[[#This Row],[Other staff 1: Numbers employed (Full Time Equivalent)]]=0,"",DATA[[#This Row],[Other staff 1: Previous 2020/21 Maximum hourly pay rate ADJUSTED 2]]*DATA[[#This Row],[Other staff 1: Numbers employed (Full Time Equivalent)]]),"")</f>
        <v/>
      </c>
      <c r="QT33" s="28" t="str">
        <f>IFERROR(IF(DATA[[#This Row],[Other staff 2: Numbers employed (Full Time Equivalent)]]=0,"",DATA[[#This Row],[Other staff 2: Current 2021/22 Minimum hourly pay rate ADJUSTED 2]]*DATA[[#This Row],[Other staff 2: Numbers employed (Full Time Equivalent)]]),"")</f>
        <v/>
      </c>
      <c r="QU33" s="28" t="str">
        <f>IFERROR(IF(DATA[[#This Row],[Other staff 2: Numbers employed (Full Time Equivalent)]]=0,"",DATA[[#This Row],[Other staff 2: Current 2021/22 Maximum hourly pay rate ADJUSTED 2]]*DATA[[#This Row],[Other staff 2: Numbers employed (Full Time Equivalent)]]),"")</f>
        <v/>
      </c>
      <c r="QV33" s="28" t="str">
        <f>IFERROR(IF(DATA[[#This Row],[Other staff 2: Numbers employed (Full Time Equivalent)]]=0,"",DATA[[#This Row],[Other staff 2: Previous 2020/21 Minimum hourly pay rate ADJUSTED 2]]*DATA[[#This Row],[Other staff 2: Numbers employed (Full Time Equivalent)]]),"")</f>
        <v/>
      </c>
      <c r="QW33" s="28" t="str">
        <f>IFERROR(IF(DATA[[#This Row],[Other staff 2: Numbers employed (Full Time Equivalent)]]=0,"",DATA[[#This Row],[Other staff 2: Previous 2020/21 Maximum hourly pay rate ADJUSTED 2]]*DATA[[#This Row],[Other staff 2: Numbers employed (Full Time Equivalent)]]),"")</f>
        <v/>
      </c>
      <c r="QX33" s="28" t="str">
        <f>IFERROR(IF(DATA[[#This Row],[Other staff 3: Numbers employed (Full Time Equivalent)]]=0,"",DATA[[#This Row],[Other staff 3: Current 2021/22 Minimum hourly pay rate ADJUSTED 2]]*DATA[[#This Row],[Other staff 3: Numbers employed (Full Time Equivalent)]]),"")</f>
        <v/>
      </c>
      <c r="QY33" s="28" t="str">
        <f>IFERROR(IF(DATA[[#This Row],[Other staff 3: Numbers employed (Full Time Equivalent)]]=0,"",DATA[[#This Row],[Other staff 3: Current 2021/22 Maximum hourly pay rate ADJUSTED 2]]*DATA[[#This Row],[Other staff 3: Numbers employed (Full Time Equivalent)]]),"")</f>
        <v/>
      </c>
      <c r="QZ33" s="28" t="str">
        <f>IFERROR(IF(DATA[[#This Row],[Other staff 3: Numbers employed (Full Time Equivalent)]]=0,"",DATA[[#This Row],[Other staff 3: Previous 2020/21 Minimum hourly pay rate ADJUSTED 2]]*DATA[[#This Row],[Other staff 3: Numbers employed (Full Time Equivalent)]]),"")</f>
        <v/>
      </c>
      <c r="RA33" s="28" t="str">
        <f>IFERROR(IF(DATA[[#This Row],[Other staff 3: Numbers employed (Full Time Equivalent)]]=0,"",DATA[[#This Row],[Other staff 3: Previous 2020/21 Maximum hourly pay rate ADJUSTED 2]]*DATA[[#This Row],[Other staff 3: Numbers employed (Full Time Equivalent)]]),"")</f>
        <v/>
      </c>
      <c r="RB33"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2</v>
      </c>
      <c r="RC33"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33"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33"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33"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33"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3</v>
      </c>
      <c r="RH33"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5</v>
      </c>
      <c r="RI33"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2</v>
      </c>
      <c r="RJ33"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33"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33"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33"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33"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33"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33"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4" spans="7:484" x14ac:dyDescent="0.25">
      <c r="G34" s="2">
        <v>28</v>
      </c>
      <c r="I34" s="2">
        <v>13</v>
      </c>
      <c r="K34" s="2">
        <v>1</v>
      </c>
      <c r="M34" s="2" t="s">
        <v>328</v>
      </c>
      <c r="R34" s="2">
        <v>16.559999999999999</v>
      </c>
      <c r="S34" s="2">
        <v>16.559999999999999</v>
      </c>
      <c r="T34" s="2">
        <v>16.2</v>
      </c>
      <c r="U34" s="2">
        <v>16.2</v>
      </c>
      <c r="V34" s="2">
        <v>1</v>
      </c>
      <c r="W34" s="2">
        <v>10.98</v>
      </c>
      <c r="X34" s="2">
        <v>10.98</v>
      </c>
      <c r="Y34" s="2">
        <v>10.79</v>
      </c>
      <c r="Z34" s="2">
        <v>10.79</v>
      </c>
      <c r="AA34" s="2">
        <v>1</v>
      </c>
      <c r="AB34" s="2" t="s">
        <v>315</v>
      </c>
      <c r="AC34" s="2">
        <v>0</v>
      </c>
      <c r="AD34" s="2">
        <v>0</v>
      </c>
      <c r="AE34" s="2">
        <v>0</v>
      </c>
      <c r="AF34" s="2">
        <v>0</v>
      </c>
      <c r="AG34" s="2">
        <v>0</v>
      </c>
      <c r="AH34" s="2" t="s">
        <v>315</v>
      </c>
      <c r="AI34" s="2">
        <v>0</v>
      </c>
      <c r="AJ34" s="2">
        <v>0</v>
      </c>
      <c r="AK34" s="2">
        <v>0</v>
      </c>
      <c r="AL34" s="2">
        <v>0</v>
      </c>
      <c r="AM34" s="2">
        <v>0</v>
      </c>
      <c r="AN34" s="2" t="s">
        <v>315</v>
      </c>
      <c r="AO34" s="2">
        <v>0</v>
      </c>
      <c r="AP34" s="2">
        <v>0</v>
      </c>
      <c r="AQ34" s="2">
        <v>0</v>
      </c>
      <c r="AR34" s="2">
        <v>0</v>
      </c>
      <c r="AS34" s="2">
        <v>0</v>
      </c>
      <c r="AT34" s="2" t="s">
        <v>316</v>
      </c>
      <c r="AU34" s="2">
        <v>9.26</v>
      </c>
      <c r="AV34" s="2">
        <v>9.26</v>
      </c>
      <c r="AW34" s="2">
        <v>9.07</v>
      </c>
      <c r="AX34" s="2">
        <v>9.07</v>
      </c>
      <c r="AY34" s="2">
        <v>8.6022857142857134</v>
      </c>
      <c r="AZ34" s="2" t="s">
        <v>316</v>
      </c>
      <c r="BA34" s="2">
        <v>0</v>
      </c>
      <c r="BB34" s="2">
        <v>0</v>
      </c>
      <c r="BC34" s="2">
        <v>0</v>
      </c>
      <c r="BD34" s="2">
        <v>0</v>
      </c>
      <c r="BE34" s="2">
        <v>0</v>
      </c>
      <c r="BF34" s="2" t="s">
        <v>316</v>
      </c>
      <c r="BG34" s="2">
        <v>0</v>
      </c>
      <c r="BH34" s="2">
        <v>0</v>
      </c>
      <c r="BI34" s="2">
        <v>0</v>
      </c>
      <c r="BJ34" s="2">
        <v>0</v>
      </c>
      <c r="BK34" s="2">
        <v>0</v>
      </c>
      <c r="BL34" s="2" t="s">
        <v>316</v>
      </c>
      <c r="BM34" s="2">
        <v>0</v>
      </c>
      <c r="BN34" s="2">
        <v>0</v>
      </c>
      <c r="BO34" s="2">
        <v>0</v>
      </c>
      <c r="BP34" s="2">
        <v>0</v>
      </c>
      <c r="BQ34" s="2">
        <v>0</v>
      </c>
      <c r="BR34" s="2" t="s">
        <v>317</v>
      </c>
      <c r="BS34" s="2">
        <v>0</v>
      </c>
      <c r="BT34" s="2">
        <v>0</v>
      </c>
      <c r="BU34" s="2">
        <v>0</v>
      </c>
      <c r="BV34" s="2">
        <v>0</v>
      </c>
      <c r="BW34" s="2">
        <v>0</v>
      </c>
      <c r="BX34" s="2" t="s">
        <v>317</v>
      </c>
      <c r="BY34" s="2">
        <v>0</v>
      </c>
      <c r="BZ34" s="2">
        <v>0</v>
      </c>
      <c r="CA34" s="2">
        <v>0</v>
      </c>
      <c r="CB34" s="2">
        <v>0</v>
      </c>
      <c r="CC34" s="2">
        <v>0</v>
      </c>
      <c r="CD34" s="2" t="s">
        <v>317</v>
      </c>
      <c r="CE34" s="2">
        <v>0</v>
      </c>
      <c r="CF34" s="2">
        <v>0</v>
      </c>
      <c r="CG34" s="2">
        <v>0</v>
      </c>
      <c r="CH34" s="2">
        <v>0</v>
      </c>
      <c r="CI34" s="2">
        <v>0</v>
      </c>
      <c r="CJ34" s="2" t="s">
        <v>318</v>
      </c>
      <c r="CK34" s="2">
        <v>0</v>
      </c>
      <c r="CL34" s="2">
        <v>0</v>
      </c>
      <c r="CM34" s="2">
        <v>0</v>
      </c>
      <c r="CN34" s="2">
        <v>0</v>
      </c>
      <c r="CO34" s="2">
        <v>0</v>
      </c>
      <c r="CP34" s="2" t="s">
        <v>318</v>
      </c>
      <c r="CQ34" s="2">
        <v>0</v>
      </c>
      <c r="CR34" s="2">
        <v>0</v>
      </c>
      <c r="CS34" s="2">
        <v>0</v>
      </c>
      <c r="CT34" s="2">
        <v>0</v>
      </c>
      <c r="CU34" s="2">
        <v>0</v>
      </c>
      <c r="CV34" s="2" t="s">
        <v>318</v>
      </c>
      <c r="CW34" s="2">
        <v>0</v>
      </c>
      <c r="CX34" s="2">
        <v>0</v>
      </c>
      <c r="CY34" s="2">
        <v>0</v>
      </c>
      <c r="CZ34" s="2">
        <v>0</v>
      </c>
      <c r="DA34" s="2">
        <v>0</v>
      </c>
      <c r="DB34" s="2">
        <v>0.05</v>
      </c>
      <c r="DC34" s="2">
        <v>0</v>
      </c>
      <c r="DD34" s="2">
        <v>0</v>
      </c>
      <c r="DE34" s="2">
        <v>0</v>
      </c>
      <c r="DF34" s="2">
        <v>0</v>
      </c>
      <c r="DG34" s="2">
        <v>0</v>
      </c>
      <c r="DH34" s="2">
        <v>0</v>
      </c>
      <c r="DI34" s="2">
        <v>229.14</v>
      </c>
      <c r="DJ34" s="2">
        <v>57.52</v>
      </c>
      <c r="DK34" s="2">
        <v>0</v>
      </c>
      <c r="DL34" s="2">
        <v>0</v>
      </c>
      <c r="DM34" s="2">
        <v>0</v>
      </c>
      <c r="DN34" s="2">
        <v>20.5</v>
      </c>
      <c r="DO34" s="2">
        <v>15.27</v>
      </c>
      <c r="DP34" s="2">
        <v>15.27</v>
      </c>
      <c r="DQ34" s="2">
        <v>0</v>
      </c>
      <c r="DR34" s="18">
        <v>43922</v>
      </c>
      <c r="DS34" s="18">
        <v>44286</v>
      </c>
      <c r="DT34" s="2">
        <v>18769</v>
      </c>
      <c r="DU34" s="2">
        <v>62305.985099999998</v>
      </c>
      <c r="DV34" s="2">
        <v>179064.35339999999</v>
      </c>
      <c r="DW34" s="2">
        <v>0</v>
      </c>
      <c r="DX34" s="2">
        <v>0</v>
      </c>
      <c r="DY34" s="2">
        <v>0</v>
      </c>
      <c r="DZ34" s="2">
        <v>107</v>
      </c>
      <c r="EA34" s="2">
        <v>0</v>
      </c>
      <c r="EB34" s="2">
        <v>5701.6385</v>
      </c>
      <c r="EC34" s="2">
        <v>0</v>
      </c>
      <c r="ED34" s="2">
        <v>0</v>
      </c>
      <c r="EE34" s="2">
        <v>338</v>
      </c>
      <c r="EF34" s="2">
        <v>0</v>
      </c>
      <c r="EG34" s="2">
        <v>934</v>
      </c>
      <c r="EH34" s="2" t="s">
        <v>457</v>
      </c>
      <c r="EI34" s="2">
        <v>621</v>
      </c>
      <c r="EJ34" s="2" t="s">
        <v>324</v>
      </c>
      <c r="EK34" s="2">
        <v>0</v>
      </c>
      <c r="EL34" s="2">
        <v>0</v>
      </c>
      <c r="EM34" s="2">
        <v>0</v>
      </c>
      <c r="EN34" s="2">
        <v>0</v>
      </c>
      <c r="EO34" s="2">
        <v>0</v>
      </c>
      <c r="EP34" s="2">
        <v>2843</v>
      </c>
      <c r="EQ34" s="2">
        <v>0</v>
      </c>
      <c r="ER34" s="2">
        <v>0</v>
      </c>
      <c r="ES34" s="2">
        <v>0</v>
      </c>
      <c r="ET34" s="2" t="s">
        <v>342</v>
      </c>
      <c r="EU34" s="2">
        <v>206</v>
      </c>
      <c r="EV34" s="2" t="s">
        <v>458</v>
      </c>
      <c r="EW34" s="2">
        <v>75</v>
      </c>
      <c r="EX34" s="2">
        <v>30902.400000000001</v>
      </c>
      <c r="EY34" s="2">
        <v>35791.800000000003</v>
      </c>
      <c r="EZ34" s="2" t="s">
        <v>326</v>
      </c>
      <c r="FA34" s="2">
        <v>0</v>
      </c>
      <c r="FB34" s="2" t="s">
        <v>326</v>
      </c>
      <c r="FC34" s="2">
        <v>0</v>
      </c>
      <c r="FD34" s="2"/>
      <c r="FE34" s="2"/>
      <c r="FF34" s="2">
        <v>1000</v>
      </c>
      <c r="FG34" s="2"/>
      <c r="FH34" s="19">
        <v>44480.624120370368</v>
      </c>
      <c r="FI34" s="2" t="s">
        <v>345</v>
      </c>
      <c r="FJ34" s="2">
        <f>SUM(DATA[[#This Row],[Number of Home support clients:]],DATA[[#This Row],[Number of supported living clients:]])</f>
        <v>13</v>
      </c>
      <c r="FK34"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34"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16.559999999999999</v>
      </c>
      <c r="FM34"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16.559999999999999</v>
      </c>
      <c r="FN34"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16.2</v>
      </c>
      <c r="FO34"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16.2</v>
      </c>
      <c r="FP34"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10.98</v>
      </c>
      <c r="FQ34"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10.98</v>
      </c>
      <c r="FR34"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10.79</v>
      </c>
      <c r="FS34"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10.79</v>
      </c>
      <c r="FT34"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34"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34"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34"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34"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34"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34"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34"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34"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34"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34"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34"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34"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9.26</v>
      </c>
      <c r="GG34"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9.26</v>
      </c>
      <c r="GH34"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9.07</v>
      </c>
      <c r="GI34"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9.07</v>
      </c>
      <c r="GJ34"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34"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34"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34"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34"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34"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34"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34"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34"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34"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34"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34"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34"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34"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34"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34"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34"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34"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34"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34"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34"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34"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34"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34"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34"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34"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34"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34"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34"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34"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34"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34"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34"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34"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34"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34"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34"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16.559999999999999</v>
      </c>
      <c r="HU34"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16.559999999999999</v>
      </c>
      <c r="HV34"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16.2</v>
      </c>
      <c r="HW34"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16.2</v>
      </c>
      <c r="HX34"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10.98</v>
      </c>
      <c r="HY34"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10.98</v>
      </c>
      <c r="HZ34"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10.79</v>
      </c>
      <c r="IA34"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10.79</v>
      </c>
      <c r="IB34"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34"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34"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34"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34"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34"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34"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34"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34"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34"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34"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34"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34"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9.26</v>
      </c>
      <c r="IO34"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9.26</v>
      </c>
      <c r="IP34"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9.07</v>
      </c>
      <c r="IQ34"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9.07</v>
      </c>
      <c r="IR34"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34"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34"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34"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34"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34"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34"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34"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34"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34"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34"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34"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34"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34"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34"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34"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34"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34"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34"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34"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34"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34"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34"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34"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34"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34"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34"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34"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34"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34"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34"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34"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34"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34"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34"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34"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34"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34" s="21">
        <f>SUM(DATA[[#This Row],[Care Assistant 1: Numbers employed (Full Time Equivalent)]],DATA[[#This Row],[Care Assistant 2: Numbers employed (Full Time Equivalent)]],DATA[[#This Row],[Care Assistant 3: Numbers employed (Full Time Equivalent)]],DATA[[#This Row],[Care Assistant 4: Numbers employed (Full Time Equivalent)]])</f>
        <v>8.6022857142857134</v>
      </c>
      <c r="KD34" s="21">
        <f>SUM(DATA[[#This Row],[Administrative Officer 1: Numbers employed (Full Time Equivalent)]],DATA[[#This Row],[Administrative Officer 2: Numbers employed (Full Time Equivalent)]])</f>
        <v>0</v>
      </c>
      <c r="KE34" s="21">
        <f>SUM(DATA[[#This Row],[Other staff 1: Numbers employed (Full Time Equivalent)]],DATA[[#This Row],[Other staff 2: Numbers employed (Full Time Equivalent)]],DATA[[#This Row],[Other staff 3: Numbers employed (Full Time Equivalent)]])</f>
        <v>0</v>
      </c>
      <c r="KF34" s="21">
        <f>SUM(DATA[[#This Row],[Total FTE Management Employees]:[Total FTE Other Employees]])</f>
        <v>10.602285714285713</v>
      </c>
      <c r="KG34" s="21" t="str">
        <f>IF(SUM(DATA[[#This Row],[Home Support service split percentage (Expenditure):]],DATA[[#This Row],[Supported Living service split percentage (Expenditure):]])&gt;0, IF(DATA[[#This Row],[Home Support service split percentage (Expenditure):]]&gt;0.5,"Home Support","Supported Living"), "Unknown")</f>
        <v>Supported Living</v>
      </c>
      <c r="KH34" s="21">
        <f>SUM(DATA[[#This Row],[Home Support: Birmingham City Council]:[Home Support: Self-funded]])</f>
        <v>0</v>
      </c>
      <c r="KI34" s="21">
        <f>SUM(DATA[[#This Row],[Supported Living: Birmingham City Council]:[Supported Living: Self-funded]])</f>
        <v>307.15999999999997</v>
      </c>
      <c r="KJ34"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34"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34"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34"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34" s="21" t="b">
        <f>SUM(DATA[[#This Row],[Number of hours of care charged for in last full accounting year]:[Corporate Overheads: Other  - please specify (category) 1]])&gt;0</f>
        <v>1</v>
      </c>
      <c r="KO34" s="21">
        <f>SUM(DATA[[#This Row],[Total annual expenditure: Management staff]:[Total annual expenditure: Training and development]])</f>
        <v>247178.97699999998</v>
      </c>
      <c r="KP34" s="21">
        <f>SUM(DATA[[#This Row],[Recruitment &amp; advertising (including DBS checks)]:[Non-Staffing Direct Cost: Other  - please specify (amount) 2]])</f>
        <v>1893</v>
      </c>
      <c r="KQ34" s="21">
        <f>SUM(DATA[[#This Row],[Insurance ]:[Indirect costs: Other 2 - please specify (amount)]])</f>
        <v>3124</v>
      </c>
      <c r="KR34" s="21">
        <f>SUM(DATA[[#This Row],[Central / Regional Management]],DATA[[#This Row],[Support Services (finance / HR / Payroll / legal etc.)]],DATA[[#This Row],[Corporate Overheads: Other  - please specify (amount) 1]],DATA[[#This Row],[Corporate Overheads: Other  - please specify (amount) 2]])</f>
        <v>66694.200000000012</v>
      </c>
      <c r="KS34"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3.3196219883851028</v>
      </c>
      <c r="KT34"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9.5404312110394791</v>
      </c>
      <c r="KU34"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34"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34"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4" s="30">
        <f>IF(OR(NOT(DATA[[#This Row],[Total annual expenditure: Travel Cost]]&gt;0),NOT(DATA[[#This Row],[Number of hours of care charged for in last full accounting year]]&gt;0)),0,DATA[[#This Row],[Total annual expenditure: Travel Cost]]/DATA[[#This Row],[Number of hours of care charged for in last full accounting year]])</f>
        <v>5.7008897650380952E-3</v>
      </c>
      <c r="KY34"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34"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0.30377955671586127</v>
      </c>
      <c r="LA34"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34"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34" s="30">
        <f>IF(OR(NOT(DATA[[#This Row],[Care consumables &amp; uniforms]]&gt;0),NOT(DATA[[#This Row],[Number of hours of care charged for in last full accounting year]]&gt;0)),0,DATA[[#This Row],[Care consumables &amp; uniforms]]/DATA[[#This Row],[Number of hours of care charged for in last full accounting year]])</f>
        <v>1.8008418136288562E-2</v>
      </c>
      <c r="LD34" s="30">
        <f>IF(OR(NOT(DATA[[#This Row],[Electronic call monitoring]]&gt;0),NOT(DATA[[#This Row],[Number of hours of care charged for in last full accounting year]]&gt;0)),0,DATA[[#This Row],[Electronic call monitoring]]/DATA[[#This Row],[Number of hours of care charged for in last full accounting year]])</f>
        <v>0</v>
      </c>
      <c r="LE34" s="30">
        <f>IF(OR(NOT(DATA[[#This Row],[IT Equipment &amp; Telephoney]]&gt;0),NOT(DATA[[#This Row],[Number of hours of care charged for in last full accounting year]]&gt;0)),0,DATA[[#This Row],[IT Equipment &amp; Telephoney]]/DATA[[#This Row],[Number of hours of care charged for in last full accounting year]])</f>
        <v>4.9762906920986734E-2</v>
      </c>
      <c r="LF34"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3.3086472374660343E-2</v>
      </c>
      <c r="LG34"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34" s="30">
        <f>IF(OR(NOT(DATA[[#This Row],[Insurance ]]&gt;0),NOT(DATA[[#This Row],[Number of hours of care charged for in last full accounting year]]&gt;0)),0,DATA[[#This Row],[Insurance ]]/DATA[[#This Row],[Number of hours of care charged for in last full accounting year]])</f>
        <v>0</v>
      </c>
      <c r="LI34"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34" s="30">
        <f>IF(OR(NOT(DATA[[#This Row],[Repairs and maintenance]]&gt;0),NOT(DATA[[#This Row],[Number of hours of care charged for in last full accounting year]]&gt;0)),0,DATA[[#This Row],[Repairs and maintenance]]/DATA[[#This Row],[Number of hours of care charged for in last full accounting year]])</f>
        <v>0</v>
      </c>
      <c r="LK34"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34" s="30">
        <f>IF(OR(NOT(DATA[[#This Row],[Registration &amp; Inspection fees ]]&gt;0),NOT(DATA[[#This Row],[Number of hours of care charged for in last full accounting year]]&gt;0)),0,DATA[[#This Row],[Registration &amp; Inspection fees ]]/DATA[[#This Row],[Number of hours of care charged for in last full accounting year]])</f>
        <v>0.15147317385049816</v>
      </c>
      <c r="LM34" s="30">
        <f>IF(OR(NOT(DATA[[#This Row],[Subscriptions]]&gt;0),NOT(DATA[[#This Row],[Number of hours of care charged for in last full accounting year]]&gt;0)),0,DATA[[#This Row],[Subscriptions]]/DATA[[#This Row],[Number of hours of care charged for in last full accounting year]])</f>
        <v>0</v>
      </c>
      <c r="LN34" s="30">
        <f>IF(OR(NOT(DATA[[#This Row],[Cost of finance]]&gt;0),NOT(DATA[[#This Row],[Number of hours of care charged for in last full accounting year]]&gt;0)),0,DATA[[#This Row],[Cost of finance]]/DATA[[#This Row],[Number of hours of care charged for in last full accounting year]])</f>
        <v>0</v>
      </c>
      <c r="LO34" s="30">
        <f>IF(OR(NOT(DATA[[#This Row],[Other non-staff current expenses]]&gt;0),NOT(DATA[[#This Row],[Number of hours of care charged for in last full accounting year]]&gt;0)),0,DATA[[#This Row],[Other non-staff current expenses]]/DATA[[#This Row],[Number of hours of care charged for in last full accounting year]])</f>
        <v>0</v>
      </c>
      <c r="LP34"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1.0975544781288295E-2</v>
      </c>
      <c r="LQ34"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3.9959507698865146E-3</v>
      </c>
      <c r="LR34" s="30">
        <f>IF(OR(NOT(DATA[[#This Row],[Central / Regional Management]]&gt;0),NOT(DATA[[#This Row],[Number of hours of care charged for in last full accounting year]]&gt;0)),0,DATA[[#This Row],[Central / Regional Management]]/DATA[[#This Row],[Number of hours of care charged for in last full accounting year]])</f>
        <v>1.6464595876178807</v>
      </c>
      <c r="LS34"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1.9069636102083223</v>
      </c>
      <c r="LT34"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4"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4" s="30">
        <f>SUM(DATA[[#This Row],[Management staff HOURLY RATE]:[Corporate Overheads: Other  - please specify (amount) 2 HOURLY RATE]])</f>
        <v>16.990259310565293</v>
      </c>
      <c r="LW34" s="30" t="str">
        <f>IF(OR(NOT(DATA[[#This Row],[Net Operating Profit]]&gt;0),NOT(DATA[[#This Row],[Number of hours of care charged for in last full accounting year]]&gt;0)),"",DATA[[#This Row],[Net Operating Profit]]/DATA[[#This Row],[Number of hours of care charged for in last full accounting year]])</f>
        <v/>
      </c>
      <c r="LX34" s="30">
        <f>IF(OR(NOT(DATA[[#This Row],[Return on Capital employed]]&gt;0),NOT(DATA[[#This Row],[Number of hours of care charged for in last full accounting year]]&gt;0)),0,DATA[[#This Row],[Return on Capital employed]]/DATA[[#This Row],[Number of hours of care charged for in last full accounting year]])</f>
        <v>0</v>
      </c>
      <c r="LY34" s="31">
        <v>28</v>
      </c>
      <c r="LZ34" s="30" t="s">
        <v>345</v>
      </c>
      <c r="MA34" s="30" t="b">
        <f>DATA[[#This Row],[Number of Home support clients:]]&gt;0</f>
        <v>0</v>
      </c>
      <c r="MB34" s="30" t="b">
        <f>DATA[[#This Row],[Number of supported living clients:]]&gt;0</f>
        <v>1</v>
      </c>
      <c r="MC34" s="30" t="b">
        <f>DATA[[#This Row],[Total Home Support Hours]]&gt;0</f>
        <v>0</v>
      </c>
      <c r="MD34" s="30" t="b">
        <f>DATA[[#This Row],[Total Supported Living Hours]]&gt;0</f>
        <v>1</v>
      </c>
      <c r="ME34" s="30" t="b">
        <f>DATA[[#This Row],[Home Support service split percentage (Expenditure):]]&gt;0.5</f>
        <v>0</v>
      </c>
      <c r="MF34" s="30" t="b">
        <f>DATA[[#This Row],[Agency staff HOURLY RATE]]=0</f>
        <v>1</v>
      </c>
      <c r="MG34"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4" s="30">
        <f>IFERROR(IF(AVERAGE(DATA[[#This Row],[Deputy manager: Current 2021/22 Minimum hourly pay rate ADJUSTED]],DATA[[#This Row],[Deputy manager: Current 2021/22 Maximum hourly pay rate ADJUSTED]])&lt;LIVING_WAGE_22_23,DATA[[#This Row],[Deputy manager: Numbers employed (Full Time Equivalent)]],0),"")</f>
        <v>0</v>
      </c>
      <c r="MI34" s="30" t="str">
        <f>IFERROR(IF(AVERAGE(DATA[[#This Row],[Other manager 1: Current 2021/22 Minimum hourly pay rate ADJUSTED]],DATA[[#This Row],[Other manager 1: Current 2021/22 Maximum hourly pay rate ADJUSTED]])&lt;LIVING_WAGE_22_23,DATA[[#This Row],[Other manager 1: Numbers employed (Full Time Equivalent)]],0),"")</f>
        <v/>
      </c>
      <c r="MJ34" s="30" t="str">
        <f>IFERROR(IF(AVERAGE(DATA[[#This Row],[Other manager 2: Current 2021/22 Minimum hourly pay rate ADJUSTED]],DATA[[#This Row],[Other manager 2: Current 2021/22 Maximum hourly pay rate ADJUSTED]])&lt;LIVING_WAGE_22_23,DATA[[#This Row],[Other manager 2: Numbers employed (Full Time Equivalent)]],0),"")</f>
        <v/>
      </c>
      <c r="MK34" s="30" t="str">
        <f>IFERROR(IF(AVERAGE(DATA[[#This Row],[Other manager 3: Current 2021/22 Minimum hourly pay rate ADJUSTED]],DATA[[#This Row],[Other manager 3: Current 2021/22 Maximum hourly pay rate ADJUSTED]])&lt;LIVING_WAGE_22_23,DATA[[#This Row],[Other manager 3: Numbers employed (Full Time Equivalent)]],0),"")</f>
        <v/>
      </c>
      <c r="ML34" s="30">
        <f>IFERROR(IF(AVERAGE(DATA[[#This Row],[Care Assistant 1: Current 2021/22 Minimum hourly pay rate ADJUSTED]],DATA[[#This Row],[Care Assistant 1: Current 2021/22 Maximum hourly pay rate ADJUSTED]])&lt;LIVING_WAGE_22_23,DATA[[#This Row],[Care Assistant 1: Numbers employed (Full Time Equivalent)]],0),"")</f>
        <v>8.6022857142857134</v>
      </c>
      <c r="MM34" s="30" t="str">
        <f>IFERROR(IF(AVERAGE(DATA[[#This Row],[Care Assistant 2: Current 2021/22 Minimum hourly pay rate ADJUSTED]],DATA[[#This Row],[Care Assistant 2: Current 2021/22 Maximum hourly pay rate ADJUSTED]])&lt;LIVING_WAGE_22_23,DATA[[#This Row],[Care Assistant 2: Numbers employed (Full Time Equivalent)]],0),"")</f>
        <v/>
      </c>
      <c r="MN34" s="30" t="str">
        <f>IFERROR(IF(AVERAGE(DATA[[#This Row],[Care Assistant 3: Current 2021/22 Minimum hourly pay rate ADJUSTED]],DATA[[#This Row],[Care Assistant 3: Current 2021/22 Maximum hourly pay rate ADJUSTED]])&lt;LIVING_WAGE_22_23,DATA[[#This Row],[Care Assistant 3: Numbers employed (Full Time Equivalent)]],0),"")</f>
        <v/>
      </c>
      <c r="MO34" s="30" t="str">
        <f>IFERROR(IF(AVERAGE(DATA[[#This Row],[Care Assistant 4: Current 2021/22 Minimum hourly pay rate ADJUSTED]],DATA[[#This Row],[Care Assistant 4: Current 2021/22 Maximum hourly pay rate ADJUSTED]])&lt;LIVING_WAGE_22_23,DATA[[#This Row],[Care Assistant 4: Numbers employed (Full Time Equivalent)]],0),"")</f>
        <v/>
      </c>
      <c r="MP34"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34"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34" s="30" t="str">
        <f>IFERROR(IF(AVERAGE(DATA[[#This Row],[Other staff 1: Current 2021/22 Minimum hourly pay rate ADJUSTED]],DATA[[#This Row],[Other staff 1: Current 2021/22 Maximum hourly pay rate ADJUSTED]])&lt;LIVING_WAGE_22_23,DATA[[#This Row],[Other staff 1: Numbers employed (Full Time Equivalent)]],0),"")</f>
        <v/>
      </c>
      <c r="MS34" s="30" t="str">
        <f>IFERROR(IF(AVERAGE(DATA[[#This Row],[Other staff 2: Current 2021/22 Minimum hourly pay rate ADJUSTED]],DATA[[#This Row],[Other staff 2: Current 2021/22 Maximum hourly pay rate ADJUSTED]])&lt;LIVING_WAGE_22_23,DATA[[#This Row],[Other staff 2: Numbers employed (Full Time Equivalent)]],0),"")</f>
        <v/>
      </c>
      <c r="MT34" s="30" t="str">
        <f>IFERROR(IF(AVERAGE(DATA[[#This Row],[Other staff 3: Current 2021/22 Minimum hourly pay rate ADJUSTED]],DATA[[#This Row],[Other staff 3: Current 2021/22 Maximum hourly pay rate ADJUSTED]])&lt;LIVING_WAGE_22_23,DATA[[#This Row],[Other staff 3: Numbers employed (Full Time Equivalent)]],0),"")</f>
        <v/>
      </c>
      <c r="MU34" s="30">
        <f>SUM(DATA[[#This Row],[Registered Manager FTE earning less than NLW 23yrs 2022/23]:[Other staff 3 FTE earning less than NLW 23yrs 2022/23]])</f>
        <v>8.6022857142857134</v>
      </c>
      <c r="MV34"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4"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34"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34"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34"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34"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2.0645485714285732</v>
      </c>
      <c r="NB34"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34"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34"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34"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34"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34"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34"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34"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34" s="30" t="b">
        <v>0</v>
      </c>
      <c r="NK34" s="30" t="b">
        <v>1</v>
      </c>
      <c r="NL34" s="30" t="s">
        <v>972</v>
      </c>
      <c r="NM34" s="30">
        <f>SUM(DATA[[#This Row],[Management staff HOURLY RATE]:[Training and development HOURLY RATE]])</f>
        <v>13.169533645905481</v>
      </c>
      <c r="NN34" s="30">
        <f>SUM(DATA[[#This Row],[Recruitment &amp; advertising (including DBS checks) HOURLY RATE]:[Non-Staffing Direct Cost: Other  - please specify (amount) 2 HOURLY RATE]])</f>
        <v>0.10085779743193563</v>
      </c>
      <c r="NO34" s="30">
        <f>SUM(DATA[[#This Row],[Insurance  HOURLY RATE]:[Indirect costs: Other  - please specify (amount) 2 HOURLY RATE]])</f>
        <v>0.16644466940167296</v>
      </c>
      <c r="NP34" s="30">
        <f>SUM(DATA[[#This Row],[Central / Regional Management HOURLY RATE]:[Corporate Overheads: Other  - please specify (amount) 2 HOURLY RATE]])</f>
        <v>3.553423197826203</v>
      </c>
      <c r="NQ34"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4" s="30">
        <f>IFERROR(IF(AVERAGE(DATA[[#This Row],[Deputy manager: Current 2021/22 Minimum hourly pay rate ADJUSTED]],DATA[[#This Row],[Deputy manager: Current 2021/22 Maximum hourly pay rate ADJUSTED]])&lt;REAL_LIVING_WAGE_22_23,DATA[[#This Row],[Deputy manager: Numbers employed (Full Time Equivalent)]],0),"")</f>
        <v>0</v>
      </c>
      <c r="NS34" s="30" t="str">
        <f>IFERROR(IF(AVERAGE(DATA[[#This Row],[Other manager 1: Current 2021/22 Minimum hourly pay rate ADJUSTED]],DATA[[#This Row],[Other manager 1: Current 2021/22 Maximum hourly pay rate ADJUSTED]])&lt;REAL_LIVING_WAGE_22_23,DATA[[#This Row],[Other manager 1: Numbers employed (Full Time Equivalent)]],0),"")</f>
        <v/>
      </c>
      <c r="NT34" s="30" t="str">
        <f>IFERROR(IF(AVERAGE(DATA[[#This Row],[Other manager 2: Current 2021/22 Minimum hourly pay rate ADJUSTED]],DATA[[#This Row],[Other manager 2: Current 2021/22 Maximum hourly pay rate ADJUSTED]])&lt;REAL_LIVING_WAGE_22_23,DATA[[#This Row],[Other manager 2: Numbers employed (Full Time Equivalent)]],0),"")</f>
        <v/>
      </c>
      <c r="NU34" s="30" t="str">
        <f>IFERROR(IF(AVERAGE(DATA[[#This Row],[Other manager 3: Current 2021/22 Minimum hourly pay rate ADJUSTED]],DATA[[#This Row],[Other manager 3: Current 2021/22 Maximum hourly pay rate ADJUSTED]])&lt;REAL_LIVING_WAGE_22_23,DATA[[#This Row],[Other manager 3: Numbers employed (Full Time Equivalent)]],0),"")</f>
        <v/>
      </c>
      <c r="NV34" s="30">
        <f>IFERROR(IF(AVERAGE(DATA[[#This Row],[Care Assistant 1: Current 2021/22 Minimum hourly pay rate ADJUSTED]],DATA[[#This Row],[Care Assistant 1: Current 2021/22 Maximum hourly pay rate ADJUSTED]])&lt;REAL_LIVING_WAGE_22_23,DATA[[#This Row],[Care Assistant 1: Numbers employed (Full Time Equivalent)]],0),"")</f>
        <v>8.6022857142857134</v>
      </c>
      <c r="NW34"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34"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34"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34"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34"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34" s="30" t="str">
        <f>IFERROR(IF(AVERAGE(DATA[[#This Row],[Other staff 1: Current 2021/22 Minimum hourly pay rate ADJUSTED]],DATA[[#This Row],[Other staff 1: Current 2021/22 Maximum hourly pay rate ADJUSTED]])&lt;REAL_LIVING_WAGE_22_23,DATA[[#This Row],[Other staff 1: Numbers employed (Full Time Equivalent)]],0),"")</f>
        <v/>
      </c>
      <c r="OC34" s="30" t="str">
        <f>IFERROR(IF(AVERAGE(DATA[[#This Row],[Other staff 2: Current 2021/22 Minimum hourly pay rate ADJUSTED]],DATA[[#This Row],[Other staff 2: Current 2021/22 Maximum hourly pay rate ADJUSTED]])&lt;REAL_LIVING_WAGE_22_23,DATA[[#This Row],[Other staff 2: Numbers employed (Full Time Equivalent)]],0),"")</f>
        <v/>
      </c>
      <c r="OD34" s="30" t="str">
        <f>IFERROR(IF(AVERAGE(DATA[[#This Row],[Other staff 3: Current 2021/22 Minimum hourly pay rate ADJUSTED]],DATA[[#This Row],[Other staff 3: Current 2021/22 Maximum hourly pay rate ADJUSTED]])&lt;REAL_LIVING_WAGE_22_23,DATA[[#This Row],[Other staff 3: Numbers employed (Full Time Equivalent)]],0),"")</f>
        <v/>
      </c>
      <c r="OE34" s="30">
        <f>SUM(DATA[[#This Row],[Registered Manager FTE earning less than RLW 23yrs 2022/23]:[Other staff 3 FTE earning less than RLW 23yrs 2022/23]])</f>
        <v>8.6022857142857134</v>
      </c>
      <c r="OF34"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4"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34"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34"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34"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34"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5.5054628571428612</v>
      </c>
      <c r="OL34"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34"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34"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34"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34"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34"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34"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34"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34" s="30">
        <f>IFERROR(IF(DATA[[#This Row],[Registered manager: Numbers employed (Full Time Equivalent)]]=0,"",DATA[[#This Row],[Registered manager: Current 2021/22 Minimum hourly pay rate ADJUSTED 2]]*DATA[[#This Row],[Registered manager: Numbers employed (Full Time Equivalent)]]),"")</f>
        <v>16.559999999999999</v>
      </c>
      <c r="OU34" s="30">
        <f>IFERROR(IF(DATA[[#This Row],[Registered manager: Numbers employed (Full Time Equivalent)]]=0,"",DATA[[#This Row],[Registered manager: Current 2021/22 Maximum hourly pay rate ADJUSTED 2]]*DATA[[#This Row],[Registered manager: Numbers employed (Full Time Equivalent)]]),"")</f>
        <v>16.559999999999999</v>
      </c>
      <c r="OV34" s="30">
        <f>IFERROR(IF(DATA[[#This Row],[Registered manager: Numbers employed (Full Time Equivalent)]]=0,"",DATA[[#This Row],[Registered manager: Previous 2020/21 Minimum hourly pay rate ADJUSTED 2]]*DATA[[#This Row],[Registered manager: Numbers employed (Full Time Equivalent)]]),"")</f>
        <v>16.2</v>
      </c>
      <c r="OW34" s="30">
        <f>IFERROR(IF(DATA[[#This Row],[Registered manager: Numbers employed (Full Time Equivalent)]]=0,"",DATA[[#This Row],[Registered manager: Previous 2020/21 Maximum hourly pay rate ADJUSTED 2]]*DATA[[#This Row],[Registered manager: Numbers employed (Full Time Equivalent)]]),"")</f>
        <v>16.2</v>
      </c>
      <c r="OX34" s="30">
        <f>IFERROR(IF(DATA[[#This Row],[Deputy manager: Numbers employed (Full Time Equivalent)]]=0,"",DATA[[#This Row],[Deputy manager: Current 2021/22 Minimum hourly pay rate ADJUSTED 2]]*DATA[[#This Row],[Deputy manager: Numbers employed (Full Time Equivalent)]]),"")</f>
        <v>10.98</v>
      </c>
      <c r="OY34" s="30">
        <f>IFERROR(IF(DATA[[#This Row],[Deputy manager: Numbers employed (Full Time Equivalent)]]=0,"",DATA[[#This Row],[Deputy manager: Current 2021/22 Maximum hourly pay rate ADJUSTED 2]]*DATA[[#This Row],[Deputy manager: Numbers employed (Full Time Equivalent)]]),"")</f>
        <v>10.98</v>
      </c>
      <c r="OZ34" s="30">
        <f>IFERROR(IF(DATA[[#This Row],[Deputy manager: Numbers employed (Full Time Equivalent)]]=0,"",DATA[[#This Row],[Deputy manager: Previous 2020/21 Minimum hourly pay rate ADJUSTED 2]]*DATA[[#This Row],[Deputy manager: Numbers employed (Full Time Equivalent)]]),"")</f>
        <v>10.79</v>
      </c>
      <c r="PA34" s="30">
        <f>IFERROR(IF(DATA[[#This Row],[Deputy manager: Numbers employed (Full Time Equivalent)]]=0,"",DATA[[#This Row],[Deputy manager: Previous 2020/21 Maximum hourly pay rate ADJUSTED 2]]*DATA[[#This Row],[Deputy manager: Numbers employed (Full Time Equivalent)]]),"")</f>
        <v>10.79</v>
      </c>
      <c r="PB34" s="30" t="str">
        <f>IFERROR(IF(DATA[[#This Row],[Other manager 1: Numbers employed (Full Time Equivalent)]]=0,"",DATA[[#This Row],[Other manager 1: Current 2021/22 Minimum hourly pay rate ADJUSTED 2]]*DATA[[#This Row],[Other manager 1: Numbers employed (Full Time Equivalent)]]),"")</f>
        <v/>
      </c>
      <c r="PC34" s="30" t="str">
        <f>IFERROR(IF(DATA[[#This Row],[Other manager 1: Numbers employed (Full Time Equivalent)]]=0,"",DATA[[#This Row],[Other manager 1: Current 2021/22 Maximum hourly pay rate ADJUSTED 2]]*DATA[[#This Row],[Other manager 1: Numbers employed (Full Time Equivalent)]]),"")</f>
        <v/>
      </c>
      <c r="PD34" s="30" t="str">
        <f>IFERROR(IF(DATA[[#This Row],[Other manager 1: Numbers employed (Full Time Equivalent)]]=0,"",DATA[[#This Row],[Other manager 1: Previous 2020/21 Minimum hourly pay rate ADJUSTED 2]]*DATA[[#This Row],[Other manager 1: Numbers employed (Full Time Equivalent)]]),"")</f>
        <v/>
      </c>
      <c r="PE34" s="30" t="str">
        <f>IFERROR(IF(DATA[[#This Row],[Other manager 1: Numbers employed (Full Time Equivalent)]]=0,"",DATA[[#This Row],[Other manager 1: Previous 2020/21 Maximum hourly pay rate ADJUSTED 2]]*DATA[[#This Row],[Other manager 1: Numbers employed (Full Time Equivalent)]]),"")</f>
        <v/>
      </c>
      <c r="PF34" s="30" t="str">
        <f>IFERROR(IF(DATA[[#This Row],[Other manager 2: Numbers employed (Full Time Equivalent)]]=0,"",DATA[[#This Row],[Other manager 2: Current 2021/22 Minimum hourly pay rate ADJUSTED 2]]*DATA[[#This Row],[Other manager 2: Numbers employed (Full Time Equivalent)]]),"")</f>
        <v/>
      </c>
      <c r="PG34" s="30" t="str">
        <f>IFERROR(IF(DATA[[#This Row],[Other manager 2: Numbers employed (Full Time Equivalent)]]=0,"",DATA[[#This Row],[Other manager 2: Current 2021/22 Maximum hourly pay rate ADJUSTED 2]]*DATA[[#This Row],[Other manager 2: Numbers employed (Full Time Equivalent)]]),"")</f>
        <v/>
      </c>
      <c r="PH34" s="30" t="str">
        <f>IFERROR(IF(DATA[[#This Row],[Other manager 2: Numbers employed (Full Time Equivalent)]]=0,"",DATA[[#This Row],[Other manager 2: Previous 2020/21 Minimum hourly pay rate ADJUSTED 2]]*DATA[[#This Row],[Other manager 2: Numbers employed (Full Time Equivalent)]]),"")</f>
        <v/>
      </c>
      <c r="PI34" s="30" t="str">
        <f>IFERROR(IF(DATA[[#This Row],[Other manager 2: Numbers employed (Full Time Equivalent)]]=0,"",DATA[[#This Row],[Other manager 2: Previous 2020/21 Maximum hourly pay rate ADJUSTED 2]]*DATA[[#This Row],[Other manager 2: Numbers employed (Full Time Equivalent)]]),"")</f>
        <v/>
      </c>
      <c r="PJ34" s="30" t="str">
        <f>IFERROR(IF(DATA[[#This Row],[Other manager 3: Numbers employed (Full Time Equivalent)]]=0,"",DATA[[#This Row],[Other manager 3: Current 2021/22 Minimum hourly pay rate ADJUSTED 2]]*DATA[[#This Row],[Other manager 3: Numbers employed (Full Time Equivalent)]]),"")</f>
        <v/>
      </c>
      <c r="PK34" s="30" t="str">
        <f>IFERROR(IF(DATA[[#This Row],[Other manager 3: Numbers employed (Full Time Equivalent)]]=0,"",DATA[[#This Row],[Other manager 3: Current 2021/22 Maximum hourly pay rate ADJUSTED 2]]*DATA[[#This Row],[Other manager 3: Numbers employed (Full Time Equivalent)]]),"")</f>
        <v/>
      </c>
      <c r="PL34" s="30" t="str">
        <f>IFERROR(IF(DATA[[#This Row],[Other manager 3: Numbers employed (Full Time Equivalent)]]=0,"",DATA[[#This Row],[Other manager 3: Previous 2020/21 Minimum hourly pay rate ADJUSTED 2]]*DATA[[#This Row],[Other manager 3: Numbers employed (Full Time Equivalent)]]),"")</f>
        <v/>
      </c>
      <c r="PM34" s="30" t="str">
        <f>IFERROR(IF(DATA[[#This Row],[Other manager 3: Numbers employed (Full Time Equivalent)]]=0,"",DATA[[#This Row],[Other manager 3: Previous 2020/21 Maximum hourly pay rate ADJUSTED 2]]*DATA[[#This Row],[Other manager 3: Numbers employed (Full Time Equivalent)]]),"")</f>
        <v/>
      </c>
      <c r="PN34" s="30">
        <f>IFERROR(IF(DATA[[#This Row],[Care Assistant 1: Numbers employed (Full Time Equivalent)]]=0,"",DATA[[#This Row],[Care Assistant 1: Current 2021/22 Minimum hourly pay rate ADJUSTED 2]]*DATA[[#This Row],[Care Assistant 1: Numbers employed (Full Time Equivalent)]]),"")</f>
        <v>79.657165714285711</v>
      </c>
      <c r="PO34" s="30">
        <f>IFERROR(IF(DATA[[#This Row],[Care Assistant 1: Numbers employed (Full Time Equivalent)]]=0,"",DATA[[#This Row],[Care Assistant 1: Current 2021/22 Maximum hourly pay rate ADJUSTED 2]]*DATA[[#This Row],[Care Assistant 1: Numbers employed (Full Time Equivalent)]]),"")</f>
        <v>79.657165714285711</v>
      </c>
      <c r="PP34" s="30">
        <f>IFERROR(IF(DATA[[#This Row],[Care Assistant 1: Numbers employed (Full Time Equivalent)]]=0,"",DATA[[#This Row],[Care Assistant 1: Previous 2020/21 Minimum hourly pay rate ADJUSTED 2]]*DATA[[#This Row],[Care Assistant 1: Numbers employed (Full Time Equivalent)]]),"")</f>
        <v>78.022731428571419</v>
      </c>
      <c r="PQ34" s="30">
        <f>IFERROR(IF(DATA[[#This Row],[Care Assistant 1: Numbers employed (Full Time Equivalent)]]=0,"",DATA[[#This Row],[Care Assistant 1: Previous 2020/21 Maximum hourly pay rate ADJUSTED 2]]*DATA[[#This Row],[Care Assistant 1: Numbers employed (Full Time Equivalent)]]),"")</f>
        <v>78.022731428571419</v>
      </c>
      <c r="PR34" s="30" t="str">
        <f>IFERROR(IF(DATA[[#This Row],[Care Assistant 2: Numbers employed (Full Time Equivalent)]]=0,"",DATA[[#This Row],[Care Assistant 2: Current 2021/22 Minimum hourly pay rate ADJUSTED 2]]*DATA[[#This Row],[Care Assistant 2: Numbers employed (Full Time Equivalent)]]),"")</f>
        <v/>
      </c>
      <c r="PS34" s="30" t="str">
        <f>IFERROR(IF(DATA[[#This Row],[Care Assistant 2: Numbers employed (Full Time Equivalent)]]=0,"",DATA[[#This Row],[Care Assistant 2: Current 2021/22 Maximum hourly pay rate ADJUSTED 2]]*DATA[[#This Row],[Care Assistant 2: Numbers employed (Full Time Equivalent)]]),"")</f>
        <v/>
      </c>
      <c r="PT34" s="30" t="str">
        <f>IFERROR(IF(DATA[[#This Row],[Care Assistant 2: Numbers employed (Full Time Equivalent)]]=0,"",DATA[[#This Row],[Care Assistant 2: Previous 2020/21 Minimum hourly pay rate ADJUSTED 2]]*DATA[[#This Row],[Care Assistant 2: Numbers employed (Full Time Equivalent)]]),"")</f>
        <v/>
      </c>
      <c r="PU34" s="30" t="str">
        <f>IFERROR(IF(DATA[[#This Row],[Care Assistant 2: Numbers employed (Full Time Equivalent)]]=0,"",DATA[[#This Row],[Care Assistant 2: Previous 2020/21 Maximum hourly pay rate ADJUSTED 2]]*DATA[[#This Row],[Care Assistant 2: Numbers employed (Full Time Equivalent)]]),"")</f>
        <v/>
      </c>
      <c r="PV34" s="30" t="str">
        <f>IFERROR(IF(DATA[[#This Row],[Care Assistant 3: Numbers employed (Full Time Equivalent)]]=0,"",DATA[[#This Row],[Care Assistant 3: Current 2021/22 Minimum hourly pay rate ADJUSTED 2]]*DATA[[#This Row],[Care Assistant 3: Numbers employed (Full Time Equivalent)]]),"")</f>
        <v/>
      </c>
      <c r="PW34" s="30" t="str">
        <f>IFERROR(IF(DATA[[#This Row],[Care Assistant 3: Numbers employed (Full Time Equivalent)]]=0,"",DATA[[#This Row],[Care Assistant 3: Current 2021/22 Maximum hourly pay rate ADJUSTED 2]]*DATA[[#This Row],[Care Assistant 3: Numbers employed (Full Time Equivalent)]]),"")</f>
        <v/>
      </c>
      <c r="PX34" s="30" t="str">
        <f>IFERROR(IF(DATA[[#This Row],[Care Assistant 3: Numbers employed (Full Time Equivalent)]]=0,"",DATA[[#This Row],[Care Assistant 3: Previous 2020/21 Minimum hourly pay rate ADJUSTED 2]]*DATA[[#This Row],[Care Assistant 3: Numbers employed (Full Time Equivalent)]]),"")</f>
        <v/>
      </c>
      <c r="PY34" s="30" t="str">
        <f>IFERROR(IF(DATA[[#This Row],[Care Assistant 3: Numbers employed (Full Time Equivalent)]]=0,"",DATA[[#This Row],[Care Assistant 3: Previous 2020/21 Maximum hourly pay rate ADJUSTED 2]]*DATA[[#This Row],[Care Assistant 3: Numbers employed (Full Time Equivalent)]]),"")</f>
        <v/>
      </c>
      <c r="PZ34" s="30" t="str">
        <f>IFERROR(IF(DATA[[#This Row],[Care Assistant 4: Numbers employed (Full Time Equivalent)]]=0,"",DATA[[#This Row],[Care Assistant 4: Current 2021/22 Minimum hourly pay rate ADJUSTED 2]]*DATA[[#This Row],[Care Assistant 4: Numbers employed (Full Time Equivalent)]]),"")</f>
        <v/>
      </c>
      <c r="QA34" s="30" t="str">
        <f>IFERROR(IF(DATA[[#This Row],[Care Assistant 4: Numbers employed (Full Time Equivalent)]]=0,"",DATA[[#This Row],[Care Assistant 4: Current 2021/22 Maximum hourly pay rate ADJUSTED 2]]*DATA[[#This Row],[Care Assistant 4: Numbers employed (Full Time Equivalent)]]),"")</f>
        <v/>
      </c>
      <c r="QB34" s="30" t="str">
        <f>IFERROR(IF(DATA[[#This Row],[Care Assistant 4: Numbers employed (Full Time Equivalent)]]=0,"",DATA[[#This Row],[Care Assistant 4: Previous 2020/21 Minimum hourly pay rate ADJUSTED 2]]*DATA[[#This Row],[Care Assistant 4: Numbers employed (Full Time Equivalent)]]),"")</f>
        <v/>
      </c>
      <c r="QC34" s="30" t="str">
        <f>IFERROR(IF(DATA[[#This Row],[Care Assistant 4: Numbers employed (Full Time Equivalent)]]=0,"",DATA[[#This Row],[Care Assistant 4: Previous 2020/21 Maximum hourly pay rate ADJUSTED 2]]*DATA[[#This Row],[Care Assistant 4: Numbers employed (Full Time Equivalent)]]),"")</f>
        <v/>
      </c>
      <c r="QD34" s="30" t="str">
        <f>IFERROR(IF(DATA[[#This Row],[Administrative Officer 1: Numbers employed (Full Time Equivalent)]]=0,"",DATA[[#This Row],[Administrative Officer 1: Current 2021/22 Minimum hourly pay rate ADJUSTED 2]]*DATA[[#This Row],[Administrative Officer 1: Numbers employed (Full Time Equivalent)]]),"")</f>
        <v/>
      </c>
      <c r="QE34" s="30" t="str">
        <f>IFERROR(IF(DATA[[#This Row],[Administrative Officer 1: Numbers employed (Full Time Equivalent)]]=0,"",DATA[[#This Row],[Administrative Officer 1: Current 2021/22 Maximum hourly pay rate ADJUSTED 2]]*DATA[[#This Row],[Administrative Officer 1: Numbers employed (Full Time Equivalent)]]),"")</f>
        <v/>
      </c>
      <c r="QF34" s="30" t="str">
        <f>IFERROR(IF(DATA[[#This Row],[Administrative Officer 1: Numbers employed (Full Time Equivalent)]]=0,"",DATA[[#This Row],[Administrative Officer 1: Previous 2020/21 Minimum hourly pay rate ADJUSTED 2]]*DATA[[#This Row],[Administrative Officer 1: Numbers employed (Full Time Equivalent)]]),"")</f>
        <v/>
      </c>
      <c r="QG34" s="30" t="str">
        <f>IFERROR(IF(DATA[[#This Row],[Administrative Officer 1: Numbers employed (Full Time Equivalent)]]=0,"",DATA[[#This Row],[Administrative Officer 1: Previous 2020/21 Maximum hourly pay rate ADJUSTED 2]]*DATA[[#This Row],[Administrative Officer 1: Numbers employed (Full Time Equivalent)]]),"")</f>
        <v/>
      </c>
      <c r="QH34" s="30" t="str">
        <f>IFERROR(IF(DATA[[#This Row],[Administrative Officer 2: Numbers employed (Full Time Equivalent)]]=0,"",DATA[[#This Row],[Administrative Officer 2: Current 2021/22 Minimum hourly pay rate ADJUSTED 2]]*DATA[[#This Row],[Administrative Officer 2: Numbers employed (Full Time Equivalent)]]),"")</f>
        <v/>
      </c>
      <c r="QI34" s="30" t="str">
        <f>IFERROR(IF(DATA[[#This Row],[Administrative Officer 2: Numbers employed (Full Time Equivalent)]]=0,"",DATA[[#This Row],[Administrative Officer 2: Current 2021/22 Maximum hourly pay rate ADJUSTED 2]]*DATA[[#This Row],[Administrative Officer 2: Numbers employed (Full Time Equivalent)]]),"")</f>
        <v/>
      </c>
      <c r="QJ34" s="30" t="str">
        <f>IFERROR(IF(DATA[[#This Row],[Administrative Officer 2: Numbers employed (Full Time Equivalent)]]=0,"",DATA[[#This Row],[Administrative Officer 2: Previous 2020/21 Minimum hourly pay rate ADJUSTED 2]]*DATA[[#This Row],[Administrative Officer 2: Numbers employed (Full Time Equivalent)]]),"")</f>
        <v/>
      </c>
      <c r="QK34" s="30" t="str">
        <f>IFERROR(IF(DATA[[#This Row],[Administrative Officer 2: Numbers employed (Full Time Equivalent)]]=0,"",DATA[[#This Row],[Administrative Officer 2: Previous 2020/21 Maximum hourly pay rate ADJUSTED 2]]*DATA[[#This Row],[Administrative Officer 2: Numbers employed (Full Time Equivalent)]]),"")</f>
        <v/>
      </c>
      <c r="QL34" s="30" t="str">
        <f>IFERROR(IF(DATA[[#This Row],[Administrative Officer 3: Numbers employed (Full Time Equivalent)]]=0,"",DATA[[#This Row],[Administrative Officer 3: Current 2021/22 Minimum hourly pay rate ADJUSTED 2]]*DATA[[#This Row],[Administrative Officer 3: Numbers employed (Full Time Equivalent)]]),"")</f>
        <v/>
      </c>
      <c r="QM34" s="30" t="str">
        <f>IFERROR(IF(DATA[[#This Row],[Administrative Officer 3: Numbers employed (Full Time Equivalent)]]=0,"",DATA[[#This Row],[Administrative Officer 3: Current 2021/22 Maximum hourly pay rate ADJUSTED 2]]*DATA[[#This Row],[Administrative Officer 3: Numbers employed (Full Time Equivalent)]]),"")</f>
        <v/>
      </c>
      <c r="QN34" s="30" t="str">
        <f>IFERROR(IF(DATA[[#This Row],[Administrative Officer 3: Numbers employed (Full Time Equivalent)]]=0,"",DATA[[#This Row],[Administrative Officer 3: Previous 2020/21 Minimum hourly pay rate ADJUSTED 2]]*DATA[[#This Row],[Administrative Officer 3: Numbers employed (Full Time Equivalent)]]),"")</f>
        <v/>
      </c>
      <c r="QO34" s="30" t="str">
        <f>IFERROR(IF(DATA[[#This Row],[Administrative Officer 3: Numbers employed (Full Time Equivalent)]]=0,"",DATA[[#This Row],[Administrative Officer 3: Previous 2020/21 Maximum hourly pay rate ADJUSTED 2]]*DATA[[#This Row],[Administrative Officer 3: Numbers employed (Full Time Equivalent)]]),"")</f>
        <v/>
      </c>
      <c r="QP34" s="28" t="str">
        <f>IFERROR(IF(DATA[[#This Row],[Other staff 1: Numbers employed (Full Time Equivalent)]]=0,"",DATA[[#This Row],[Other staff 1: Current 2021/22 Minimum hourly pay rate ADJUSTED 2]]*DATA[[#This Row],[Other staff 1: Numbers employed (Full Time Equivalent)]]),"")</f>
        <v/>
      </c>
      <c r="QQ34" s="28" t="str">
        <f>IFERROR(IF(DATA[[#This Row],[Other staff 1: Numbers employed (Full Time Equivalent)]]=0,"",DATA[[#This Row],[Other staff 1: Current 2021/22 Maximum hourly pay rate ADJUSTED 2]]*DATA[[#This Row],[Other staff 1: Numbers employed (Full Time Equivalent)]]),"")</f>
        <v/>
      </c>
      <c r="QR34" s="28" t="str">
        <f>IFERROR(IF(DATA[[#This Row],[Other staff 1: Numbers employed (Full Time Equivalent)]]=0,"",DATA[[#This Row],[Other staff 1: Previous 2020/21 Minimum hourly pay rate ADJUSTED 2]]*DATA[[#This Row],[Other staff 1: Numbers employed (Full Time Equivalent)]]),"")</f>
        <v/>
      </c>
      <c r="QS34" s="28" t="str">
        <f>IFERROR(IF(DATA[[#This Row],[Other staff 1: Numbers employed (Full Time Equivalent)]]=0,"",DATA[[#This Row],[Other staff 1: Previous 2020/21 Maximum hourly pay rate ADJUSTED 2]]*DATA[[#This Row],[Other staff 1: Numbers employed (Full Time Equivalent)]]),"")</f>
        <v/>
      </c>
      <c r="QT34" s="28" t="str">
        <f>IFERROR(IF(DATA[[#This Row],[Other staff 2: Numbers employed (Full Time Equivalent)]]=0,"",DATA[[#This Row],[Other staff 2: Current 2021/22 Minimum hourly pay rate ADJUSTED 2]]*DATA[[#This Row],[Other staff 2: Numbers employed (Full Time Equivalent)]]),"")</f>
        <v/>
      </c>
      <c r="QU34" s="28" t="str">
        <f>IFERROR(IF(DATA[[#This Row],[Other staff 2: Numbers employed (Full Time Equivalent)]]=0,"",DATA[[#This Row],[Other staff 2: Current 2021/22 Maximum hourly pay rate ADJUSTED 2]]*DATA[[#This Row],[Other staff 2: Numbers employed (Full Time Equivalent)]]),"")</f>
        <v/>
      </c>
      <c r="QV34" s="28" t="str">
        <f>IFERROR(IF(DATA[[#This Row],[Other staff 2: Numbers employed (Full Time Equivalent)]]=0,"",DATA[[#This Row],[Other staff 2: Previous 2020/21 Minimum hourly pay rate ADJUSTED 2]]*DATA[[#This Row],[Other staff 2: Numbers employed (Full Time Equivalent)]]),"")</f>
        <v/>
      </c>
      <c r="QW34" s="28" t="str">
        <f>IFERROR(IF(DATA[[#This Row],[Other staff 2: Numbers employed (Full Time Equivalent)]]=0,"",DATA[[#This Row],[Other staff 2: Previous 2020/21 Maximum hourly pay rate ADJUSTED 2]]*DATA[[#This Row],[Other staff 2: Numbers employed (Full Time Equivalent)]]),"")</f>
        <v/>
      </c>
      <c r="QX34" s="28" t="str">
        <f>IFERROR(IF(DATA[[#This Row],[Other staff 3: Numbers employed (Full Time Equivalent)]]=0,"",DATA[[#This Row],[Other staff 3: Current 2021/22 Minimum hourly pay rate ADJUSTED 2]]*DATA[[#This Row],[Other staff 3: Numbers employed (Full Time Equivalent)]]),"")</f>
        <v/>
      </c>
      <c r="QY34" s="28" t="str">
        <f>IFERROR(IF(DATA[[#This Row],[Other staff 3: Numbers employed (Full Time Equivalent)]]=0,"",DATA[[#This Row],[Other staff 3: Current 2021/22 Maximum hourly pay rate ADJUSTED 2]]*DATA[[#This Row],[Other staff 3: Numbers employed (Full Time Equivalent)]]),"")</f>
        <v/>
      </c>
      <c r="QZ34" s="28" t="str">
        <f>IFERROR(IF(DATA[[#This Row],[Other staff 3: Numbers employed (Full Time Equivalent)]]=0,"",DATA[[#This Row],[Other staff 3: Previous 2020/21 Minimum hourly pay rate ADJUSTED 2]]*DATA[[#This Row],[Other staff 3: Numbers employed (Full Time Equivalent)]]),"")</f>
        <v/>
      </c>
      <c r="RA34" s="28" t="str">
        <f>IFERROR(IF(DATA[[#This Row],[Other staff 3: Numbers employed (Full Time Equivalent)]]=0,"",DATA[[#This Row],[Other staff 3: Previous 2020/21 Maximum hourly pay rate ADJUSTED 2]]*DATA[[#This Row],[Other staff 3: Numbers employed (Full Time Equivalent)]]),"")</f>
        <v/>
      </c>
      <c r="RB34"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34"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34"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34"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34"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34"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8.6022857142857134</v>
      </c>
      <c r="RH34"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34"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34"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34"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34"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34"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34"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34"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34"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5" spans="7:484" x14ac:dyDescent="0.25">
      <c r="G35" s="2">
        <v>29</v>
      </c>
      <c r="H35" s="2">
        <v>30</v>
      </c>
      <c r="I35" s="2">
        <v>0</v>
      </c>
      <c r="J35" s="2">
        <v>1</v>
      </c>
      <c r="K35" s="2">
        <v>0</v>
      </c>
      <c r="L35" s="2" t="s">
        <v>328</v>
      </c>
      <c r="M35" s="2" t="s">
        <v>328</v>
      </c>
      <c r="R35" s="2">
        <v>10</v>
      </c>
      <c r="S35" s="2">
        <v>10</v>
      </c>
      <c r="T35" s="2">
        <v>10</v>
      </c>
      <c r="U35" s="2">
        <v>10</v>
      </c>
      <c r="V35" s="2">
        <v>1</v>
      </c>
      <c r="W35" s="2">
        <v>0</v>
      </c>
      <c r="X35" s="2">
        <v>0</v>
      </c>
      <c r="Y35" s="2">
        <v>0</v>
      </c>
      <c r="Z35" s="2">
        <v>0</v>
      </c>
      <c r="AA35" s="2">
        <v>0</v>
      </c>
      <c r="AB35" s="2" t="s">
        <v>315</v>
      </c>
      <c r="AC35" s="2">
        <v>0</v>
      </c>
      <c r="AD35" s="2">
        <v>0</v>
      </c>
      <c r="AE35" s="2">
        <v>0</v>
      </c>
      <c r="AF35" s="2">
        <v>0</v>
      </c>
      <c r="AG35" s="2">
        <v>0</v>
      </c>
      <c r="AH35" s="2" t="s">
        <v>315</v>
      </c>
      <c r="AI35" s="2">
        <v>0</v>
      </c>
      <c r="AJ35" s="2">
        <v>0</v>
      </c>
      <c r="AK35" s="2">
        <v>0</v>
      </c>
      <c r="AL35" s="2">
        <v>0</v>
      </c>
      <c r="AM35" s="2">
        <v>0</v>
      </c>
      <c r="AN35" s="2" t="s">
        <v>315</v>
      </c>
      <c r="AO35" s="2">
        <v>0</v>
      </c>
      <c r="AP35" s="2">
        <v>0</v>
      </c>
      <c r="AQ35" s="2">
        <v>0</v>
      </c>
      <c r="AR35" s="2">
        <v>0</v>
      </c>
      <c r="AS35" s="2">
        <v>0</v>
      </c>
      <c r="AT35" s="2" t="s">
        <v>459</v>
      </c>
      <c r="AU35" s="2">
        <v>9.01</v>
      </c>
      <c r="AV35" s="2">
        <v>9.76</v>
      </c>
      <c r="AW35" s="2">
        <v>8.7200000000000006</v>
      </c>
      <c r="AX35" s="2">
        <v>9.49</v>
      </c>
      <c r="AY35" s="2">
        <v>26</v>
      </c>
      <c r="AZ35" s="2" t="s">
        <v>460</v>
      </c>
      <c r="BA35" s="2">
        <v>9.11</v>
      </c>
      <c r="BB35" s="2">
        <v>9.8699999999999992</v>
      </c>
      <c r="BC35" s="2">
        <v>9.01</v>
      </c>
      <c r="BD35" s="2">
        <v>9.76</v>
      </c>
      <c r="BE35" s="2">
        <v>2</v>
      </c>
      <c r="BF35" s="2" t="s">
        <v>316</v>
      </c>
      <c r="BG35" s="2">
        <v>0</v>
      </c>
      <c r="BH35" s="2">
        <v>0</v>
      </c>
      <c r="BI35" s="2">
        <v>0</v>
      </c>
      <c r="BJ35" s="2">
        <v>0</v>
      </c>
      <c r="BK35" s="2">
        <v>0</v>
      </c>
      <c r="BL35" s="2" t="s">
        <v>316</v>
      </c>
      <c r="BM35" s="2">
        <v>0</v>
      </c>
      <c r="BN35" s="2">
        <v>0</v>
      </c>
      <c r="BO35" s="2">
        <v>0</v>
      </c>
      <c r="BP35" s="2">
        <v>0</v>
      </c>
      <c r="BQ35" s="2">
        <v>0</v>
      </c>
      <c r="BR35" s="2" t="s">
        <v>461</v>
      </c>
      <c r="BS35" s="2">
        <v>9.01</v>
      </c>
      <c r="BT35" s="2">
        <v>9.01</v>
      </c>
      <c r="BU35" s="2">
        <v>10</v>
      </c>
      <c r="BV35" s="2">
        <v>10</v>
      </c>
      <c r="BW35" s="2">
        <v>1</v>
      </c>
      <c r="BX35" s="2" t="s">
        <v>462</v>
      </c>
      <c r="BY35" s="2">
        <v>9.01</v>
      </c>
      <c r="BZ35" s="2">
        <v>9.01</v>
      </c>
      <c r="CA35" s="2">
        <v>9.01</v>
      </c>
      <c r="CB35" s="2">
        <v>9.01</v>
      </c>
      <c r="CC35" s="2">
        <v>4</v>
      </c>
      <c r="CD35" s="2" t="s">
        <v>317</v>
      </c>
      <c r="CE35" s="2">
        <v>0</v>
      </c>
      <c r="CF35" s="2">
        <v>0</v>
      </c>
      <c r="CG35" s="2">
        <v>0</v>
      </c>
      <c r="CH35" s="2">
        <v>0</v>
      </c>
      <c r="CI35" s="2">
        <v>0</v>
      </c>
      <c r="CJ35" s="2" t="s">
        <v>318</v>
      </c>
      <c r="CK35" s="2">
        <v>0</v>
      </c>
      <c r="CL35" s="2">
        <v>0</v>
      </c>
      <c r="CM35" s="2">
        <v>0</v>
      </c>
      <c r="CN35" s="2">
        <v>0</v>
      </c>
      <c r="CO35" s="2">
        <v>0</v>
      </c>
      <c r="CP35" s="2" t="s">
        <v>318</v>
      </c>
      <c r="CQ35" s="2">
        <v>0</v>
      </c>
      <c r="CR35" s="2">
        <v>0</v>
      </c>
      <c r="CS35" s="2">
        <v>0</v>
      </c>
      <c r="CT35" s="2">
        <v>0</v>
      </c>
      <c r="CU35" s="2">
        <v>0</v>
      </c>
      <c r="CV35" s="2" t="s">
        <v>318</v>
      </c>
      <c r="CW35" s="2">
        <v>0</v>
      </c>
      <c r="CX35" s="2">
        <v>0</v>
      </c>
      <c r="CY35" s="2">
        <v>0</v>
      </c>
      <c r="CZ35" s="2">
        <v>0</v>
      </c>
      <c r="DA35" s="2">
        <v>0</v>
      </c>
      <c r="DB35" s="2">
        <v>0.03</v>
      </c>
      <c r="DC35" s="2">
        <v>20.25</v>
      </c>
      <c r="DD35" s="2">
        <v>68.25</v>
      </c>
      <c r="DE35" s="2">
        <v>153</v>
      </c>
      <c r="DF35" s="2">
        <v>0</v>
      </c>
      <c r="DG35" s="2">
        <v>301.5</v>
      </c>
      <c r="DH35" s="2">
        <v>0</v>
      </c>
      <c r="DI35" s="2">
        <v>0</v>
      </c>
      <c r="DJ35" s="2">
        <v>0</v>
      </c>
      <c r="DK35" s="2">
        <v>0</v>
      </c>
      <c r="DL35" s="2">
        <v>0</v>
      </c>
      <c r="DM35" s="2">
        <v>0</v>
      </c>
      <c r="DN35" s="2">
        <v>0</v>
      </c>
      <c r="DO35" s="2">
        <v>15.58</v>
      </c>
      <c r="DP35" s="2">
        <v>15.58</v>
      </c>
      <c r="DQ35" s="2">
        <v>14</v>
      </c>
      <c r="DR35" s="18">
        <v>43709</v>
      </c>
      <c r="DS35" s="18">
        <v>44073</v>
      </c>
      <c r="DT35" s="2">
        <v>19476</v>
      </c>
      <c r="DU35" s="2">
        <v>11500</v>
      </c>
      <c r="DV35" s="2">
        <v>195343</v>
      </c>
      <c r="DW35" s="2">
        <v>0</v>
      </c>
      <c r="DX35" s="2">
        <v>0</v>
      </c>
      <c r="DY35" s="2">
        <v>0</v>
      </c>
      <c r="DZ35" s="2">
        <v>0</v>
      </c>
      <c r="EA35" s="2">
        <v>11614</v>
      </c>
      <c r="EB35" s="2">
        <v>0</v>
      </c>
      <c r="EC35" s="2">
        <v>0</v>
      </c>
      <c r="ED35" s="2">
        <v>0</v>
      </c>
      <c r="EE35" s="2">
        <v>4400</v>
      </c>
      <c r="EF35" s="2">
        <v>0</v>
      </c>
      <c r="EG35" s="2">
        <v>0</v>
      </c>
      <c r="EH35" s="2" t="s">
        <v>324</v>
      </c>
      <c r="EI35" s="2">
        <v>0</v>
      </c>
      <c r="EJ35" s="2" t="s">
        <v>324</v>
      </c>
      <c r="EK35" s="2">
        <v>0</v>
      </c>
      <c r="EL35" s="2">
        <v>1121</v>
      </c>
      <c r="EM35" s="2">
        <v>0</v>
      </c>
      <c r="EN35" s="2">
        <v>0</v>
      </c>
      <c r="EO35" s="2">
        <v>8340</v>
      </c>
      <c r="EP35" s="2">
        <v>0</v>
      </c>
      <c r="EQ35" s="2">
        <v>1677</v>
      </c>
      <c r="ER35" s="2">
        <v>7094</v>
      </c>
      <c r="ES35" s="2">
        <v>1200</v>
      </c>
      <c r="ET35" s="2" t="s">
        <v>324</v>
      </c>
      <c r="EU35" s="2">
        <v>0</v>
      </c>
      <c r="EV35" s="2" t="s">
        <v>324</v>
      </c>
      <c r="EW35" s="2">
        <v>0</v>
      </c>
      <c r="EX35" s="2">
        <v>0</v>
      </c>
      <c r="EY35" s="2">
        <v>2815</v>
      </c>
      <c r="EZ35" s="2" t="s">
        <v>326</v>
      </c>
      <c r="FA35" s="2">
        <v>0</v>
      </c>
      <c r="FB35" s="2" t="s">
        <v>326</v>
      </c>
      <c r="FC35" s="2">
        <v>0</v>
      </c>
      <c r="FD35" s="2"/>
      <c r="FE35" s="2">
        <v>0</v>
      </c>
      <c r="FF35" s="2">
        <v>0</v>
      </c>
      <c r="FG35" s="2"/>
      <c r="FH35" s="19">
        <v>44480.624155092592</v>
      </c>
      <c r="FI35" s="2" t="s">
        <v>345</v>
      </c>
      <c r="FJ35" s="2">
        <f>SUM(DATA[[#This Row],[Number of Home support clients:]],DATA[[#This Row],[Number of supported living clients:]])</f>
        <v>30</v>
      </c>
      <c r="FK35"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35"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10</v>
      </c>
      <c r="FM35"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10</v>
      </c>
      <c r="FN35"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10</v>
      </c>
      <c r="FO35"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10</v>
      </c>
      <c r="FP35"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35"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35"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35"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35"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35"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35"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35"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35"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35"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35"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35"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35"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35"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35"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35"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35"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9.01</v>
      </c>
      <c r="GG35"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9.76</v>
      </c>
      <c r="GH35"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35"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9.49</v>
      </c>
      <c r="GJ35"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9.11</v>
      </c>
      <c r="GK35"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9.8699999999999992</v>
      </c>
      <c r="GL35"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9.01</v>
      </c>
      <c r="GM35"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9.76</v>
      </c>
      <c r="GN35"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35"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35"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35"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35"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35"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35"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35"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35"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9.01</v>
      </c>
      <c r="GW35"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9.01</v>
      </c>
      <c r="GX35"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v>
      </c>
      <c r="GY35"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v>
      </c>
      <c r="GZ35"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9.01</v>
      </c>
      <c r="HA35"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9.01</v>
      </c>
      <c r="HB35"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9.01</v>
      </c>
      <c r="HC35"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9.01</v>
      </c>
      <c r="HD35"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35"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35"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35"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35"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35"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35"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35"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35"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35"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35"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35"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35"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35"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35"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35"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35"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10</v>
      </c>
      <c r="HU35"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10</v>
      </c>
      <c r="HV35"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10</v>
      </c>
      <c r="HW35"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10</v>
      </c>
      <c r="HX35"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35"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35"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35"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35"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35"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35"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35"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35"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35"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35"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35"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35"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35"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35"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35"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35"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9.01</v>
      </c>
      <c r="IO35"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9.76</v>
      </c>
      <c r="IP35"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35"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9.49</v>
      </c>
      <c r="IR35"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9.11</v>
      </c>
      <c r="IS35"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9.8699999999999992</v>
      </c>
      <c r="IT35"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9.01</v>
      </c>
      <c r="IU35"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9.76</v>
      </c>
      <c r="IV35"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35"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35"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35"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35"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35"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35"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35"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35"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9.01</v>
      </c>
      <c r="JE35"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9.01</v>
      </c>
      <c r="JF35"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v>
      </c>
      <c r="JG35"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v>
      </c>
      <c r="JH35"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9.01</v>
      </c>
      <c r="JI35"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9.01</v>
      </c>
      <c r="JJ35"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9.01</v>
      </c>
      <c r="JK35"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9.01</v>
      </c>
      <c r="JL35"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35"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35"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35"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35"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35"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35"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35"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35"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35"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35"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35"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35"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35"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35"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35"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35"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v>
      </c>
      <c r="KC35" s="21">
        <f>SUM(DATA[[#This Row],[Care Assistant 1: Numbers employed (Full Time Equivalent)]],DATA[[#This Row],[Care Assistant 2: Numbers employed (Full Time Equivalent)]],DATA[[#This Row],[Care Assistant 3: Numbers employed (Full Time Equivalent)]],DATA[[#This Row],[Care Assistant 4: Numbers employed (Full Time Equivalent)]])</f>
        <v>28</v>
      </c>
      <c r="KD35" s="21">
        <f>SUM(DATA[[#This Row],[Administrative Officer 1: Numbers employed (Full Time Equivalent)]],DATA[[#This Row],[Administrative Officer 2: Numbers employed (Full Time Equivalent)]])</f>
        <v>5</v>
      </c>
      <c r="KE35" s="21">
        <f>SUM(DATA[[#This Row],[Other staff 1: Numbers employed (Full Time Equivalent)]],DATA[[#This Row],[Other staff 2: Numbers employed (Full Time Equivalent)]],DATA[[#This Row],[Other staff 3: Numbers employed (Full Time Equivalent)]])</f>
        <v>0</v>
      </c>
      <c r="KF35" s="21">
        <f>SUM(DATA[[#This Row],[Total FTE Management Employees]:[Total FTE Other Employees]])</f>
        <v>34</v>
      </c>
      <c r="KG35" s="21" t="str">
        <f>IF(SUM(DATA[[#This Row],[Home Support service split percentage (Expenditure):]],DATA[[#This Row],[Supported Living service split percentage (Expenditure):]])&gt;0, IF(DATA[[#This Row],[Home Support service split percentage (Expenditure):]]&gt;0.5,"Home Support","Supported Living"), "Unknown")</f>
        <v>Home Support</v>
      </c>
      <c r="KH35" s="21">
        <f>SUM(DATA[[#This Row],[Home Support: Birmingham City Council]:[Home Support: Self-funded]])</f>
        <v>543</v>
      </c>
      <c r="KI35" s="21">
        <f>SUM(DATA[[#This Row],[Supported Living: Birmingham City Council]:[Supported Living: Self-funded]])</f>
        <v>0</v>
      </c>
      <c r="KJ35"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35"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35"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35"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35" s="21" t="b">
        <f>SUM(DATA[[#This Row],[Number of hours of care charged for in last full accounting year]:[Corporate Overheads: Other  - please specify (category) 1]])&gt;0</f>
        <v>1</v>
      </c>
      <c r="KO35" s="21">
        <f>SUM(DATA[[#This Row],[Total annual expenditure: Management staff]:[Total annual expenditure: Training and development]])</f>
        <v>218457</v>
      </c>
      <c r="KP35" s="21">
        <f>SUM(DATA[[#This Row],[Recruitment &amp; advertising (including DBS checks)]:[Non-Staffing Direct Cost: Other  - please specify (amount) 2]])</f>
        <v>4400</v>
      </c>
      <c r="KQ35" s="21">
        <f>SUM(DATA[[#This Row],[Insurance ]:[Indirect costs: Other 2 - please specify (amount)]])</f>
        <v>19432</v>
      </c>
      <c r="KR35" s="21">
        <f>SUM(DATA[[#This Row],[Central / Regional Management]],DATA[[#This Row],[Support Services (finance / HR / Payroll / legal etc.)]],DATA[[#This Row],[Corporate Overheads: Other  - please specify (amount) 1]],DATA[[#This Row],[Corporate Overheads: Other  - please specify (amount) 2]])</f>
        <v>2815</v>
      </c>
      <c r="KS35"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0.59047032244814135</v>
      </c>
      <c r="KT35"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10.029934278085848</v>
      </c>
      <c r="KU35"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35"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35"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5"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35" s="30">
        <f>IF(OR(NOT(DATA[[#This Row],[Total annual expenditure: Travel Time]]&gt;0),NOT(DATA[[#This Row],[Number of hours of care charged for in last full accounting year]]&gt;0)),0,DATA[[#This Row],[Total annual expenditure: Travel Time]]/DATA[[#This Row],[Number of hours of care charged for in last full accounting year]])</f>
        <v>0.59632368042719242</v>
      </c>
      <c r="KZ35"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35"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35"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35" s="30">
        <f>IF(OR(NOT(DATA[[#This Row],[Care consumables &amp; uniforms]]&gt;0),NOT(DATA[[#This Row],[Number of hours of care charged for in last full accounting year]]&gt;0)),0,DATA[[#This Row],[Care consumables &amp; uniforms]]/DATA[[#This Row],[Number of hours of care charged for in last full accounting year]])</f>
        <v>0.2259190798932019</v>
      </c>
      <c r="LD35" s="30">
        <f>IF(OR(NOT(DATA[[#This Row],[Electronic call monitoring]]&gt;0),NOT(DATA[[#This Row],[Number of hours of care charged for in last full accounting year]]&gt;0)),0,DATA[[#This Row],[Electronic call monitoring]]/DATA[[#This Row],[Number of hours of care charged for in last full accounting year]])</f>
        <v>0</v>
      </c>
      <c r="LE35" s="30">
        <f>IF(OR(NOT(DATA[[#This Row],[IT Equipment &amp; Telephoney]]&gt;0),NOT(DATA[[#This Row],[Number of hours of care charged for in last full accounting year]]&gt;0)),0,DATA[[#This Row],[IT Equipment &amp; Telephoney]]/DATA[[#This Row],[Number of hours of care charged for in last full accounting year]])</f>
        <v>0</v>
      </c>
      <c r="LF35"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35"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35" s="30">
        <f>IF(OR(NOT(DATA[[#This Row],[Insurance ]]&gt;0),NOT(DATA[[#This Row],[Number of hours of care charged for in last full accounting year]]&gt;0)),0,DATA[[#This Row],[Insurance ]]/DATA[[#This Row],[Number of hours of care charged for in last full accounting year]])</f>
        <v>5.7558020127336205E-2</v>
      </c>
      <c r="LI35"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35" s="30">
        <f>IF(OR(NOT(DATA[[#This Row],[Repairs and maintenance]]&gt;0),NOT(DATA[[#This Row],[Number of hours of care charged for in last full accounting year]]&gt;0)),0,DATA[[#This Row],[Repairs and maintenance]]/DATA[[#This Row],[Number of hours of care charged for in last full accounting year]])</f>
        <v>0</v>
      </c>
      <c r="LK35"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0.42821934688847813</v>
      </c>
      <c r="LL35" s="30">
        <f>IF(OR(NOT(DATA[[#This Row],[Registration &amp; Inspection fees ]]&gt;0),NOT(DATA[[#This Row],[Number of hours of care charged for in last full accounting year]]&gt;0)),0,DATA[[#This Row],[Registration &amp; Inspection fees ]]/DATA[[#This Row],[Number of hours of care charged for in last full accounting year]])</f>
        <v>0</v>
      </c>
      <c r="LM35" s="30">
        <f>IF(OR(NOT(DATA[[#This Row],[Subscriptions]]&gt;0),NOT(DATA[[#This Row],[Number of hours of care charged for in last full accounting year]]&gt;0)),0,DATA[[#This Row],[Subscriptions]]/DATA[[#This Row],[Number of hours of care charged for in last full accounting year]])</f>
        <v>8.6105976586568087E-2</v>
      </c>
      <c r="LN35" s="30">
        <f>IF(OR(NOT(DATA[[#This Row],[Cost of finance]]&gt;0),NOT(DATA[[#This Row],[Number of hours of care charged for in last full accounting year]]&gt;0)),0,DATA[[#This Row],[Cost of finance]]/DATA[[#This Row],[Number of hours of care charged for in last full accounting year]])</f>
        <v>0.36424317108235776</v>
      </c>
      <c r="LO35" s="30">
        <f>IF(OR(NOT(DATA[[#This Row],[Other non-staff current expenses]]&gt;0),NOT(DATA[[#This Row],[Number of hours of care charged for in last full accounting year]]&gt;0)),0,DATA[[#This Row],[Other non-staff current expenses]]/DATA[[#This Row],[Number of hours of care charged for in last full accounting year]])</f>
        <v>6.1614294516327786E-2</v>
      </c>
      <c r="LP35"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35"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35" s="30">
        <f>IF(OR(NOT(DATA[[#This Row],[Central / Regional Management]]&gt;0),NOT(DATA[[#This Row],[Number of hours of care charged for in last full accounting year]]&gt;0)),0,DATA[[#This Row],[Central / Regional Management]]/DATA[[#This Row],[Number of hours of care charged for in last full accounting year]])</f>
        <v>0</v>
      </c>
      <c r="LS35"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0.14453686588621895</v>
      </c>
      <c r="LT35"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5"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5" s="30">
        <f>SUM(DATA[[#This Row],[Management staff HOURLY RATE]:[Corporate Overheads: Other  - please specify (amount) 2 HOURLY RATE]])</f>
        <v>12.584925035941669</v>
      </c>
      <c r="LW35" s="30" t="str">
        <f>IF(OR(NOT(DATA[[#This Row],[Net Operating Profit]]&gt;0),NOT(DATA[[#This Row],[Number of hours of care charged for in last full accounting year]]&gt;0)),"",DATA[[#This Row],[Net Operating Profit]]/DATA[[#This Row],[Number of hours of care charged for in last full accounting year]])</f>
        <v/>
      </c>
      <c r="LX35" s="30">
        <f>IF(OR(NOT(DATA[[#This Row],[Return on Capital employed]]&gt;0),NOT(DATA[[#This Row],[Number of hours of care charged for in last full accounting year]]&gt;0)),0,DATA[[#This Row],[Return on Capital employed]]/DATA[[#This Row],[Number of hours of care charged for in last full accounting year]])</f>
        <v>0</v>
      </c>
      <c r="LY35" s="31">
        <v>29</v>
      </c>
      <c r="LZ35" s="30" t="s">
        <v>345</v>
      </c>
      <c r="MA35" s="30" t="b">
        <f>DATA[[#This Row],[Number of Home support clients:]]&gt;0</f>
        <v>1</v>
      </c>
      <c r="MB35" s="30" t="b">
        <f>DATA[[#This Row],[Number of supported living clients:]]&gt;0</f>
        <v>0</v>
      </c>
      <c r="MC35" s="30" t="b">
        <f>DATA[[#This Row],[Total Home Support Hours]]&gt;0</f>
        <v>1</v>
      </c>
      <c r="MD35" s="30" t="b">
        <f>DATA[[#This Row],[Total Supported Living Hours]]&gt;0</f>
        <v>0</v>
      </c>
      <c r="ME35" s="30" t="b">
        <f>DATA[[#This Row],[Home Support service split percentage (Expenditure):]]&gt;0.5</f>
        <v>1</v>
      </c>
      <c r="MF35" s="30" t="b">
        <f>DATA[[#This Row],[Agency staff HOURLY RATE]]=0</f>
        <v>1</v>
      </c>
      <c r="MG35"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5" s="30" t="str">
        <f>IFERROR(IF(AVERAGE(DATA[[#This Row],[Deputy manager: Current 2021/22 Minimum hourly pay rate ADJUSTED]],DATA[[#This Row],[Deputy manager: Current 2021/22 Maximum hourly pay rate ADJUSTED]])&lt;LIVING_WAGE_22_23,DATA[[#This Row],[Deputy manager: Numbers employed (Full Time Equivalent)]],0),"")</f>
        <v/>
      </c>
      <c r="MI35" s="30" t="str">
        <f>IFERROR(IF(AVERAGE(DATA[[#This Row],[Other manager 1: Current 2021/22 Minimum hourly pay rate ADJUSTED]],DATA[[#This Row],[Other manager 1: Current 2021/22 Maximum hourly pay rate ADJUSTED]])&lt;LIVING_WAGE_22_23,DATA[[#This Row],[Other manager 1: Numbers employed (Full Time Equivalent)]],0),"")</f>
        <v/>
      </c>
      <c r="MJ35" s="30" t="str">
        <f>IFERROR(IF(AVERAGE(DATA[[#This Row],[Other manager 2: Current 2021/22 Minimum hourly pay rate ADJUSTED]],DATA[[#This Row],[Other manager 2: Current 2021/22 Maximum hourly pay rate ADJUSTED]])&lt;LIVING_WAGE_22_23,DATA[[#This Row],[Other manager 2: Numbers employed (Full Time Equivalent)]],0),"")</f>
        <v/>
      </c>
      <c r="MK35" s="30" t="str">
        <f>IFERROR(IF(AVERAGE(DATA[[#This Row],[Other manager 3: Current 2021/22 Minimum hourly pay rate ADJUSTED]],DATA[[#This Row],[Other manager 3: Current 2021/22 Maximum hourly pay rate ADJUSTED]])&lt;LIVING_WAGE_22_23,DATA[[#This Row],[Other manager 3: Numbers employed (Full Time Equivalent)]],0),"")</f>
        <v/>
      </c>
      <c r="ML35" s="30">
        <f>IFERROR(IF(AVERAGE(DATA[[#This Row],[Care Assistant 1: Current 2021/22 Minimum hourly pay rate ADJUSTED]],DATA[[#This Row],[Care Assistant 1: Current 2021/22 Maximum hourly pay rate ADJUSTED]])&lt;LIVING_WAGE_22_23,DATA[[#This Row],[Care Assistant 1: Numbers employed (Full Time Equivalent)]],0),"")</f>
        <v>26</v>
      </c>
      <c r="MM35" s="30">
        <f>IFERROR(IF(AVERAGE(DATA[[#This Row],[Care Assistant 2: Current 2021/22 Minimum hourly pay rate ADJUSTED]],DATA[[#This Row],[Care Assistant 2: Current 2021/22 Maximum hourly pay rate ADJUSTED]])&lt;LIVING_WAGE_22_23,DATA[[#This Row],[Care Assistant 2: Numbers employed (Full Time Equivalent)]],0),"")</f>
        <v>2</v>
      </c>
      <c r="MN35" s="30" t="str">
        <f>IFERROR(IF(AVERAGE(DATA[[#This Row],[Care Assistant 3: Current 2021/22 Minimum hourly pay rate ADJUSTED]],DATA[[#This Row],[Care Assistant 3: Current 2021/22 Maximum hourly pay rate ADJUSTED]])&lt;LIVING_WAGE_22_23,DATA[[#This Row],[Care Assistant 3: Numbers employed (Full Time Equivalent)]],0),"")</f>
        <v/>
      </c>
      <c r="MO35" s="30" t="str">
        <f>IFERROR(IF(AVERAGE(DATA[[#This Row],[Care Assistant 4: Current 2021/22 Minimum hourly pay rate ADJUSTED]],DATA[[#This Row],[Care Assistant 4: Current 2021/22 Maximum hourly pay rate ADJUSTED]])&lt;LIVING_WAGE_22_23,DATA[[#This Row],[Care Assistant 4: Numbers employed (Full Time Equivalent)]],0),"")</f>
        <v/>
      </c>
      <c r="MP35"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35"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4</v>
      </c>
      <c r="MR35" s="30" t="str">
        <f>IFERROR(IF(AVERAGE(DATA[[#This Row],[Other staff 1: Current 2021/22 Minimum hourly pay rate ADJUSTED]],DATA[[#This Row],[Other staff 1: Current 2021/22 Maximum hourly pay rate ADJUSTED]])&lt;LIVING_WAGE_22_23,DATA[[#This Row],[Other staff 1: Numbers employed (Full Time Equivalent)]],0),"")</f>
        <v/>
      </c>
      <c r="MS35" s="30" t="str">
        <f>IFERROR(IF(AVERAGE(DATA[[#This Row],[Other staff 2: Current 2021/22 Minimum hourly pay rate ADJUSTED]],DATA[[#This Row],[Other staff 2: Current 2021/22 Maximum hourly pay rate ADJUSTED]])&lt;LIVING_WAGE_22_23,DATA[[#This Row],[Other staff 2: Numbers employed (Full Time Equivalent)]],0),"")</f>
        <v/>
      </c>
      <c r="MT35" s="30" t="str">
        <f>IFERROR(IF(AVERAGE(DATA[[#This Row],[Other staff 3: Current 2021/22 Minimum hourly pay rate ADJUSTED]],DATA[[#This Row],[Other staff 3: Current 2021/22 Maximum hourly pay rate ADJUSTED]])&lt;LIVING_WAGE_22_23,DATA[[#This Row],[Other staff 3: Numbers employed (Full Time Equivalent)]],0),"")</f>
        <v/>
      </c>
      <c r="MU35" s="30">
        <f>SUM(DATA[[#This Row],[Registered Manager FTE earning less than NLW 23yrs 2022/23]:[Other staff 3 FTE earning less than NLW 23yrs 2022/23]])</f>
        <v>33</v>
      </c>
      <c r="MV35"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5"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35"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35"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35"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35"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2.9900000000000055</v>
      </c>
      <c r="NB35"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2.0000000000003126E-2</v>
      </c>
      <c r="NC35"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35"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35"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0.49000000000000021</v>
      </c>
      <c r="NF35"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1.9600000000000009</v>
      </c>
      <c r="NG35"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35"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35"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35" s="30" t="b">
        <v>1</v>
      </c>
      <c r="NK35" s="30" t="b">
        <v>1</v>
      </c>
      <c r="NL35" s="30" t="s">
        <v>505</v>
      </c>
      <c r="NM35" s="30">
        <f>SUM(DATA[[#This Row],[Management staff HOURLY RATE]:[Training and development HOURLY RATE]])</f>
        <v>11.216728280961181</v>
      </c>
      <c r="NN35" s="30">
        <f>SUM(DATA[[#This Row],[Recruitment &amp; advertising (including DBS checks) HOURLY RATE]:[Non-Staffing Direct Cost: Other  - please specify (amount) 2 HOURLY RATE]])</f>
        <v>0.2259190798932019</v>
      </c>
      <c r="NO35" s="30">
        <f>SUM(DATA[[#This Row],[Insurance  HOURLY RATE]:[Indirect costs: Other  - please specify (amount) 2 HOURLY RATE]])</f>
        <v>0.997740809201068</v>
      </c>
      <c r="NP35" s="30">
        <f>SUM(DATA[[#This Row],[Central / Regional Management HOURLY RATE]:[Corporate Overheads: Other  - please specify (amount) 2 HOURLY RATE]])</f>
        <v>0.14453686588621895</v>
      </c>
      <c r="NQ35"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5" s="30" t="str">
        <f>IFERROR(IF(AVERAGE(DATA[[#This Row],[Deputy manager: Current 2021/22 Minimum hourly pay rate ADJUSTED]],DATA[[#This Row],[Deputy manager: Current 2021/22 Maximum hourly pay rate ADJUSTED]])&lt;REAL_LIVING_WAGE_22_23,DATA[[#This Row],[Deputy manager: Numbers employed (Full Time Equivalent)]],0),"")</f>
        <v/>
      </c>
      <c r="NS35" s="30" t="str">
        <f>IFERROR(IF(AVERAGE(DATA[[#This Row],[Other manager 1: Current 2021/22 Minimum hourly pay rate ADJUSTED]],DATA[[#This Row],[Other manager 1: Current 2021/22 Maximum hourly pay rate ADJUSTED]])&lt;REAL_LIVING_WAGE_22_23,DATA[[#This Row],[Other manager 1: Numbers employed (Full Time Equivalent)]],0),"")</f>
        <v/>
      </c>
      <c r="NT35" s="30" t="str">
        <f>IFERROR(IF(AVERAGE(DATA[[#This Row],[Other manager 2: Current 2021/22 Minimum hourly pay rate ADJUSTED]],DATA[[#This Row],[Other manager 2: Current 2021/22 Maximum hourly pay rate ADJUSTED]])&lt;REAL_LIVING_WAGE_22_23,DATA[[#This Row],[Other manager 2: Numbers employed (Full Time Equivalent)]],0),"")</f>
        <v/>
      </c>
      <c r="NU35" s="30" t="str">
        <f>IFERROR(IF(AVERAGE(DATA[[#This Row],[Other manager 3: Current 2021/22 Minimum hourly pay rate ADJUSTED]],DATA[[#This Row],[Other manager 3: Current 2021/22 Maximum hourly pay rate ADJUSTED]])&lt;REAL_LIVING_WAGE_22_23,DATA[[#This Row],[Other manager 3: Numbers employed (Full Time Equivalent)]],0),"")</f>
        <v/>
      </c>
      <c r="NV35" s="30">
        <f>IFERROR(IF(AVERAGE(DATA[[#This Row],[Care Assistant 1: Current 2021/22 Minimum hourly pay rate ADJUSTED]],DATA[[#This Row],[Care Assistant 1: Current 2021/22 Maximum hourly pay rate ADJUSTED]])&lt;REAL_LIVING_WAGE_22_23,DATA[[#This Row],[Care Assistant 1: Numbers employed (Full Time Equivalent)]],0),"")</f>
        <v>26</v>
      </c>
      <c r="NW35" s="30">
        <f>IFERROR(IF(AVERAGE(DATA[[#This Row],[Care Assistant 2: Current 2021/22 Minimum hourly pay rate ADJUSTED]],DATA[[#This Row],[Care Assistant 2: Current 2021/22 Maximum hourly pay rate ADJUSTED]])&lt;REAL_LIVING_WAGE_22_23,DATA[[#This Row],[Care Assistant 2: Numbers employed (Full Time Equivalent)]],0),"")</f>
        <v>2</v>
      </c>
      <c r="NX35"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35"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35"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35"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4</v>
      </c>
      <c r="OB35" s="30" t="str">
        <f>IFERROR(IF(AVERAGE(DATA[[#This Row],[Other staff 1: Current 2021/22 Minimum hourly pay rate ADJUSTED]],DATA[[#This Row],[Other staff 1: Current 2021/22 Maximum hourly pay rate ADJUSTED]])&lt;REAL_LIVING_WAGE_22_23,DATA[[#This Row],[Other staff 1: Numbers employed (Full Time Equivalent)]],0),"")</f>
        <v/>
      </c>
      <c r="OC35" s="30" t="str">
        <f>IFERROR(IF(AVERAGE(DATA[[#This Row],[Other staff 2: Current 2021/22 Minimum hourly pay rate ADJUSTED]],DATA[[#This Row],[Other staff 2: Current 2021/22 Maximum hourly pay rate ADJUSTED]])&lt;REAL_LIVING_WAGE_22_23,DATA[[#This Row],[Other staff 2: Numbers employed (Full Time Equivalent)]],0),"")</f>
        <v/>
      </c>
      <c r="OD35" s="30" t="str">
        <f>IFERROR(IF(AVERAGE(DATA[[#This Row],[Other staff 3: Current 2021/22 Minimum hourly pay rate ADJUSTED]],DATA[[#This Row],[Other staff 3: Current 2021/22 Maximum hourly pay rate ADJUSTED]])&lt;REAL_LIVING_WAGE_22_23,DATA[[#This Row],[Other staff 3: Numbers employed (Full Time Equivalent)]],0),"")</f>
        <v/>
      </c>
      <c r="OE35" s="30">
        <f>SUM(DATA[[#This Row],[Registered Manager FTE earning less than RLW 23yrs 2022/23]:[Other staff 3 FTE earning less than RLW 23yrs 2022/23]])</f>
        <v>33</v>
      </c>
      <c r="OF35"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5"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35"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35"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35"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35"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13.390000000000015</v>
      </c>
      <c r="OL35"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0.82000000000000384</v>
      </c>
      <c r="OM35"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35"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35"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0.89000000000000057</v>
      </c>
      <c r="OP35"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3.5600000000000023</v>
      </c>
      <c r="OQ35"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35"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35"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35" s="30">
        <f>IFERROR(IF(DATA[[#This Row],[Registered manager: Numbers employed (Full Time Equivalent)]]=0,"",DATA[[#This Row],[Registered manager: Current 2021/22 Minimum hourly pay rate ADJUSTED 2]]*DATA[[#This Row],[Registered manager: Numbers employed (Full Time Equivalent)]]),"")</f>
        <v>10</v>
      </c>
      <c r="OU35" s="30">
        <f>IFERROR(IF(DATA[[#This Row],[Registered manager: Numbers employed (Full Time Equivalent)]]=0,"",DATA[[#This Row],[Registered manager: Current 2021/22 Maximum hourly pay rate ADJUSTED 2]]*DATA[[#This Row],[Registered manager: Numbers employed (Full Time Equivalent)]]),"")</f>
        <v>10</v>
      </c>
      <c r="OV35" s="30">
        <f>IFERROR(IF(DATA[[#This Row],[Registered manager: Numbers employed (Full Time Equivalent)]]=0,"",DATA[[#This Row],[Registered manager: Previous 2020/21 Minimum hourly pay rate ADJUSTED 2]]*DATA[[#This Row],[Registered manager: Numbers employed (Full Time Equivalent)]]),"")</f>
        <v>10</v>
      </c>
      <c r="OW35" s="30">
        <f>IFERROR(IF(DATA[[#This Row],[Registered manager: Numbers employed (Full Time Equivalent)]]=0,"",DATA[[#This Row],[Registered manager: Previous 2020/21 Maximum hourly pay rate ADJUSTED 2]]*DATA[[#This Row],[Registered manager: Numbers employed (Full Time Equivalent)]]),"")</f>
        <v>10</v>
      </c>
      <c r="OX35" s="30" t="str">
        <f>IFERROR(IF(DATA[[#This Row],[Deputy manager: Numbers employed (Full Time Equivalent)]]=0,"",DATA[[#This Row],[Deputy manager: Current 2021/22 Minimum hourly pay rate ADJUSTED 2]]*DATA[[#This Row],[Deputy manager: Numbers employed (Full Time Equivalent)]]),"")</f>
        <v/>
      </c>
      <c r="OY35" s="30" t="str">
        <f>IFERROR(IF(DATA[[#This Row],[Deputy manager: Numbers employed (Full Time Equivalent)]]=0,"",DATA[[#This Row],[Deputy manager: Current 2021/22 Maximum hourly pay rate ADJUSTED 2]]*DATA[[#This Row],[Deputy manager: Numbers employed (Full Time Equivalent)]]),"")</f>
        <v/>
      </c>
      <c r="OZ35" s="30" t="str">
        <f>IFERROR(IF(DATA[[#This Row],[Deputy manager: Numbers employed (Full Time Equivalent)]]=0,"",DATA[[#This Row],[Deputy manager: Previous 2020/21 Minimum hourly pay rate ADJUSTED 2]]*DATA[[#This Row],[Deputy manager: Numbers employed (Full Time Equivalent)]]),"")</f>
        <v/>
      </c>
      <c r="PA35" s="30" t="str">
        <f>IFERROR(IF(DATA[[#This Row],[Deputy manager: Numbers employed (Full Time Equivalent)]]=0,"",DATA[[#This Row],[Deputy manager: Previous 2020/21 Maximum hourly pay rate ADJUSTED 2]]*DATA[[#This Row],[Deputy manager: Numbers employed (Full Time Equivalent)]]),"")</f>
        <v/>
      </c>
      <c r="PB35" s="30" t="str">
        <f>IFERROR(IF(DATA[[#This Row],[Other manager 1: Numbers employed (Full Time Equivalent)]]=0,"",DATA[[#This Row],[Other manager 1: Current 2021/22 Minimum hourly pay rate ADJUSTED 2]]*DATA[[#This Row],[Other manager 1: Numbers employed (Full Time Equivalent)]]),"")</f>
        <v/>
      </c>
      <c r="PC35" s="30" t="str">
        <f>IFERROR(IF(DATA[[#This Row],[Other manager 1: Numbers employed (Full Time Equivalent)]]=0,"",DATA[[#This Row],[Other manager 1: Current 2021/22 Maximum hourly pay rate ADJUSTED 2]]*DATA[[#This Row],[Other manager 1: Numbers employed (Full Time Equivalent)]]),"")</f>
        <v/>
      </c>
      <c r="PD35" s="30" t="str">
        <f>IFERROR(IF(DATA[[#This Row],[Other manager 1: Numbers employed (Full Time Equivalent)]]=0,"",DATA[[#This Row],[Other manager 1: Previous 2020/21 Minimum hourly pay rate ADJUSTED 2]]*DATA[[#This Row],[Other manager 1: Numbers employed (Full Time Equivalent)]]),"")</f>
        <v/>
      </c>
      <c r="PE35" s="30" t="str">
        <f>IFERROR(IF(DATA[[#This Row],[Other manager 1: Numbers employed (Full Time Equivalent)]]=0,"",DATA[[#This Row],[Other manager 1: Previous 2020/21 Maximum hourly pay rate ADJUSTED 2]]*DATA[[#This Row],[Other manager 1: Numbers employed (Full Time Equivalent)]]),"")</f>
        <v/>
      </c>
      <c r="PF35" s="30" t="str">
        <f>IFERROR(IF(DATA[[#This Row],[Other manager 2: Numbers employed (Full Time Equivalent)]]=0,"",DATA[[#This Row],[Other manager 2: Current 2021/22 Minimum hourly pay rate ADJUSTED 2]]*DATA[[#This Row],[Other manager 2: Numbers employed (Full Time Equivalent)]]),"")</f>
        <v/>
      </c>
      <c r="PG35" s="30" t="str">
        <f>IFERROR(IF(DATA[[#This Row],[Other manager 2: Numbers employed (Full Time Equivalent)]]=0,"",DATA[[#This Row],[Other manager 2: Current 2021/22 Maximum hourly pay rate ADJUSTED 2]]*DATA[[#This Row],[Other manager 2: Numbers employed (Full Time Equivalent)]]),"")</f>
        <v/>
      </c>
      <c r="PH35" s="30" t="str">
        <f>IFERROR(IF(DATA[[#This Row],[Other manager 2: Numbers employed (Full Time Equivalent)]]=0,"",DATA[[#This Row],[Other manager 2: Previous 2020/21 Minimum hourly pay rate ADJUSTED 2]]*DATA[[#This Row],[Other manager 2: Numbers employed (Full Time Equivalent)]]),"")</f>
        <v/>
      </c>
      <c r="PI35" s="30" t="str">
        <f>IFERROR(IF(DATA[[#This Row],[Other manager 2: Numbers employed (Full Time Equivalent)]]=0,"",DATA[[#This Row],[Other manager 2: Previous 2020/21 Maximum hourly pay rate ADJUSTED 2]]*DATA[[#This Row],[Other manager 2: Numbers employed (Full Time Equivalent)]]),"")</f>
        <v/>
      </c>
      <c r="PJ35" s="30" t="str">
        <f>IFERROR(IF(DATA[[#This Row],[Other manager 3: Numbers employed (Full Time Equivalent)]]=0,"",DATA[[#This Row],[Other manager 3: Current 2021/22 Minimum hourly pay rate ADJUSTED 2]]*DATA[[#This Row],[Other manager 3: Numbers employed (Full Time Equivalent)]]),"")</f>
        <v/>
      </c>
      <c r="PK35" s="30" t="str">
        <f>IFERROR(IF(DATA[[#This Row],[Other manager 3: Numbers employed (Full Time Equivalent)]]=0,"",DATA[[#This Row],[Other manager 3: Current 2021/22 Maximum hourly pay rate ADJUSTED 2]]*DATA[[#This Row],[Other manager 3: Numbers employed (Full Time Equivalent)]]),"")</f>
        <v/>
      </c>
      <c r="PL35" s="30" t="str">
        <f>IFERROR(IF(DATA[[#This Row],[Other manager 3: Numbers employed (Full Time Equivalent)]]=0,"",DATA[[#This Row],[Other manager 3: Previous 2020/21 Minimum hourly pay rate ADJUSTED 2]]*DATA[[#This Row],[Other manager 3: Numbers employed (Full Time Equivalent)]]),"")</f>
        <v/>
      </c>
      <c r="PM35" s="30" t="str">
        <f>IFERROR(IF(DATA[[#This Row],[Other manager 3: Numbers employed (Full Time Equivalent)]]=0,"",DATA[[#This Row],[Other manager 3: Previous 2020/21 Maximum hourly pay rate ADJUSTED 2]]*DATA[[#This Row],[Other manager 3: Numbers employed (Full Time Equivalent)]]),"")</f>
        <v/>
      </c>
      <c r="PN35" s="30">
        <f>IFERROR(IF(DATA[[#This Row],[Care Assistant 1: Numbers employed (Full Time Equivalent)]]=0,"",DATA[[#This Row],[Care Assistant 1: Current 2021/22 Minimum hourly pay rate ADJUSTED 2]]*DATA[[#This Row],[Care Assistant 1: Numbers employed (Full Time Equivalent)]]),"")</f>
        <v>234.26</v>
      </c>
      <c r="PO35" s="30">
        <f>IFERROR(IF(DATA[[#This Row],[Care Assistant 1: Numbers employed (Full Time Equivalent)]]=0,"",DATA[[#This Row],[Care Assistant 1: Current 2021/22 Maximum hourly pay rate ADJUSTED 2]]*DATA[[#This Row],[Care Assistant 1: Numbers employed (Full Time Equivalent)]]),"")</f>
        <v>253.76</v>
      </c>
      <c r="PP35" s="30">
        <f>IFERROR(IF(DATA[[#This Row],[Care Assistant 1: Numbers employed (Full Time Equivalent)]]=0,"",DATA[[#This Row],[Care Assistant 1: Previous 2020/21 Minimum hourly pay rate ADJUSTED 2]]*DATA[[#This Row],[Care Assistant 1: Numbers employed (Full Time Equivalent)]]),"")</f>
        <v>226.72000000000003</v>
      </c>
      <c r="PQ35" s="30">
        <f>IFERROR(IF(DATA[[#This Row],[Care Assistant 1: Numbers employed (Full Time Equivalent)]]=0,"",DATA[[#This Row],[Care Assistant 1: Previous 2020/21 Maximum hourly pay rate ADJUSTED 2]]*DATA[[#This Row],[Care Assistant 1: Numbers employed (Full Time Equivalent)]]),"")</f>
        <v>246.74</v>
      </c>
      <c r="PR35" s="30">
        <f>IFERROR(IF(DATA[[#This Row],[Care Assistant 2: Numbers employed (Full Time Equivalent)]]=0,"",DATA[[#This Row],[Care Assistant 2: Current 2021/22 Minimum hourly pay rate ADJUSTED 2]]*DATA[[#This Row],[Care Assistant 2: Numbers employed (Full Time Equivalent)]]),"")</f>
        <v>18.22</v>
      </c>
      <c r="PS35" s="30">
        <f>IFERROR(IF(DATA[[#This Row],[Care Assistant 2: Numbers employed (Full Time Equivalent)]]=0,"",DATA[[#This Row],[Care Assistant 2: Current 2021/22 Maximum hourly pay rate ADJUSTED 2]]*DATA[[#This Row],[Care Assistant 2: Numbers employed (Full Time Equivalent)]]),"")</f>
        <v>19.739999999999998</v>
      </c>
      <c r="PT35" s="30">
        <f>IFERROR(IF(DATA[[#This Row],[Care Assistant 2: Numbers employed (Full Time Equivalent)]]=0,"",DATA[[#This Row],[Care Assistant 2: Previous 2020/21 Minimum hourly pay rate ADJUSTED 2]]*DATA[[#This Row],[Care Assistant 2: Numbers employed (Full Time Equivalent)]]),"")</f>
        <v>18.02</v>
      </c>
      <c r="PU35" s="30">
        <f>IFERROR(IF(DATA[[#This Row],[Care Assistant 2: Numbers employed (Full Time Equivalent)]]=0,"",DATA[[#This Row],[Care Assistant 2: Previous 2020/21 Maximum hourly pay rate ADJUSTED 2]]*DATA[[#This Row],[Care Assistant 2: Numbers employed (Full Time Equivalent)]]),"")</f>
        <v>19.52</v>
      </c>
      <c r="PV35" s="30" t="str">
        <f>IFERROR(IF(DATA[[#This Row],[Care Assistant 3: Numbers employed (Full Time Equivalent)]]=0,"",DATA[[#This Row],[Care Assistant 3: Current 2021/22 Minimum hourly pay rate ADJUSTED 2]]*DATA[[#This Row],[Care Assistant 3: Numbers employed (Full Time Equivalent)]]),"")</f>
        <v/>
      </c>
      <c r="PW35" s="30" t="str">
        <f>IFERROR(IF(DATA[[#This Row],[Care Assistant 3: Numbers employed (Full Time Equivalent)]]=0,"",DATA[[#This Row],[Care Assistant 3: Current 2021/22 Maximum hourly pay rate ADJUSTED 2]]*DATA[[#This Row],[Care Assistant 3: Numbers employed (Full Time Equivalent)]]),"")</f>
        <v/>
      </c>
      <c r="PX35" s="30" t="str">
        <f>IFERROR(IF(DATA[[#This Row],[Care Assistant 3: Numbers employed (Full Time Equivalent)]]=0,"",DATA[[#This Row],[Care Assistant 3: Previous 2020/21 Minimum hourly pay rate ADJUSTED 2]]*DATA[[#This Row],[Care Assistant 3: Numbers employed (Full Time Equivalent)]]),"")</f>
        <v/>
      </c>
      <c r="PY35" s="30" t="str">
        <f>IFERROR(IF(DATA[[#This Row],[Care Assistant 3: Numbers employed (Full Time Equivalent)]]=0,"",DATA[[#This Row],[Care Assistant 3: Previous 2020/21 Maximum hourly pay rate ADJUSTED 2]]*DATA[[#This Row],[Care Assistant 3: Numbers employed (Full Time Equivalent)]]),"")</f>
        <v/>
      </c>
      <c r="PZ35" s="30" t="str">
        <f>IFERROR(IF(DATA[[#This Row],[Care Assistant 4: Numbers employed (Full Time Equivalent)]]=0,"",DATA[[#This Row],[Care Assistant 4: Current 2021/22 Minimum hourly pay rate ADJUSTED 2]]*DATA[[#This Row],[Care Assistant 4: Numbers employed (Full Time Equivalent)]]),"")</f>
        <v/>
      </c>
      <c r="QA35" s="30" t="str">
        <f>IFERROR(IF(DATA[[#This Row],[Care Assistant 4: Numbers employed (Full Time Equivalent)]]=0,"",DATA[[#This Row],[Care Assistant 4: Current 2021/22 Maximum hourly pay rate ADJUSTED 2]]*DATA[[#This Row],[Care Assistant 4: Numbers employed (Full Time Equivalent)]]),"")</f>
        <v/>
      </c>
      <c r="QB35" s="30" t="str">
        <f>IFERROR(IF(DATA[[#This Row],[Care Assistant 4: Numbers employed (Full Time Equivalent)]]=0,"",DATA[[#This Row],[Care Assistant 4: Previous 2020/21 Minimum hourly pay rate ADJUSTED 2]]*DATA[[#This Row],[Care Assistant 4: Numbers employed (Full Time Equivalent)]]),"")</f>
        <v/>
      </c>
      <c r="QC35" s="30" t="str">
        <f>IFERROR(IF(DATA[[#This Row],[Care Assistant 4: Numbers employed (Full Time Equivalent)]]=0,"",DATA[[#This Row],[Care Assistant 4: Previous 2020/21 Maximum hourly pay rate ADJUSTED 2]]*DATA[[#This Row],[Care Assistant 4: Numbers employed (Full Time Equivalent)]]),"")</f>
        <v/>
      </c>
      <c r="QD35" s="30">
        <f>IFERROR(IF(DATA[[#This Row],[Administrative Officer 1: Numbers employed (Full Time Equivalent)]]=0,"",DATA[[#This Row],[Administrative Officer 1: Current 2021/22 Minimum hourly pay rate ADJUSTED 2]]*DATA[[#This Row],[Administrative Officer 1: Numbers employed (Full Time Equivalent)]]),"")</f>
        <v>9.01</v>
      </c>
      <c r="QE35" s="30">
        <f>IFERROR(IF(DATA[[#This Row],[Administrative Officer 1: Numbers employed (Full Time Equivalent)]]=0,"",DATA[[#This Row],[Administrative Officer 1: Current 2021/22 Maximum hourly pay rate ADJUSTED 2]]*DATA[[#This Row],[Administrative Officer 1: Numbers employed (Full Time Equivalent)]]),"")</f>
        <v>9.01</v>
      </c>
      <c r="QF35" s="30">
        <f>IFERROR(IF(DATA[[#This Row],[Administrative Officer 1: Numbers employed (Full Time Equivalent)]]=0,"",DATA[[#This Row],[Administrative Officer 1: Previous 2020/21 Minimum hourly pay rate ADJUSTED 2]]*DATA[[#This Row],[Administrative Officer 1: Numbers employed (Full Time Equivalent)]]),"")</f>
        <v>10</v>
      </c>
      <c r="QG35" s="30">
        <f>IFERROR(IF(DATA[[#This Row],[Administrative Officer 1: Numbers employed (Full Time Equivalent)]]=0,"",DATA[[#This Row],[Administrative Officer 1: Previous 2020/21 Maximum hourly pay rate ADJUSTED 2]]*DATA[[#This Row],[Administrative Officer 1: Numbers employed (Full Time Equivalent)]]),"")</f>
        <v>10</v>
      </c>
      <c r="QH35" s="30">
        <f>IFERROR(IF(DATA[[#This Row],[Administrative Officer 2: Numbers employed (Full Time Equivalent)]]=0,"",DATA[[#This Row],[Administrative Officer 2: Current 2021/22 Minimum hourly pay rate ADJUSTED 2]]*DATA[[#This Row],[Administrative Officer 2: Numbers employed (Full Time Equivalent)]]),"")</f>
        <v>36.04</v>
      </c>
      <c r="QI35" s="30">
        <f>IFERROR(IF(DATA[[#This Row],[Administrative Officer 2: Numbers employed (Full Time Equivalent)]]=0,"",DATA[[#This Row],[Administrative Officer 2: Current 2021/22 Maximum hourly pay rate ADJUSTED 2]]*DATA[[#This Row],[Administrative Officer 2: Numbers employed (Full Time Equivalent)]]),"")</f>
        <v>36.04</v>
      </c>
      <c r="QJ35" s="30">
        <f>IFERROR(IF(DATA[[#This Row],[Administrative Officer 2: Numbers employed (Full Time Equivalent)]]=0,"",DATA[[#This Row],[Administrative Officer 2: Previous 2020/21 Minimum hourly pay rate ADJUSTED 2]]*DATA[[#This Row],[Administrative Officer 2: Numbers employed (Full Time Equivalent)]]),"")</f>
        <v>36.04</v>
      </c>
      <c r="QK35" s="30">
        <f>IFERROR(IF(DATA[[#This Row],[Administrative Officer 2: Numbers employed (Full Time Equivalent)]]=0,"",DATA[[#This Row],[Administrative Officer 2: Previous 2020/21 Maximum hourly pay rate ADJUSTED 2]]*DATA[[#This Row],[Administrative Officer 2: Numbers employed (Full Time Equivalent)]]),"")</f>
        <v>36.04</v>
      </c>
      <c r="QL35" s="30" t="str">
        <f>IFERROR(IF(DATA[[#This Row],[Administrative Officer 3: Numbers employed (Full Time Equivalent)]]=0,"",DATA[[#This Row],[Administrative Officer 3: Current 2021/22 Minimum hourly pay rate ADJUSTED 2]]*DATA[[#This Row],[Administrative Officer 3: Numbers employed (Full Time Equivalent)]]),"")</f>
        <v/>
      </c>
      <c r="QM35" s="30" t="str">
        <f>IFERROR(IF(DATA[[#This Row],[Administrative Officer 3: Numbers employed (Full Time Equivalent)]]=0,"",DATA[[#This Row],[Administrative Officer 3: Current 2021/22 Maximum hourly pay rate ADJUSTED 2]]*DATA[[#This Row],[Administrative Officer 3: Numbers employed (Full Time Equivalent)]]),"")</f>
        <v/>
      </c>
      <c r="QN35" s="30" t="str">
        <f>IFERROR(IF(DATA[[#This Row],[Administrative Officer 3: Numbers employed (Full Time Equivalent)]]=0,"",DATA[[#This Row],[Administrative Officer 3: Previous 2020/21 Minimum hourly pay rate ADJUSTED 2]]*DATA[[#This Row],[Administrative Officer 3: Numbers employed (Full Time Equivalent)]]),"")</f>
        <v/>
      </c>
      <c r="QO35" s="30" t="str">
        <f>IFERROR(IF(DATA[[#This Row],[Administrative Officer 3: Numbers employed (Full Time Equivalent)]]=0,"",DATA[[#This Row],[Administrative Officer 3: Previous 2020/21 Maximum hourly pay rate ADJUSTED 2]]*DATA[[#This Row],[Administrative Officer 3: Numbers employed (Full Time Equivalent)]]),"")</f>
        <v/>
      </c>
      <c r="QP35" s="28" t="str">
        <f>IFERROR(IF(DATA[[#This Row],[Other staff 1: Numbers employed (Full Time Equivalent)]]=0,"",DATA[[#This Row],[Other staff 1: Current 2021/22 Minimum hourly pay rate ADJUSTED 2]]*DATA[[#This Row],[Other staff 1: Numbers employed (Full Time Equivalent)]]),"")</f>
        <v/>
      </c>
      <c r="QQ35" s="28" t="str">
        <f>IFERROR(IF(DATA[[#This Row],[Other staff 1: Numbers employed (Full Time Equivalent)]]=0,"",DATA[[#This Row],[Other staff 1: Current 2021/22 Maximum hourly pay rate ADJUSTED 2]]*DATA[[#This Row],[Other staff 1: Numbers employed (Full Time Equivalent)]]),"")</f>
        <v/>
      </c>
      <c r="QR35" s="28" t="str">
        <f>IFERROR(IF(DATA[[#This Row],[Other staff 1: Numbers employed (Full Time Equivalent)]]=0,"",DATA[[#This Row],[Other staff 1: Previous 2020/21 Minimum hourly pay rate ADJUSTED 2]]*DATA[[#This Row],[Other staff 1: Numbers employed (Full Time Equivalent)]]),"")</f>
        <v/>
      </c>
      <c r="QS35" s="28" t="str">
        <f>IFERROR(IF(DATA[[#This Row],[Other staff 1: Numbers employed (Full Time Equivalent)]]=0,"",DATA[[#This Row],[Other staff 1: Previous 2020/21 Maximum hourly pay rate ADJUSTED 2]]*DATA[[#This Row],[Other staff 1: Numbers employed (Full Time Equivalent)]]),"")</f>
        <v/>
      </c>
      <c r="QT35" s="28" t="str">
        <f>IFERROR(IF(DATA[[#This Row],[Other staff 2: Numbers employed (Full Time Equivalent)]]=0,"",DATA[[#This Row],[Other staff 2: Current 2021/22 Minimum hourly pay rate ADJUSTED 2]]*DATA[[#This Row],[Other staff 2: Numbers employed (Full Time Equivalent)]]),"")</f>
        <v/>
      </c>
      <c r="QU35" s="28" t="str">
        <f>IFERROR(IF(DATA[[#This Row],[Other staff 2: Numbers employed (Full Time Equivalent)]]=0,"",DATA[[#This Row],[Other staff 2: Current 2021/22 Maximum hourly pay rate ADJUSTED 2]]*DATA[[#This Row],[Other staff 2: Numbers employed (Full Time Equivalent)]]),"")</f>
        <v/>
      </c>
      <c r="QV35" s="28" t="str">
        <f>IFERROR(IF(DATA[[#This Row],[Other staff 2: Numbers employed (Full Time Equivalent)]]=0,"",DATA[[#This Row],[Other staff 2: Previous 2020/21 Minimum hourly pay rate ADJUSTED 2]]*DATA[[#This Row],[Other staff 2: Numbers employed (Full Time Equivalent)]]),"")</f>
        <v/>
      </c>
      <c r="QW35" s="28" t="str">
        <f>IFERROR(IF(DATA[[#This Row],[Other staff 2: Numbers employed (Full Time Equivalent)]]=0,"",DATA[[#This Row],[Other staff 2: Previous 2020/21 Maximum hourly pay rate ADJUSTED 2]]*DATA[[#This Row],[Other staff 2: Numbers employed (Full Time Equivalent)]]),"")</f>
        <v/>
      </c>
      <c r="QX35" s="28" t="str">
        <f>IFERROR(IF(DATA[[#This Row],[Other staff 3: Numbers employed (Full Time Equivalent)]]=0,"",DATA[[#This Row],[Other staff 3: Current 2021/22 Minimum hourly pay rate ADJUSTED 2]]*DATA[[#This Row],[Other staff 3: Numbers employed (Full Time Equivalent)]]),"")</f>
        <v/>
      </c>
      <c r="QY35" s="28" t="str">
        <f>IFERROR(IF(DATA[[#This Row],[Other staff 3: Numbers employed (Full Time Equivalent)]]=0,"",DATA[[#This Row],[Other staff 3: Current 2021/22 Maximum hourly pay rate ADJUSTED 2]]*DATA[[#This Row],[Other staff 3: Numbers employed (Full Time Equivalent)]]),"")</f>
        <v/>
      </c>
      <c r="QZ35" s="28" t="str">
        <f>IFERROR(IF(DATA[[#This Row],[Other staff 3: Numbers employed (Full Time Equivalent)]]=0,"",DATA[[#This Row],[Other staff 3: Previous 2020/21 Minimum hourly pay rate ADJUSTED 2]]*DATA[[#This Row],[Other staff 3: Numbers employed (Full Time Equivalent)]]),"")</f>
        <v/>
      </c>
      <c r="RA35" s="28" t="str">
        <f>IFERROR(IF(DATA[[#This Row],[Other staff 3: Numbers employed (Full Time Equivalent)]]=0,"",DATA[[#This Row],[Other staff 3: Previous 2020/21 Maximum hourly pay rate ADJUSTED 2]]*DATA[[#This Row],[Other staff 3: Numbers employed (Full Time Equivalent)]]),"")</f>
        <v/>
      </c>
      <c r="RB35"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35"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35"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35"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35"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35"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26</v>
      </c>
      <c r="RH35"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2</v>
      </c>
      <c r="RI35"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35"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35"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35"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4</v>
      </c>
      <c r="RM35"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35"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35"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35"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6" spans="7:484" x14ac:dyDescent="0.25">
      <c r="G36" s="2">
        <v>30</v>
      </c>
      <c r="H36" s="2">
        <v>112</v>
      </c>
      <c r="I36" s="2">
        <v>0</v>
      </c>
      <c r="J36" s="2">
        <v>1</v>
      </c>
      <c r="K36" s="2">
        <v>0</v>
      </c>
      <c r="L36" s="2" t="s">
        <v>328</v>
      </c>
      <c r="M36" s="2" t="s">
        <v>365</v>
      </c>
      <c r="R36" s="2">
        <v>17</v>
      </c>
      <c r="S36" s="2">
        <v>17</v>
      </c>
      <c r="T36" s="2">
        <v>15</v>
      </c>
      <c r="U36" s="2">
        <v>0</v>
      </c>
      <c r="V36" s="2">
        <v>1</v>
      </c>
      <c r="W36" s="2">
        <v>14.5</v>
      </c>
      <c r="X36" s="2">
        <v>14.5</v>
      </c>
      <c r="Y36" s="2">
        <v>14</v>
      </c>
      <c r="Z36" s="2">
        <v>0</v>
      </c>
      <c r="AA36" s="2">
        <v>1</v>
      </c>
      <c r="AB36" s="2" t="s">
        <v>463</v>
      </c>
      <c r="AC36" s="2">
        <v>12</v>
      </c>
      <c r="AD36" s="2">
        <v>12</v>
      </c>
      <c r="AE36" s="2">
        <v>11.5</v>
      </c>
      <c r="AF36" s="2">
        <v>0</v>
      </c>
      <c r="AG36" s="2">
        <v>1</v>
      </c>
      <c r="AH36" s="2" t="s">
        <v>315</v>
      </c>
      <c r="AI36" s="2">
        <v>0</v>
      </c>
      <c r="AJ36" s="2">
        <v>0</v>
      </c>
      <c r="AK36" s="2">
        <v>0</v>
      </c>
      <c r="AL36" s="2">
        <v>0</v>
      </c>
      <c r="AM36" s="2">
        <v>0</v>
      </c>
      <c r="AN36" s="2" t="s">
        <v>315</v>
      </c>
      <c r="AO36" s="2">
        <v>0</v>
      </c>
      <c r="AP36" s="2">
        <v>0</v>
      </c>
      <c r="AQ36" s="2">
        <v>0</v>
      </c>
      <c r="AR36" s="2">
        <v>0</v>
      </c>
      <c r="AS36" s="2">
        <v>0</v>
      </c>
      <c r="AT36" s="2" t="s">
        <v>349</v>
      </c>
      <c r="AU36" s="2">
        <v>9.6</v>
      </c>
      <c r="AV36" s="2">
        <v>9.6</v>
      </c>
      <c r="AW36" s="2">
        <v>9.25</v>
      </c>
      <c r="AX36" s="2">
        <v>0</v>
      </c>
      <c r="AY36" s="2">
        <v>6</v>
      </c>
      <c r="AZ36" s="2" t="s">
        <v>464</v>
      </c>
      <c r="BA36" s="2">
        <v>8.91</v>
      </c>
      <c r="BB36" s="2">
        <v>8.91</v>
      </c>
      <c r="BC36" s="2">
        <v>8.7200000000000006</v>
      </c>
      <c r="BD36" s="2">
        <v>0</v>
      </c>
      <c r="BE36" s="2">
        <v>65</v>
      </c>
      <c r="BF36" s="2" t="s">
        <v>316</v>
      </c>
      <c r="BG36" s="2">
        <v>0</v>
      </c>
      <c r="BH36" s="2">
        <v>0</v>
      </c>
      <c r="BI36" s="2">
        <v>0</v>
      </c>
      <c r="BJ36" s="2">
        <v>0</v>
      </c>
      <c r="BK36" s="2">
        <v>0</v>
      </c>
      <c r="BL36" s="2" t="s">
        <v>316</v>
      </c>
      <c r="BM36" s="2">
        <v>0</v>
      </c>
      <c r="BN36" s="2">
        <v>0</v>
      </c>
      <c r="BO36" s="2">
        <v>0</v>
      </c>
      <c r="BP36" s="2">
        <v>0</v>
      </c>
      <c r="BQ36" s="2">
        <v>0</v>
      </c>
      <c r="BR36" s="2" t="s">
        <v>465</v>
      </c>
      <c r="BS36" s="2">
        <v>25</v>
      </c>
      <c r="BT36" s="2">
        <v>25</v>
      </c>
      <c r="BU36" s="2">
        <v>25</v>
      </c>
      <c r="BV36" s="2">
        <v>25</v>
      </c>
      <c r="BW36" s="2">
        <v>0.2</v>
      </c>
      <c r="BX36" s="2" t="s">
        <v>466</v>
      </c>
      <c r="BY36" s="2">
        <v>12</v>
      </c>
      <c r="BZ36" s="2">
        <v>12</v>
      </c>
      <c r="CA36" s="2">
        <v>11.5</v>
      </c>
      <c r="CB36" s="2">
        <v>11.5</v>
      </c>
      <c r="CC36" s="2">
        <v>1</v>
      </c>
      <c r="CD36" s="2" t="s">
        <v>461</v>
      </c>
      <c r="CE36" s="2">
        <v>12</v>
      </c>
      <c r="CF36" s="2">
        <v>12</v>
      </c>
      <c r="CG36" s="2">
        <v>11.5</v>
      </c>
      <c r="CH36" s="2">
        <v>11.5</v>
      </c>
      <c r="CI36" s="2">
        <v>1</v>
      </c>
      <c r="CJ36" s="2" t="s">
        <v>467</v>
      </c>
      <c r="CK36" s="2">
        <v>4.3</v>
      </c>
      <c r="CL36" s="2">
        <v>4.3</v>
      </c>
      <c r="CM36" s="2">
        <v>4.1500000000000004</v>
      </c>
      <c r="CN36" s="2">
        <v>4.1500000000000004</v>
      </c>
      <c r="CO36" s="2">
        <v>1</v>
      </c>
      <c r="CP36" s="2" t="s">
        <v>468</v>
      </c>
      <c r="CQ36" s="2">
        <v>12</v>
      </c>
      <c r="CR36" s="2">
        <v>12</v>
      </c>
      <c r="CS36" s="2">
        <v>11</v>
      </c>
      <c r="CT36" s="2">
        <v>11</v>
      </c>
      <c r="CU36" s="2">
        <v>1</v>
      </c>
      <c r="CV36" s="2" t="s">
        <v>318</v>
      </c>
      <c r="CW36" s="2">
        <v>0</v>
      </c>
      <c r="CX36" s="2">
        <v>0</v>
      </c>
      <c r="CY36" s="2">
        <v>0</v>
      </c>
      <c r="CZ36" s="2">
        <v>0</v>
      </c>
      <c r="DA36" s="2">
        <v>0</v>
      </c>
      <c r="DB36" s="2">
        <v>0.03</v>
      </c>
      <c r="DC36" s="2">
        <v>757</v>
      </c>
      <c r="DD36" s="2">
        <v>128</v>
      </c>
      <c r="DE36" s="2">
        <v>83</v>
      </c>
      <c r="DF36" s="2">
        <v>0</v>
      </c>
      <c r="DG36" s="2">
        <v>509</v>
      </c>
      <c r="DH36" s="2">
        <v>212</v>
      </c>
      <c r="DI36" s="2">
        <v>0</v>
      </c>
      <c r="DJ36" s="2">
        <v>0</v>
      </c>
      <c r="DK36" s="2">
        <v>0</v>
      </c>
      <c r="DL36" s="2">
        <v>0</v>
      </c>
      <c r="DM36" s="2">
        <v>0</v>
      </c>
      <c r="DN36" s="2">
        <v>0</v>
      </c>
      <c r="DO36" s="2">
        <v>15.58</v>
      </c>
      <c r="DP36" s="2">
        <v>17</v>
      </c>
      <c r="DQ36" s="2">
        <v>15.27</v>
      </c>
      <c r="DR36" s="18">
        <v>43922</v>
      </c>
      <c r="DS36" s="18">
        <v>44286</v>
      </c>
      <c r="DT36" s="2">
        <v>84895</v>
      </c>
      <c r="DU36" s="2">
        <v>108000</v>
      </c>
      <c r="DV36" s="2">
        <v>956000</v>
      </c>
      <c r="DW36" s="2">
        <v>61000</v>
      </c>
      <c r="DX36" s="2">
        <v>34800</v>
      </c>
      <c r="DY36" s="2">
        <v>0</v>
      </c>
      <c r="DZ36" s="2">
        <v>20100</v>
      </c>
      <c r="EA36" s="2">
        <v>29468</v>
      </c>
      <c r="EB36" s="2">
        <v>0</v>
      </c>
      <c r="EC36" s="2">
        <v>2000</v>
      </c>
      <c r="ED36" s="2">
        <v>3800</v>
      </c>
      <c r="EE36" s="2">
        <v>13000</v>
      </c>
      <c r="EF36" s="2">
        <v>8000</v>
      </c>
      <c r="EG36" s="2">
        <v>12000</v>
      </c>
      <c r="EH36" s="2" t="s">
        <v>324</v>
      </c>
      <c r="EI36" s="2">
        <v>0</v>
      </c>
      <c r="EJ36" s="2" t="s">
        <v>324</v>
      </c>
      <c r="EK36" s="2">
        <v>0</v>
      </c>
      <c r="EL36" s="2">
        <v>3400</v>
      </c>
      <c r="EM36" s="2">
        <v>9000</v>
      </c>
      <c r="EN36" s="2">
        <v>4500</v>
      </c>
      <c r="EO36" s="2">
        <v>8000</v>
      </c>
      <c r="EP36" s="2">
        <v>3200</v>
      </c>
      <c r="EQ36" s="2">
        <v>800</v>
      </c>
      <c r="ER36" s="2">
        <v>0</v>
      </c>
      <c r="ES36" s="2">
        <v>0</v>
      </c>
      <c r="ET36" s="2" t="s">
        <v>324</v>
      </c>
      <c r="EU36" s="2">
        <v>0</v>
      </c>
      <c r="EV36" s="2" t="s">
        <v>324</v>
      </c>
      <c r="EW36" s="2">
        <v>0</v>
      </c>
      <c r="EX36" s="2">
        <v>0</v>
      </c>
      <c r="EY36" s="2">
        <v>65000</v>
      </c>
      <c r="EZ36" s="2" t="s">
        <v>326</v>
      </c>
      <c r="FA36" s="2">
        <v>0</v>
      </c>
      <c r="FB36" s="2" t="s">
        <v>326</v>
      </c>
      <c r="FC36" s="2">
        <v>0</v>
      </c>
      <c r="FD36" s="2">
        <v>42000</v>
      </c>
      <c r="FE36" s="2"/>
      <c r="FF36" s="2">
        <v>220000</v>
      </c>
      <c r="FG36" s="2"/>
      <c r="FH36" s="19">
        <v>44480.624189814815</v>
      </c>
      <c r="FI36" s="2" t="s">
        <v>345</v>
      </c>
      <c r="FJ36" s="2">
        <f>SUM(DATA[[#This Row],[Number of Home support clients:]],DATA[[#This Row],[Number of supported living clients:]])</f>
        <v>112</v>
      </c>
      <c r="FK36"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111-120</v>
      </c>
      <c r="FL36"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17</v>
      </c>
      <c r="FM36"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17</v>
      </c>
      <c r="FN36"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15</v>
      </c>
      <c r="FO36"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v>
      </c>
      <c r="FP36"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14.5</v>
      </c>
      <c r="FQ36"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14.5</v>
      </c>
      <c r="FR36"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14</v>
      </c>
      <c r="FS36"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14</v>
      </c>
      <c r="FT36"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12</v>
      </c>
      <c r="FU36"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v>
      </c>
      <c r="FV36"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11.5</v>
      </c>
      <c r="FW36"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11.5</v>
      </c>
      <c r="FX36"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36"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36"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36"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36"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36"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36"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36"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36"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9.6</v>
      </c>
      <c r="GG36"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9.6</v>
      </c>
      <c r="GH36"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9.25</v>
      </c>
      <c r="GI36"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9.25</v>
      </c>
      <c r="GJ36"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8.91</v>
      </c>
      <c r="GK36"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8.91</v>
      </c>
      <c r="GL36"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8.7200000000000006</v>
      </c>
      <c r="GM36"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8.7200000000000006</v>
      </c>
      <c r="GN36"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36"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36"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36"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36"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36"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36"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36"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36"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25</v>
      </c>
      <c r="GW36"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25</v>
      </c>
      <c r="GX36"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25</v>
      </c>
      <c r="GY36"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25</v>
      </c>
      <c r="GZ36"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12</v>
      </c>
      <c r="HA36"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12</v>
      </c>
      <c r="HB36"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11.5</v>
      </c>
      <c r="HC36"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11.5</v>
      </c>
      <c r="HD36"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12</v>
      </c>
      <c r="HE36"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12</v>
      </c>
      <c r="HF36" s="2">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11.5</v>
      </c>
      <c r="HG36" s="2">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11.5</v>
      </c>
      <c r="HH36"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4.3</v>
      </c>
      <c r="HI36"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4.3</v>
      </c>
      <c r="HJ36"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4.1500000000000004</v>
      </c>
      <c r="HK36"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4.1500000000000004</v>
      </c>
      <c r="HL36"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12</v>
      </c>
      <c r="HM36"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12</v>
      </c>
      <c r="HN36" s="2">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11</v>
      </c>
      <c r="HO36" s="2">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11</v>
      </c>
      <c r="HP36"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36"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36"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36"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36"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17</v>
      </c>
      <c r="HU36"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17</v>
      </c>
      <c r="HV36"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v>
      </c>
      <c r="HW36"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v>
      </c>
      <c r="HX36"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14.5</v>
      </c>
      <c r="HY36"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14.5</v>
      </c>
      <c r="HZ36"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14</v>
      </c>
      <c r="IA36"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14</v>
      </c>
      <c r="IB36"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12</v>
      </c>
      <c r="IC36"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v>
      </c>
      <c r="ID36"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11.5</v>
      </c>
      <c r="IE36"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11.5</v>
      </c>
      <c r="IF36"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36"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36"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36"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36"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36"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36"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36"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36"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9.6</v>
      </c>
      <c r="IO36"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9.6</v>
      </c>
      <c r="IP36"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9.25</v>
      </c>
      <c r="IQ36"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9.25</v>
      </c>
      <c r="IR36"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8.91</v>
      </c>
      <c r="IS36"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8.91</v>
      </c>
      <c r="IT36"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8.7200000000000006</v>
      </c>
      <c r="IU36"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8.7200000000000006</v>
      </c>
      <c r="IV36"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36"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36"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36"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36"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36"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36"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36"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36"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25</v>
      </c>
      <c r="JE36"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25</v>
      </c>
      <c r="JF36"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25</v>
      </c>
      <c r="JG36"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25</v>
      </c>
      <c r="JH36"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12</v>
      </c>
      <c r="JI36"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12</v>
      </c>
      <c r="JJ36"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11.5</v>
      </c>
      <c r="JK36"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11.5</v>
      </c>
      <c r="JL36"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12</v>
      </c>
      <c r="JM36"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12</v>
      </c>
      <c r="JN36"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11.5</v>
      </c>
      <c r="JO36"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11.5</v>
      </c>
      <c r="JP36"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4.3</v>
      </c>
      <c r="JQ36"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4.3</v>
      </c>
      <c r="JR36"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4.1500000000000004</v>
      </c>
      <c r="JS36"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4.1500000000000004</v>
      </c>
      <c r="JT36"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12</v>
      </c>
      <c r="JU36"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12</v>
      </c>
      <c r="JV36"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11</v>
      </c>
      <c r="JW36"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11</v>
      </c>
      <c r="JX36"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36"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36"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36"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36"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36" s="21">
        <f>SUM(DATA[[#This Row],[Care Assistant 1: Numbers employed (Full Time Equivalent)]],DATA[[#This Row],[Care Assistant 2: Numbers employed (Full Time Equivalent)]],DATA[[#This Row],[Care Assistant 3: Numbers employed (Full Time Equivalent)]],DATA[[#This Row],[Care Assistant 4: Numbers employed (Full Time Equivalent)]])</f>
        <v>71</v>
      </c>
      <c r="KD36" s="21">
        <f>SUM(DATA[[#This Row],[Administrative Officer 1: Numbers employed (Full Time Equivalent)]],DATA[[#This Row],[Administrative Officer 2: Numbers employed (Full Time Equivalent)]])</f>
        <v>1.2</v>
      </c>
      <c r="KE36" s="21">
        <f>SUM(DATA[[#This Row],[Other staff 1: Numbers employed (Full Time Equivalent)]],DATA[[#This Row],[Other staff 2: Numbers employed (Full Time Equivalent)]],DATA[[#This Row],[Other staff 3: Numbers employed (Full Time Equivalent)]])</f>
        <v>2</v>
      </c>
      <c r="KF36" s="21">
        <f>SUM(DATA[[#This Row],[Total FTE Management Employees]:[Total FTE Other Employees]])</f>
        <v>77.2</v>
      </c>
      <c r="KG36" s="21" t="str">
        <f>IF(SUM(DATA[[#This Row],[Home Support service split percentage (Expenditure):]],DATA[[#This Row],[Supported Living service split percentage (Expenditure):]])&gt;0, IF(DATA[[#This Row],[Home Support service split percentage (Expenditure):]]&gt;0.5,"Home Support","Supported Living"), "Unknown")</f>
        <v>Home Support</v>
      </c>
      <c r="KH36" s="21">
        <f>SUM(DATA[[#This Row],[Home Support: Birmingham City Council]:[Home Support: Self-funded]])</f>
        <v>1689</v>
      </c>
      <c r="KI36" s="21">
        <f>SUM(DATA[[#This Row],[Supported Living: Birmingham City Council]:[Supported Living: Self-funded]])</f>
        <v>0</v>
      </c>
      <c r="KJ36"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36"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36"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36"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36" s="21" t="b">
        <f>SUM(DATA[[#This Row],[Number of hours of care charged for in last full accounting year]:[Corporate Overheads: Other  - please specify (category) 1]])&gt;0</f>
        <v>1</v>
      </c>
      <c r="KO36" s="21">
        <f>SUM(DATA[[#This Row],[Total annual expenditure: Management staff]:[Total annual expenditure: Training and development]])</f>
        <v>1209368</v>
      </c>
      <c r="KP36" s="21">
        <f>SUM(DATA[[#This Row],[Recruitment &amp; advertising (including DBS checks)]:[Non-Staffing Direct Cost: Other  - please specify (amount) 2]])</f>
        <v>38800</v>
      </c>
      <c r="KQ36" s="21">
        <f>SUM(DATA[[#This Row],[Insurance ]:[Indirect costs: Other 2 - please specify (amount)]])</f>
        <v>28900</v>
      </c>
      <c r="KR36" s="21">
        <f>SUM(DATA[[#This Row],[Central / Regional Management]],DATA[[#This Row],[Support Services (finance / HR / Payroll / legal etc.)]],DATA[[#This Row],[Corporate Overheads: Other  - please specify (amount) 1]],DATA[[#This Row],[Corporate Overheads: Other  - please specify (amount) 2]])</f>
        <v>65000</v>
      </c>
      <c r="KS36"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1.2721597267212439</v>
      </c>
      <c r="KT36"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11.260969432828789</v>
      </c>
      <c r="KU36"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0.7185346604629248</v>
      </c>
      <c r="KV36" s="30">
        <f>IF(OR(NOT(DATA[[#This Row],[Total annual expenditure: Other staff]]&gt;0),NOT(DATA[[#This Row],[Number of hours of care charged for in last full accounting year]]&gt;0)),0,DATA[[#This Row],[Total annual expenditure: Other staff]]/DATA[[#This Row],[Number of hours of care charged for in last full accounting year]])</f>
        <v>0.40991813416573414</v>
      </c>
      <c r="KW36"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6" s="30">
        <f>IF(OR(NOT(DATA[[#This Row],[Total annual expenditure: Travel Cost]]&gt;0),NOT(DATA[[#This Row],[Number of hours of care charged for in last full accounting year]]&gt;0)),0,DATA[[#This Row],[Total annual expenditure: Travel Cost]]/DATA[[#This Row],[Number of hours of care charged for in last full accounting year]])</f>
        <v>0.23676306025089816</v>
      </c>
      <c r="KY36" s="30">
        <f>IF(OR(NOT(DATA[[#This Row],[Total annual expenditure: Travel Time]]&gt;0),NOT(DATA[[#This Row],[Number of hours of care charged for in last full accounting year]]&gt;0)),0,DATA[[#This Row],[Total annual expenditure: Travel Time]]/DATA[[#This Row],[Number of hours of care charged for in last full accounting year]])</f>
        <v>0.34711113728723719</v>
      </c>
      <c r="KZ36"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36"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2.3558513457800814E-2</v>
      </c>
      <c r="LB36"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4.4761175569821544E-2</v>
      </c>
      <c r="LC36" s="30">
        <f>IF(OR(NOT(DATA[[#This Row],[Care consumables &amp; uniforms]]&gt;0),NOT(DATA[[#This Row],[Number of hours of care charged for in last full accounting year]]&gt;0)),0,DATA[[#This Row],[Care consumables &amp; uniforms]]/DATA[[#This Row],[Number of hours of care charged for in last full accounting year]])</f>
        <v>0.15313033747570529</v>
      </c>
      <c r="LD36" s="30">
        <f>IF(OR(NOT(DATA[[#This Row],[Electronic call monitoring]]&gt;0),NOT(DATA[[#This Row],[Number of hours of care charged for in last full accounting year]]&gt;0)),0,DATA[[#This Row],[Electronic call monitoring]]/DATA[[#This Row],[Number of hours of care charged for in last full accounting year]])</f>
        <v>9.4234053831203257E-2</v>
      </c>
      <c r="LE36" s="30">
        <f>IF(OR(NOT(DATA[[#This Row],[IT Equipment &amp; Telephoney]]&gt;0),NOT(DATA[[#This Row],[Number of hours of care charged for in last full accounting year]]&gt;0)),0,DATA[[#This Row],[IT Equipment &amp; Telephoney]]/DATA[[#This Row],[Number of hours of care charged for in last full accounting year]])</f>
        <v>0.14135108074680489</v>
      </c>
      <c r="LF36"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36"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36" s="30">
        <f>IF(OR(NOT(DATA[[#This Row],[Insurance ]]&gt;0),NOT(DATA[[#This Row],[Number of hours of care charged for in last full accounting year]]&gt;0)),0,DATA[[#This Row],[Insurance ]]/DATA[[#This Row],[Number of hours of care charged for in last full accounting year]])</f>
        <v>4.0049472878261383E-2</v>
      </c>
      <c r="LI36"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0.10601331056010366</v>
      </c>
      <c r="LJ36" s="30">
        <f>IF(OR(NOT(DATA[[#This Row],[Repairs and maintenance]]&gt;0),NOT(DATA[[#This Row],[Number of hours of care charged for in last full accounting year]]&gt;0)),0,DATA[[#This Row],[Repairs and maintenance]]/DATA[[#This Row],[Number of hours of care charged for in last full accounting year]])</f>
        <v>5.3006655280051829E-2</v>
      </c>
      <c r="LK36"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9.4234053831203257E-2</v>
      </c>
      <c r="LL36" s="30">
        <f>IF(OR(NOT(DATA[[#This Row],[Registration &amp; Inspection fees ]]&gt;0),NOT(DATA[[#This Row],[Number of hours of care charged for in last full accounting year]]&gt;0)),0,DATA[[#This Row],[Registration &amp; Inspection fees ]]/DATA[[#This Row],[Number of hours of care charged for in last full accounting year]])</f>
        <v>3.7693621532481299E-2</v>
      </c>
      <c r="LM36" s="30">
        <f>IF(OR(NOT(DATA[[#This Row],[Subscriptions]]&gt;0),NOT(DATA[[#This Row],[Number of hours of care charged for in last full accounting year]]&gt;0)),0,DATA[[#This Row],[Subscriptions]]/DATA[[#This Row],[Number of hours of care charged for in last full accounting year]])</f>
        <v>9.4234053831203247E-3</v>
      </c>
      <c r="LN36" s="30">
        <f>IF(OR(NOT(DATA[[#This Row],[Cost of finance]]&gt;0),NOT(DATA[[#This Row],[Number of hours of care charged for in last full accounting year]]&gt;0)),0,DATA[[#This Row],[Cost of finance]]/DATA[[#This Row],[Number of hours of care charged for in last full accounting year]])</f>
        <v>0</v>
      </c>
      <c r="LO36" s="30">
        <f>IF(OR(NOT(DATA[[#This Row],[Other non-staff current expenses]]&gt;0),NOT(DATA[[#This Row],[Number of hours of care charged for in last full accounting year]]&gt;0)),0,DATA[[#This Row],[Other non-staff current expenses]]/DATA[[#This Row],[Number of hours of care charged for in last full accounting year]])</f>
        <v>0</v>
      </c>
      <c r="LP36"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36"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36" s="30">
        <f>IF(OR(NOT(DATA[[#This Row],[Central / Regional Management]]&gt;0),NOT(DATA[[#This Row],[Number of hours of care charged for in last full accounting year]]&gt;0)),0,DATA[[#This Row],[Central / Regional Management]]/DATA[[#This Row],[Number of hours of care charged for in last full accounting year]])</f>
        <v>0</v>
      </c>
      <c r="LS36"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0.7656516873785264</v>
      </c>
      <c r="LT36"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6"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6" s="30">
        <f>SUM(DATA[[#This Row],[Management staff HOURLY RATE]:[Corporate Overheads: Other  - please specify (amount) 2 HOURLY RATE]])</f>
        <v>15.808563519641908</v>
      </c>
      <c r="LW36" s="30">
        <f>IF(OR(NOT(DATA[[#This Row],[Net Operating Profit]]&gt;0),NOT(DATA[[#This Row],[Number of hours of care charged for in last full accounting year]]&gt;0)),"",DATA[[#This Row],[Net Operating Profit]]/DATA[[#This Row],[Number of hours of care charged for in last full accounting year]])</f>
        <v>0.49472878261381709</v>
      </c>
      <c r="LX36" s="30">
        <f>IF(OR(NOT(DATA[[#This Row],[Return on Capital employed]]&gt;0),NOT(DATA[[#This Row],[Number of hours of care charged for in last full accounting year]]&gt;0)),0,DATA[[#This Row],[Return on Capital employed]]/DATA[[#This Row],[Number of hours of care charged for in last full accounting year]])</f>
        <v>0</v>
      </c>
      <c r="LY36" s="31">
        <v>30</v>
      </c>
      <c r="LZ36" s="30" t="s">
        <v>345</v>
      </c>
      <c r="MA36" s="30" t="b">
        <f>DATA[[#This Row],[Number of Home support clients:]]&gt;0</f>
        <v>1</v>
      </c>
      <c r="MB36" s="30" t="b">
        <f>DATA[[#This Row],[Number of supported living clients:]]&gt;0</f>
        <v>0</v>
      </c>
      <c r="MC36" s="30" t="b">
        <f>DATA[[#This Row],[Total Home Support Hours]]&gt;0</f>
        <v>1</v>
      </c>
      <c r="MD36" s="30" t="b">
        <f>DATA[[#This Row],[Total Supported Living Hours]]&gt;0</f>
        <v>0</v>
      </c>
      <c r="ME36" s="30" t="b">
        <f>DATA[[#This Row],[Home Support service split percentage (Expenditure):]]&gt;0.5</f>
        <v>1</v>
      </c>
      <c r="MF36" s="30" t="b">
        <f>DATA[[#This Row],[Agency staff HOURLY RATE]]=0</f>
        <v>1</v>
      </c>
      <c r="MG36"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6" s="30">
        <f>IFERROR(IF(AVERAGE(DATA[[#This Row],[Deputy manager: Current 2021/22 Minimum hourly pay rate ADJUSTED]],DATA[[#This Row],[Deputy manager: Current 2021/22 Maximum hourly pay rate ADJUSTED]])&lt;LIVING_WAGE_22_23,DATA[[#This Row],[Deputy manager: Numbers employed (Full Time Equivalent)]],0),"")</f>
        <v>0</v>
      </c>
      <c r="MI36" s="30">
        <f>IFERROR(IF(AVERAGE(DATA[[#This Row],[Other manager 1: Current 2021/22 Minimum hourly pay rate ADJUSTED]],DATA[[#This Row],[Other manager 1: Current 2021/22 Maximum hourly pay rate ADJUSTED]])&lt;LIVING_WAGE_22_23,DATA[[#This Row],[Other manager 1: Numbers employed (Full Time Equivalent)]],0),"")</f>
        <v>0</v>
      </c>
      <c r="MJ36" s="30" t="str">
        <f>IFERROR(IF(AVERAGE(DATA[[#This Row],[Other manager 2: Current 2021/22 Minimum hourly pay rate ADJUSTED]],DATA[[#This Row],[Other manager 2: Current 2021/22 Maximum hourly pay rate ADJUSTED]])&lt;LIVING_WAGE_22_23,DATA[[#This Row],[Other manager 2: Numbers employed (Full Time Equivalent)]],0),"")</f>
        <v/>
      </c>
      <c r="MK36" s="30" t="str">
        <f>IFERROR(IF(AVERAGE(DATA[[#This Row],[Other manager 3: Current 2021/22 Minimum hourly pay rate ADJUSTED]],DATA[[#This Row],[Other manager 3: Current 2021/22 Maximum hourly pay rate ADJUSTED]])&lt;LIVING_WAGE_22_23,DATA[[#This Row],[Other manager 3: Numbers employed (Full Time Equivalent)]],0),"")</f>
        <v/>
      </c>
      <c r="ML36" s="30">
        <f>IFERROR(IF(AVERAGE(DATA[[#This Row],[Care Assistant 1: Current 2021/22 Minimum hourly pay rate ADJUSTED]],DATA[[#This Row],[Care Assistant 1: Current 2021/22 Maximum hourly pay rate ADJUSTED]])&lt;LIVING_WAGE_22_23,DATA[[#This Row],[Care Assistant 1: Numbers employed (Full Time Equivalent)]],0),"")</f>
        <v>0</v>
      </c>
      <c r="MM36" s="30">
        <f>IFERROR(IF(AVERAGE(DATA[[#This Row],[Care Assistant 2: Current 2021/22 Minimum hourly pay rate ADJUSTED]],DATA[[#This Row],[Care Assistant 2: Current 2021/22 Maximum hourly pay rate ADJUSTED]])&lt;LIVING_WAGE_22_23,DATA[[#This Row],[Care Assistant 2: Numbers employed (Full Time Equivalent)]],0),"")</f>
        <v>65</v>
      </c>
      <c r="MN36" s="30" t="str">
        <f>IFERROR(IF(AVERAGE(DATA[[#This Row],[Care Assistant 3: Current 2021/22 Minimum hourly pay rate ADJUSTED]],DATA[[#This Row],[Care Assistant 3: Current 2021/22 Maximum hourly pay rate ADJUSTED]])&lt;LIVING_WAGE_22_23,DATA[[#This Row],[Care Assistant 3: Numbers employed (Full Time Equivalent)]],0),"")</f>
        <v/>
      </c>
      <c r="MO36" s="30" t="str">
        <f>IFERROR(IF(AVERAGE(DATA[[#This Row],[Care Assistant 4: Current 2021/22 Minimum hourly pay rate ADJUSTED]],DATA[[#This Row],[Care Assistant 4: Current 2021/22 Maximum hourly pay rate ADJUSTED]])&lt;LIVING_WAGE_22_23,DATA[[#This Row],[Care Assistant 4: Numbers employed (Full Time Equivalent)]],0),"")</f>
        <v/>
      </c>
      <c r="MP36"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36"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36" s="30">
        <f>IFERROR(IF(AVERAGE(DATA[[#This Row],[Other staff 1: Current 2021/22 Minimum hourly pay rate ADJUSTED]],DATA[[#This Row],[Other staff 1: Current 2021/22 Maximum hourly pay rate ADJUSTED]])&lt;LIVING_WAGE_22_23,DATA[[#This Row],[Other staff 1: Numbers employed (Full Time Equivalent)]],0),"")</f>
        <v>1</v>
      </c>
      <c r="MS36" s="30">
        <f>IFERROR(IF(AVERAGE(DATA[[#This Row],[Other staff 2: Current 2021/22 Minimum hourly pay rate ADJUSTED]],DATA[[#This Row],[Other staff 2: Current 2021/22 Maximum hourly pay rate ADJUSTED]])&lt;LIVING_WAGE_22_23,DATA[[#This Row],[Other staff 2: Numbers employed (Full Time Equivalent)]],0),"")</f>
        <v>0</v>
      </c>
      <c r="MT36" s="30" t="str">
        <f>IFERROR(IF(AVERAGE(DATA[[#This Row],[Other staff 3: Current 2021/22 Minimum hourly pay rate ADJUSTED]],DATA[[#This Row],[Other staff 3: Current 2021/22 Maximum hourly pay rate ADJUSTED]])&lt;LIVING_WAGE_22_23,DATA[[#This Row],[Other staff 3: Numbers employed (Full Time Equivalent)]],0),"")</f>
        <v/>
      </c>
      <c r="MU36" s="30">
        <f>SUM(DATA[[#This Row],[Registered Manager FTE earning less than NLW 23yrs 2022/23]:[Other staff 3 FTE earning less than NLW 23yrs 2022/23]])</f>
        <v>66</v>
      </c>
      <c r="MV36"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6"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36"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36"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36"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36"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36"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38.349999999999994</v>
      </c>
      <c r="NC36"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36"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36"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36"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36"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5.2</v>
      </c>
      <c r="NH36"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0</v>
      </c>
      <c r="NI36"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36" s="30" t="b">
        <v>1</v>
      </c>
      <c r="NK36" s="30" t="b">
        <v>1</v>
      </c>
      <c r="NL36" s="30" t="s">
        <v>505</v>
      </c>
      <c r="NM36" s="30">
        <f>SUM(DATA[[#This Row],[Management staff HOURLY RATE]:[Training and development HOURLY RATE]])</f>
        <v>14.245456151716827</v>
      </c>
      <c r="NN36" s="30">
        <f>SUM(DATA[[#This Row],[Recruitment &amp; advertising (including DBS checks) HOURLY RATE]:[Non-Staffing Direct Cost: Other  - please specify (amount) 2 HOURLY RATE]])</f>
        <v>0.45703516108133579</v>
      </c>
      <c r="NO36" s="30">
        <f>SUM(DATA[[#This Row],[Insurance  HOURLY RATE]:[Indirect costs: Other  - please specify (amount) 2 HOURLY RATE]])</f>
        <v>0.34042051946522173</v>
      </c>
      <c r="NP36" s="30">
        <f>SUM(DATA[[#This Row],[Central / Regional Management HOURLY RATE]:[Corporate Overheads: Other  - please specify (amount) 2 HOURLY RATE]])</f>
        <v>0.7656516873785264</v>
      </c>
      <c r="NQ36"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6" s="30">
        <f>IFERROR(IF(AVERAGE(DATA[[#This Row],[Deputy manager: Current 2021/22 Minimum hourly pay rate ADJUSTED]],DATA[[#This Row],[Deputy manager: Current 2021/22 Maximum hourly pay rate ADJUSTED]])&lt;REAL_LIVING_WAGE_22_23,DATA[[#This Row],[Deputy manager: Numbers employed (Full Time Equivalent)]],0),"")</f>
        <v>0</v>
      </c>
      <c r="NS36" s="30">
        <f>IFERROR(IF(AVERAGE(DATA[[#This Row],[Other manager 1: Current 2021/22 Minimum hourly pay rate ADJUSTED]],DATA[[#This Row],[Other manager 1: Current 2021/22 Maximum hourly pay rate ADJUSTED]])&lt;REAL_LIVING_WAGE_22_23,DATA[[#This Row],[Other manager 1: Numbers employed (Full Time Equivalent)]],0),"")</f>
        <v>0</v>
      </c>
      <c r="NT36" s="30" t="str">
        <f>IFERROR(IF(AVERAGE(DATA[[#This Row],[Other manager 2: Current 2021/22 Minimum hourly pay rate ADJUSTED]],DATA[[#This Row],[Other manager 2: Current 2021/22 Maximum hourly pay rate ADJUSTED]])&lt;REAL_LIVING_WAGE_22_23,DATA[[#This Row],[Other manager 2: Numbers employed (Full Time Equivalent)]],0),"")</f>
        <v/>
      </c>
      <c r="NU36" s="30" t="str">
        <f>IFERROR(IF(AVERAGE(DATA[[#This Row],[Other manager 3: Current 2021/22 Minimum hourly pay rate ADJUSTED]],DATA[[#This Row],[Other manager 3: Current 2021/22 Maximum hourly pay rate ADJUSTED]])&lt;REAL_LIVING_WAGE_22_23,DATA[[#This Row],[Other manager 3: Numbers employed (Full Time Equivalent)]],0),"")</f>
        <v/>
      </c>
      <c r="NV36" s="30">
        <f>IFERROR(IF(AVERAGE(DATA[[#This Row],[Care Assistant 1: Current 2021/22 Minimum hourly pay rate ADJUSTED]],DATA[[#This Row],[Care Assistant 1: Current 2021/22 Maximum hourly pay rate ADJUSTED]])&lt;REAL_LIVING_WAGE_22_23,DATA[[#This Row],[Care Assistant 1: Numbers employed (Full Time Equivalent)]],0),"")</f>
        <v>6</v>
      </c>
      <c r="NW36" s="30">
        <f>IFERROR(IF(AVERAGE(DATA[[#This Row],[Care Assistant 2: Current 2021/22 Minimum hourly pay rate ADJUSTED]],DATA[[#This Row],[Care Assistant 2: Current 2021/22 Maximum hourly pay rate ADJUSTED]])&lt;REAL_LIVING_WAGE_22_23,DATA[[#This Row],[Care Assistant 2: Numbers employed (Full Time Equivalent)]],0),"")</f>
        <v>65</v>
      </c>
      <c r="NX36"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36"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36"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36"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36" s="30">
        <f>IFERROR(IF(AVERAGE(DATA[[#This Row],[Other staff 1: Current 2021/22 Minimum hourly pay rate ADJUSTED]],DATA[[#This Row],[Other staff 1: Current 2021/22 Maximum hourly pay rate ADJUSTED]])&lt;REAL_LIVING_WAGE_22_23,DATA[[#This Row],[Other staff 1: Numbers employed (Full Time Equivalent)]],0),"")</f>
        <v>1</v>
      </c>
      <c r="OC36" s="30">
        <f>IFERROR(IF(AVERAGE(DATA[[#This Row],[Other staff 2: Current 2021/22 Minimum hourly pay rate ADJUSTED]],DATA[[#This Row],[Other staff 2: Current 2021/22 Maximum hourly pay rate ADJUSTED]])&lt;REAL_LIVING_WAGE_22_23,DATA[[#This Row],[Other staff 2: Numbers employed (Full Time Equivalent)]],0),"")</f>
        <v>0</v>
      </c>
      <c r="OD36" s="30" t="str">
        <f>IFERROR(IF(AVERAGE(DATA[[#This Row],[Other staff 3: Current 2021/22 Minimum hourly pay rate ADJUSTED]],DATA[[#This Row],[Other staff 3: Current 2021/22 Maximum hourly pay rate ADJUSTED]])&lt;REAL_LIVING_WAGE_22_23,DATA[[#This Row],[Other staff 3: Numbers employed (Full Time Equivalent)]],0),"")</f>
        <v/>
      </c>
      <c r="OE36" s="30">
        <f>SUM(DATA[[#This Row],[Registered Manager FTE earning less than RLW 23yrs 2022/23]:[Other staff 3 FTE earning less than RLW 23yrs 2022/23]])</f>
        <v>72</v>
      </c>
      <c r="OF36"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6"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36"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36"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36"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36"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1.8000000000000043</v>
      </c>
      <c r="OL36"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64.350000000000009</v>
      </c>
      <c r="OM36"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36"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36"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36"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36"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5.6000000000000005</v>
      </c>
      <c r="OR36"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0</v>
      </c>
      <c r="OS36"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36" s="30">
        <f>IFERROR(IF(DATA[[#This Row],[Registered manager: Numbers employed (Full Time Equivalent)]]=0,"",DATA[[#This Row],[Registered manager: Current 2021/22 Minimum hourly pay rate ADJUSTED 2]]*DATA[[#This Row],[Registered manager: Numbers employed (Full Time Equivalent)]]),"")</f>
        <v>17</v>
      </c>
      <c r="OU36" s="30">
        <f>IFERROR(IF(DATA[[#This Row],[Registered manager: Numbers employed (Full Time Equivalent)]]=0,"",DATA[[#This Row],[Registered manager: Current 2021/22 Maximum hourly pay rate ADJUSTED 2]]*DATA[[#This Row],[Registered manager: Numbers employed (Full Time Equivalent)]]),"")</f>
        <v>17</v>
      </c>
      <c r="OV36" s="30">
        <f>IFERROR(IF(DATA[[#This Row],[Registered manager: Numbers employed (Full Time Equivalent)]]=0,"",DATA[[#This Row],[Registered manager: Previous 2020/21 Minimum hourly pay rate ADJUSTED 2]]*DATA[[#This Row],[Registered manager: Numbers employed (Full Time Equivalent)]]),"")</f>
        <v>15</v>
      </c>
      <c r="OW36" s="30">
        <f>IFERROR(IF(DATA[[#This Row],[Registered manager: Numbers employed (Full Time Equivalent)]]=0,"",DATA[[#This Row],[Registered manager: Previous 2020/21 Maximum hourly pay rate ADJUSTED 2]]*DATA[[#This Row],[Registered manager: Numbers employed (Full Time Equivalent)]]),"")</f>
        <v>15</v>
      </c>
      <c r="OX36" s="30">
        <f>IFERROR(IF(DATA[[#This Row],[Deputy manager: Numbers employed (Full Time Equivalent)]]=0,"",DATA[[#This Row],[Deputy manager: Current 2021/22 Minimum hourly pay rate ADJUSTED 2]]*DATA[[#This Row],[Deputy manager: Numbers employed (Full Time Equivalent)]]),"")</f>
        <v>14.5</v>
      </c>
      <c r="OY36" s="30">
        <f>IFERROR(IF(DATA[[#This Row],[Deputy manager: Numbers employed (Full Time Equivalent)]]=0,"",DATA[[#This Row],[Deputy manager: Current 2021/22 Maximum hourly pay rate ADJUSTED 2]]*DATA[[#This Row],[Deputy manager: Numbers employed (Full Time Equivalent)]]),"")</f>
        <v>14.5</v>
      </c>
      <c r="OZ36" s="30">
        <f>IFERROR(IF(DATA[[#This Row],[Deputy manager: Numbers employed (Full Time Equivalent)]]=0,"",DATA[[#This Row],[Deputy manager: Previous 2020/21 Minimum hourly pay rate ADJUSTED 2]]*DATA[[#This Row],[Deputy manager: Numbers employed (Full Time Equivalent)]]),"")</f>
        <v>14</v>
      </c>
      <c r="PA36" s="30">
        <f>IFERROR(IF(DATA[[#This Row],[Deputy manager: Numbers employed (Full Time Equivalent)]]=0,"",DATA[[#This Row],[Deputy manager: Previous 2020/21 Maximum hourly pay rate ADJUSTED 2]]*DATA[[#This Row],[Deputy manager: Numbers employed (Full Time Equivalent)]]),"")</f>
        <v>14</v>
      </c>
      <c r="PB36" s="30">
        <f>IFERROR(IF(DATA[[#This Row],[Other manager 1: Numbers employed (Full Time Equivalent)]]=0,"",DATA[[#This Row],[Other manager 1: Current 2021/22 Minimum hourly pay rate ADJUSTED 2]]*DATA[[#This Row],[Other manager 1: Numbers employed (Full Time Equivalent)]]),"")</f>
        <v>12</v>
      </c>
      <c r="PC36" s="30">
        <f>IFERROR(IF(DATA[[#This Row],[Other manager 1: Numbers employed (Full Time Equivalent)]]=0,"",DATA[[#This Row],[Other manager 1: Current 2021/22 Maximum hourly pay rate ADJUSTED 2]]*DATA[[#This Row],[Other manager 1: Numbers employed (Full Time Equivalent)]]),"")</f>
        <v>12</v>
      </c>
      <c r="PD36" s="30">
        <f>IFERROR(IF(DATA[[#This Row],[Other manager 1: Numbers employed (Full Time Equivalent)]]=0,"",DATA[[#This Row],[Other manager 1: Previous 2020/21 Minimum hourly pay rate ADJUSTED 2]]*DATA[[#This Row],[Other manager 1: Numbers employed (Full Time Equivalent)]]),"")</f>
        <v>11.5</v>
      </c>
      <c r="PE36" s="30">
        <f>IFERROR(IF(DATA[[#This Row],[Other manager 1: Numbers employed (Full Time Equivalent)]]=0,"",DATA[[#This Row],[Other manager 1: Previous 2020/21 Maximum hourly pay rate ADJUSTED 2]]*DATA[[#This Row],[Other manager 1: Numbers employed (Full Time Equivalent)]]),"")</f>
        <v>11.5</v>
      </c>
      <c r="PF36" s="30" t="str">
        <f>IFERROR(IF(DATA[[#This Row],[Other manager 2: Numbers employed (Full Time Equivalent)]]=0,"",DATA[[#This Row],[Other manager 2: Current 2021/22 Minimum hourly pay rate ADJUSTED 2]]*DATA[[#This Row],[Other manager 2: Numbers employed (Full Time Equivalent)]]),"")</f>
        <v/>
      </c>
      <c r="PG36" s="30" t="str">
        <f>IFERROR(IF(DATA[[#This Row],[Other manager 2: Numbers employed (Full Time Equivalent)]]=0,"",DATA[[#This Row],[Other manager 2: Current 2021/22 Maximum hourly pay rate ADJUSTED 2]]*DATA[[#This Row],[Other manager 2: Numbers employed (Full Time Equivalent)]]),"")</f>
        <v/>
      </c>
      <c r="PH36" s="30" t="str">
        <f>IFERROR(IF(DATA[[#This Row],[Other manager 2: Numbers employed (Full Time Equivalent)]]=0,"",DATA[[#This Row],[Other manager 2: Previous 2020/21 Minimum hourly pay rate ADJUSTED 2]]*DATA[[#This Row],[Other manager 2: Numbers employed (Full Time Equivalent)]]),"")</f>
        <v/>
      </c>
      <c r="PI36" s="30" t="str">
        <f>IFERROR(IF(DATA[[#This Row],[Other manager 2: Numbers employed (Full Time Equivalent)]]=0,"",DATA[[#This Row],[Other manager 2: Previous 2020/21 Maximum hourly pay rate ADJUSTED 2]]*DATA[[#This Row],[Other manager 2: Numbers employed (Full Time Equivalent)]]),"")</f>
        <v/>
      </c>
      <c r="PJ36" s="30" t="str">
        <f>IFERROR(IF(DATA[[#This Row],[Other manager 3: Numbers employed (Full Time Equivalent)]]=0,"",DATA[[#This Row],[Other manager 3: Current 2021/22 Minimum hourly pay rate ADJUSTED 2]]*DATA[[#This Row],[Other manager 3: Numbers employed (Full Time Equivalent)]]),"")</f>
        <v/>
      </c>
      <c r="PK36" s="30" t="str">
        <f>IFERROR(IF(DATA[[#This Row],[Other manager 3: Numbers employed (Full Time Equivalent)]]=0,"",DATA[[#This Row],[Other manager 3: Current 2021/22 Maximum hourly pay rate ADJUSTED 2]]*DATA[[#This Row],[Other manager 3: Numbers employed (Full Time Equivalent)]]),"")</f>
        <v/>
      </c>
      <c r="PL36" s="30" t="str">
        <f>IFERROR(IF(DATA[[#This Row],[Other manager 3: Numbers employed (Full Time Equivalent)]]=0,"",DATA[[#This Row],[Other manager 3: Previous 2020/21 Minimum hourly pay rate ADJUSTED 2]]*DATA[[#This Row],[Other manager 3: Numbers employed (Full Time Equivalent)]]),"")</f>
        <v/>
      </c>
      <c r="PM36" s="30" t="str">
        <f>IFERROR(IF(DATA[[#This Row],[Other manager 3: Numbers employed (Full Time Equivalent)]]=0,"",DATA[[#This Row],[Other manager 3: Previous 2020/21 Maximum hourly pay rate ADJUSTED 2]]*DATA[[#This Row],[Other manager 3: Numbers employed (Full Time Equivalent)]]),"")</f>
        <v/>
      </c>
      <c r="PN36" s="30">
        <f>IFERROR(IF(DATA[[#This Row],[Care Assistant 1: Numbers employed (Full Time Equivalent)]]=0,"",DATA[[#This Row],[Care Assistant 1: Current 2021/22 Minimum hourly pay rate ADJUSTED 2]]*DATA[[#This Row],[Care Assistant 1: Numbers employed (Full Time Equivalent)]]),"")</f>
        <v>57.599999999999994</v>
      </c>
      <c r="PO36" s="30">
        <f>IFERROR(IF(DATA[[#This Row],[Care Assistant 1: Numbers employed (Full Time Equivalent)]]=0,"",DATA[[#This Row],[Care Assistant 1: Current 2021/22 Maximum hourly pay rate ADJUSTED 2]]*DATA[[#This Row],[Care Assistant 1: Numbers employed (Full Time Equivalent)]]),"")</f>
        <v>57.599999999999994</v>
      </c>
      <c r="PP36" s="30">
        <f>IFERROR(IF(DATA[[#This Row],[Care Assistant 1: Numbers employed (Full Time Equivalent)]]=0,"",DATA[[#This Row],[Care Assistant 1: Previous 2020/21 Minimum hourly pay rate ADJUSTED 2]]*DATA[[#This Row],[Care Assistant 1: Numbers employed (Full Time Equivalent)]]),"")</f>
        <v>55.5</v>
      </c>
      <c r="PQ36" s="30">
        <f>IFERROR(IF(DATA[[#This Row],[Care Assistant 1: Numbers employed (Full Time Equivalent)]]=0,"",DATA[[#This Row],[Care Assistant 1: Previous 2020/21 Maximum hourly pay rate ADJUSTED 2]]*DATA[[#This Row],[Care Assistant 1: Numbers employed (Full Time Equivalent)]]),"")</f>
        <v>55.5</v>
      </c>
      <c r="PR36" s="30">
        <f>IFERROR(IF(DATA[[#This Row],[Care Assistant 2: Numbers employed (Full Time Equivalent)]]=0,"",DATA[[#This Row],[Care Assistant 2: Current 2021/22 Minimum hourly pay rate ADJUSTED 2]]*DATA[[#This Row],[Care Assistant 2: Numbers employed (Full Time Equivalent)]]),"")</f>
        <v>579.15</v>
      </c>
      <c r="PS36" s="30">
        <f>IFERROR(IF(DATA[[#This Row],[Care Assistant 2: Numbers employed (Full Time Equivalent)]]=0,"",DATA[[#This Row],[Care Assistant 2: Current 2021/22 Maximum hourly pay rate ADJUSTED 2]]*DATA[[#This Row],[Care Assistant 2: Numbers employed (Full Time Equivalent)]]),"")</f>
        <v>579.15</v>
      </c>
      <c r="PT36" s="30">
        <f>IFERROR(IF(DATA[[#This Row],[Care Assistant 2: Numbers employed (Full Time Equivalent)]]=0,"",DATA[[#This Row],[Care Assistant 2: Previous 2020/21 Minimum hourly pay rate ADJUSTED 2]]*DATA[[#This Row],[Care Assistant 2: Numbers employed (Full Time Equivalent)]]),"")</f>
        <v>566.80000000000007</v>
      </c>
      <c r="PU36" s="30">
        <f>IFERROR(IF(DATA[[#This Row],[Care Assistant 2: Numbers employed (Full Time Equivalent)]]=0,"",DATA[[#This Row],[Care Assistant 2: Previous 2020/21 Maximum hourly pay rate ADJUSTED 2]]*DATA[[#This Row],[Care Assistant 2: Numbers employed (Full Time Equivalent)]]),"")</f>
        <v>566.80000000000007</v>
      </c>
      <c r="PV36" s="30" t="str">
        <f>IFERROR(IF(DATA[[#This Row],[Care Assistant 3: Numbers employed (Full Time Equivalent)]]=0,"",DATA[[#This Row],[Care Assistant 3: Current 2021/22 Minimum hourly pay rate ADJUSTED 2]]*DATA[[#This Row],[Care Assistant 3: Numbers employed (Full Time Equivalent)]]),"")</f>
        <v/>
      </c>
      <c r="PW36" s="30" t="str">
        <f>IFERROR(IF(DATA[[#This Row],[Care Assistant 3: Numbers employed (Full Time Equivalent)]]=0,"",DATA[[#This Row],[Care Assistant 3: Current 2021/22 Maximum hourly pay rate ADJUSTED 2]]*DATA[[#This Row],[Care Assistant 3: Numbers employed (Full Time Equivalent)]]),"")</f>
        <v/>
      </c>
      <c r="PX36" s="30" t="str">
        <f>IFERROR(IF(DATA[[#This Row],[Care Assistant 3: Numbers employed (Full Time Equivalent)]]=0,"",DATA[[#This Row],[Care Assistant 3: Previous 2020/21 Minimum hourly pay rate ADJUSTED 2]]*DATA[[#This Row],[Care Assistant 3: Numbers employed (Full Time Equivalent)]]),"")</f>
        <v/>
      </c>
      <c r="PY36" s="30" t="str">
        <f>IFERROR(IF(DATA[[#This Row],[Care Assistant 3: Numbers employed (Full Time Equivalent)]]=0,"",DATA[[#This Row],[Care Assistant 3: Previous 2020/21 Maximum hourly pay rate ADJUSTED 2]]*DATA[[#This Row],[Care Assistant 3: Numbers employed (Full Time Equivalent)]]),"")</f>
        <v/>
      </c>
      <c r="PZ36" s="30" t="str">
        <f>IFERROR(IF(DATA[[#This Row],[Care Assistant 4: Numbers employed (Full Time Equivalent)]]=0,"",DATA[[#This Row],[Care Assistant 4: Current 2021/22 Minimum hourly pay rate ADJUSTED 2]]*DATA[[#This Row],[Care Assistant 4: Numbers employed (Full Time Equivalent)]]),"")</f>
        <v/>
      </c>
      <c r="QA36" s="30" t="str">
        <f>IFERROR(IF(DATA[[#This Row],[Care Assistant 4: Numbers employed (Full Time Equivalent)]]=0,"",DATA[[#This Row],[Care Assistant 4: Current 2021/22 Maximum hourly pay rate ADJUSTED 2]]*DATA[[#This Row],[Care Assistant 4: Numbers employed (Full Time Equivalent)]]),"")</f>
        <v/>
      </c>
      <c r="QB36" s="30" t="str">
        <f>IFERROR(IF(DATA[[#This Row],[Care Assistant 4: Numbers employed (Full Time Equivalent)]]=0,"",DATA[[#This Row],[Care Assistant 4: Previous 2020/21 Minimum hourly pay rate ADJUSTED 2]]*DATA[[#This Row],[Care Assistant 4: Numbers employed (Full Time Equivalent)]]),"")</f>
        <v/>
      </c>
      <c r="QC36" s="30" t="str">
        <f>IFERROR(IF(DATA[[#This Row],[Care Assistant 4: Numbers employed (Full Time Equivalent)]]=0,"",DATA[[#This Row],[Care Assistant 4: Previous 2020/21 Maximum hourly pay rate ADJUSTED 2]]*DATA[[#This Row],[Care Assistant 4: Numbers employed (Full Time Equivalent)]]),"")</f>
        <v/>
      </c>
      <c r="QD36" s="30">
        <f>IFERROR(IF(DATA[[#This Row],[Administrative Officer 1: Numbers employed (Full Time Equivalent)]]=0,"",DATA[[#This Row],[Administrative Officer 1: Current 2021/22 Minimum hourly pay rate ADJUSTED 2]]*DATA[[#This Row],[Administrative Officer 1: Numbers employed (Full Time Equivalent)]]),"")</f>
        <v>5</v>
      </c>
      <c r="QE36" s="30">
        <f>IFERROR(IF(DATA[[#This Row],[Administrative Officer 1: Numbers employed (Full Time Equivalent)]]=0,"",DATA[[#This Row],[Administrative Officer 1: Current 2021/22 Maximum hourly pay rate ADJUSTED 2]]*DATA[[#This Row],[Administrative Officer 1: Numbers employed (Full Time Equivalent)]]),"")</f>
        <v>5</v>
      </c>
      <c r="QF36" s="30">
        <f>IFERROR(IF(DATA[[#This Row],[Administrative Officer 1: Numbers employed (Full Time Equivalent)]]=0,"",DATA[[#This Row],[Administrative Officer 1: Previous 2020/21 Minimum hourly pay rate ADJUSTED 2]]*DATA[[#This Row],[Administrative Officer 1: Numbers employed (Full Time Equivalent)]]),"")</f>
        <v>5</v>
      </c>
      <c r="QG36" s="30">
        <f>IFERROR(IF(DATA[[#This Row],[Administrative Officer 1: Numbers employed (Full Time Equivalent)]]=0,"",DATA[[#This Row],[Administrative Officer 1: Previous 2020/21 Maximum hourly pay rate ADJUSTED 2]]*DATA[[#This Row],[Administrative Officer 1: Numbers employed (Full Time Equivalent)]]),"")</f>
        <v>5</v>
      </c>
      <c r="QH36" s="30">
        <f>IFERROR(IF(DATA[[#This Row],[Administrative Officer 2: Numbers employed (Full Time Equivalent)]]=0,"",DATA[[#This Row],[Administrative Officer 2: Current 2021/22 Minimum hourly pay rate ADJUSTED 2]]*DATA[[#This Row],[Administrative Officer 2: Numbers employed (Full Time Equivalent)]]),"")</f>
        <v>12</v>
      </c>
      <c r="QI36" s="30">
        <f>IFERROR(IF(DATA[[#This Row],[Administrative Officer 2: Numbers employed (Full Time Equivalent)]]=0,"",DATA[[#This Row],[Administrative Officer 2: Current 2021/22 Maximum hourly pay rate ADJUSTED 2]]*DATA[[#This Row],[Administrative Officer 2: Numbers employed (Full Time Equivalent)]]),"")</f>
        <v>12</v>
      </c>
      <c r="QJ36" s="30">
        <f>IFERROR(IF(DATA[[#This Row],[Administrative Officer 2: Numbers employed (Full Time Equivalent)]]=0,"",DATA[[#This Row],[Administrative Officer 2: Previous 2020/21 Minimum hourly pay rate ADJUSTED 2]]*DATA[[#This Row],[Administrative Officer 2: Numbers employed (Full Time Equivalent)]]),"")</f>
        <v>11.5</v>
      </c>
      <c r="QK36" s="30">
        <f>IFERROR(IF(DATA[[#This Row],[Administrative Officer 2: Numbers employed (Full Time Equivalent)]]=0,"",DATA[[#This Row],[Administrative Officer 2: Previous 2020/21 Maximum hourly pay rate ADJUSTED 2]]*DATA[[#This Row],[Administrative Officer 2: Numbers employed (Full Time Equivalent)]]),"")</f>
        <v>11.5</v>
      </c>
      <c r="QL36" s="30">
        <f>IFERROR(IF(DATA[[#This Row],[Administrative Officer 3: Numbers employed (Full Time Equivalent)]]=0,"",DATA[[#This Row],[Administrative Officer 3: Current 2021/22 Minimum hourly pay rate ADJUSTED 2]]*DATA[[#This Row],[Administrative Officer 3: Numbers employed (Full Time Equivalent)]]),"")</f>
        <v>12</v>
      </c>
      <c r="QM36" s="30">
        <f>IFERROR(IF(DATA[[#This Row],[Administrative Officer 3: Numbers employed (Full Time Equivalent)]]=0,"",DATA[[#This Row],[Administrative Officer 3: Current 2021/22 Maximum hourly pay rate ADJUSTED 2]]*DATA[[#This Row],[Administrative Officer 3: Numbers employed (Full Time Equivalent)]]),"")</f>
        <v>12</v>
      </c>
      <c r="QN36" s="30">
        <f>IFERROR(IF(DATA[[#This Row],[Administrative Officer 3: Numbers employed (Full Time Equivalent)]]=0,"",DATA[[#This Row],[Administrative Officer 3: Previous 2020/21 Minimum hourly pay rate ADJUSTED 2]]*DATA[[#This Row],[Administrative Officer 3: Numbers employed (Full Time Equivalent)]]),"")</f>
        <v>11.5</v>
      </c>
      <c r="QO36" s="30">
        <f>IFERROR(IF(DATA[[#This Row],[Administrative Officer 3: Numbers employed (Full Time Equivalent)]]=0,"",DATA[[#This Row],[Administrative Officer 3: Previous 2020/21 Maximum hourly pay rate ADJUSTED 2]]*DATA[[#This Row],[Administrative Officer 3: Numbers employed (Full Time Equivalent)]]),"")</f>
        <v>11.5</v>
      </c>
      <c r="QP36" s="28">
        <f>IFERROR(IF(DATA[[#This Row],[Other staff 1: Numbers employed (Full Time Equivalent)]]=0,"",DATA[[#This Row],[Other staff 1: Current 2021/22 Minimum hourly pay rate ADJUSTED 2]]*DATA[[#This Row],[Other staff 1: Numbers employed (Full Time Equivalent)]]),"")</f>
        <v>4.3</v>
      </c>
      <c r="QQ36" s="28">
        <f>IFERROR(IF(DATA[[#This Row],[Other staff 1: Numbers employed (Full Time Equivalent)]]=0,"",DATA[[#This Row],[Other staff 1: Current 2021/22 Maximum hourly pay rate ADJUSTED 2]]*DATA[[#This Row],[Other staff 1: Numbers employed (Full Time Equivalent)]]),"")</f>
        <v>4.3</v>
      </c>
      <c r="QR36" s="28">
        <f>IFERROR(IF(DATA[[#This Row],[Other staff 1: Numbers employed (Full Time Equivalent)]]=0,"",DATA[[#This Row],[Other staff 1: Previous 2020/21 Minimum hourly pay rate ADJUSTED 2]]*DATA[[#This Row],[Other staff 1: Numbers employed (Full Time Equivalent)]]),"")</f>
        <v>4.1500000000000004</v>
      </c>
      <c r="QS36" s="28">
        <f>IFERROR(IF(DATA[[#This Row],[Other staff 1: Numbers employed (Full Time Equivalent)]]=0,"",DATA[[#This Row],[Other staff 1: Previous 2020/21 Maximum hourly pay rate ADJUSTED 2]]*DATA[[#This Row],[Other staff 1: Numbers employed (Full Time Equivalent)]]),"")</f>
        <v>4.1500000000000004</v>
      </c>
      <c r="QT36" s="28">
        <f>IFERROR(IF(DATA[[#This Row],[Other staff 2: Numbers employed (Full Time Equivalent)]]=0,"",DATA[[#This Row],[Other staff 2: Current 2021/22 Minimum hourly pay rate ADJUSTED 2]]*DATA[[#This Row],[Other staff 2: Numbers employed (Full Time Equivalent)]]),"")</f>
        <v>12</v>
      </c>
      <c r="QU36" s="28">
        <f>IFERROR(IF(DATA[[#This Row],[Other staff 2: Numbers employed (Full Time Equivalent)]]=0,"",DATA[[#This Row],[Other staff 2: Current 2021/22 Maximum hourly pay rate ADJUSTED 2]]*DATA[[#This Row],[Other staff 2: Numbers employed (Full Time Equivalent)]]),"")</f>
        <v>12</v>
      </c>
      <c r="QV36" s="28">
        <f>IFERROR(IF(DATA[[#This Row],[Other staff 2: Numbers employed (Full Time Equivalent)]]=0,"",DATA[[#This Row],[Other staff 2: Previous 2020/21 Minimum hourly pay rate ADJUSTED 2]]*DATA[[#This Row],[Other staff 2: Numbers employed (Full Time Equivalent)]]),"")</f>
        <v>11</v>
      </c>
      <c r="QW36" s="28">
        <f>IFERROR(IF(DATA[[#This Row],[Other staff 2: Numbers employed (Full Time Equivalent)]]=0,"",DATA[[#This Row],[Other staff 2: Previous 2020/21 Maximum hourly pay rate ADJUSTED 2]]*DATA[[#This Row],[Other staff 2: Numbers employed (Full Time Equivalent)]]),"")</f>
        <v>11</v>
      </c>
      <c r="QX36" s="28" t="str">
        <f>IFERROR(IF(DATA[[#This Row],[Other staff 3: Numbers employed (Full Time Equivalent)]]=0,"",DATA[[#This Row],[Other staff 3: Current 2021/22 Minimum hourly pay rate ADJUSTED 2]]*DATA[[#This Row],[Other staff 3: Numbers employed (Full Time Equivalent)]]),"")</f>
        <v/>
      </c>
      <c r="QY36" s="28" t="str">
        <f>IFERROR(IF(DATA[[#This Row],[Other staff 3: Numbers employed (Full Time Equivalent)]]=0,"",DATA[[#This Row],[Other staff 3: Current 2021/22 Maximum hourly pay rate ADJUSTED 2]]*DATA[[#This Row],[Other staff 3: Numbers employed (Full Time Equivalent)]]),"")</f>
        <v/>
      </c>
      <c r="QZ36" s="28" t="str">
        <f>IFERROR(IF(DATA[[#This Row],[Other staff 3: Numbers employed (Full Time Equivalent)]]=0,"",DATA[[#This Row],[Other staff 3: Previous 2020/21 Minimum hourly pay rate ADJUSTED 2]]*DATA[[#This Row],[Other staff 3: Numbers employed (Full Time Equivalent)]]),"")</f>
        <v/>
      </c>
      <c r="RA36" s="28" t="str">
        <f>IFERROR(IF(DATA[[#This Row],[Other staff 3: Numbers employed (Full Time Equivalent)]]=0,"",DATA[[#This Row],[Other staff 3: Previous 2020/21 Maximum hourly pay rate ADJUSTED 2]]*DATA[[#This Row],[Other staff 3: Numbers employed (Full Time Equivalent)]]),"")</f>
        <v/>
      </c>
      <c r="RB36"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36"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36"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36"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36"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36"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6</v>
      </c>
      <c r="RH36"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65</v>
      </c>
      <c r="RI36"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36"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36"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0.2</v>
      </c>
      <c r="RL36"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36"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1</v>
      </c>
      <c r="RN36"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36"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1</v>
      </c>
      <c r="RP36"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7" spans="7:484" x14ac:dyDescent="0.25">
      <c r="G37" s="2">
        <v>31</v>
      </c>
      <c r="H37" s="2">
        <v>0</v>
      </c>
      <c r="I37" s="2">
        <v>1</v>
      </c>
      <c r="J37" s="2">
        <v>0</v>
      </c>
      <c r="K37" s="2">
        <v>1</v>
      </c>
      <c r="L37" s="2" t="s">
        <v>328</v>
      </c>
      <c r="M37" s="2" t="s">
        <v>365</v>
      </c>
      <c r="R37" s="2">
        <v>15.38</v>
      </c>
      <c r="S37" s="2">
        <v>15.34</v>
      </c>
      <c r="T37" s="2">
        <v>15.34</v>
      </c>
      <c r="U37" s="2">
        <v>15.34</v>
      </c>
      <c r="V37" s="2">
        <v>1</v>
      </c>
      <c r="W37" s="2">
        <v>0</v>
      </c>
      <c r="X37" s="2">
        <v>0</v>
      </c>
      <c r="Y37" s="2">
        <v>0</v>
      </c>
      <c r="Z37" s="2">
        <v>0</v>
      </c>
      <c r="AA37" s="2">
        <v>0</v>
      </c>
      <c r="AB37" s="2" t="s">
        <v>315</v>
      </c>
      <c r="AC37" s="2">
        <v>0</v>
      </c>
      <c r="AD37" s="2">
        <v>0</v>
      </c>
      <c r="AE37" s="2">
        <v>0</v>
      </c>
      <c r="AF37" s="2">
        <v>0</v>
      </c>
      <c r="AG37" s="2">
        <v>0</v>
      </c>
      <c r="AH37" s="2" t="s">
        <v>315</v>
      </c>
      <c r="AI37" s="2">
        <v>0</v>
      </c>
      <c r="AJ37" s="2">
        <v>0</v>
      </c>
      <c r="AK37" s="2">
        <v>0</v>
      </c>
      <c r="AL37" s="2">
        <v>0</v>
      </c>
      <c r="AM37" s="2">
        <v>0</v>
      </c>
      <c r="AN37" s="2" t="s">
        <v>315</v>
      </c>
      <c r="AO37" s="2">
        <v>0</v>
      </c>
      <c r="AP37" s="2">
        <v>0</v>
      </c>
      <c r="AQ37" s="2">
        <v>0</v>
      </c>
      <c r="AR37" s="2">
        <v>0</v>
      </c>
      <c r="AS37" s="2">
        <v>0</v>
      </c>
      <c r="AT37" s="2" t="s">
        <v>316</v>
      </c>
      <c r="AU37" s="2">
        <v>10</v>
      </c>
      <c r="AV37" s="2">
        <v>10</v>
      </c>
      <c r="AW37" s="2">
        <v>10</v>
      </c>
      <c r="AX37" s="2">
        <v>10</v>
      </c>
      <c r="AY37" s="2">
        <v>1</v>
      </c>
      <c r="AZ37" s="2" t="s">
        <v>316</v>
      </c>
      <c r="BA37" s="2">
        <v>0</v>
      </c>
      <c r="BB37" s="2">
        <v>0</v>
      </c>
      <c r="BC37" s="2">
        <v>0</v>
      </c>
      <c r="BD37" s="2">
        <v>0</v>
      </c>
      <c r="BE37" s="2">
        <v>0</v>
      </c>
      <c r="BF37" s="2" t="s">
        <v>316</v>
      </c>
      <c r="BG37" s="2">
        <v>0</v>
      </c>
      <c r="BH37" s="2">
        <v>0</v>
      </c>
      <c r="BI37" s="2">
        <v>0</v>
      </c>
      <c r="BJ37" s="2">
        <v>0</v>
      </c>
      <c r="BK37" s="2">
        <v>0</v>
      </c>
      <c r="BL37" s="2" t="s">
        <v>316</v>
      </c>
      <c r="BM37" s="2">
        <v>0</v>
      </c>
      <c r="BN37" s="2">
        <v>0</v>
      </c>
      <c r="BO37" s="2">
        <v>0</v>
      </c>
      <c r="BP37" s="2">
        <v>0</v>
      </c>
      <c r="BQ37" s="2">
        <v>0</v>
      </c>
      <c r="BR37" s="2" t="s">
        <v>317</v>
      </c>
      <c r="BS37" s="2">
        <v>0</v>
      </c>
      <c r="BT37" s="2">
        <v>0</v>
      </c>
      <c r="BU37" s="2">
        <v>0</v>
      </c>
      <c r="BV37" s="2">
        <v>0</v>
      </c>
      <c r="BW37" s="2">
        <v>0</v>
      </c>
      <c r="BX37" s="2" t="s">
        <v>317</v>
      </c>
      <c r="BY37" s="2">
        <v>0</v>
      </c>
      <c r="BZ37" s="2">
        <v>0</v>
      </c>
      <c r="CA37" s="2">
        <v>0</v>
      </c>
      <c r="CB37" s="2">
        <v>0</v>
      </c>
      <c r="CC37" s="2">
        <v>0</v>
      </c>
      <c r="CD37" s="2" t="s">
        <v>317</v>
      </c>
      <c r="CE37" s="2">
        <v>0</v>
      </c>
      <c r="CF37" s="2">
        <v>0</v>
      </c>
      <c r="CG37" s="2">
        <v>0</v>
      </c>
      <c r="CH37" s="2">
        <v>0</v>
      </c>
      <c r="CI37" s="2">
        <v>0</v>
      </c>
      <c r="CJ37" s="2" t="s">
        <v>318</v>
      </c>
      <c r="CK37" s="2">
        <v>0</v>
      </c>
      <c r="CL37" s="2">
        <v>0</v>
      </c>
      <c r="CM37" s="2">
        <v>0</v>
      </c>
      <c r="CN37" s="2">
        <v>0</v>
      </c>
      <c r="CO37" s="2">
        <v>0</v>
      </c>
      <c r="CP37" s="2" t="s">
        <v>318</v>
      </c>
      <c r="CQ37" s="2">
        <v>0</v>
      </c>
      <c r="CR37" s="2">
        <v>0</v>
      </c>
      <c r="CS37" s="2">
        <v>0</v>
      </c>
      <c r="CT37" s="2">
        <v>0</v>
      </c>
      <c r="CU37" s="2">
        <v>0</v>
      </c>
      <c r="CV37" s="2" t="s">
        <v>318</v>
      </c>
      <c r="CW37" s="2">
        <v>0</v>
      </c>
      <c r="CX37" s="2">
        <v>0</v>
      </c>
      <c r="CY37" s="2">
        <v>0</v>
      </c>
      <c r="CZ37" s="2">
        <v>0</v>
      </c>
      <c r="DA37" s="2">
        <v>0</v>
      </c>
      <c r="DB37" s="2">
        <v>0.03</v>
      </c>
      <c r="DC37" s="2">
        <v>0</v>
      </c>
      <c r="DD37" s="2">
        <v>0</v>
      </c>
      <c r="DE37" s="2">
        <v>0</v>
      </c>
      <c r="DF37" s="2">
        <v>0</v>
      </c>
      <c r="DG37" s="2">
        <v>0</v>
      </c>
      <c r="DH37" s="2">
        <v>0</v>
      </c>
      <c r="DI37" s="2">
        <v>25</v>
      </c>
      <c r="DJ37" s="2">
        <v>0</v>
      </c>
      <c r="DK37" s="2">
        <v>0</v>
      </c>
      <c r="DL37" s="2">
        <v>0</v>
      </c>
      <c r="DM37" s="2">
        <v>0</v>
      </c>
      <c r="DN37" s="2">
        <v>0</v>
      </c>
      <c r="DO37" s="2">
        <v>0</v>
      </c>
      <c r="DP37" s="2">
        <v>16.5</v>
      </c>
      <c r="DQ37" s="2">
        <v>0</v>
      </c>
      <c r="DR37" s="18">
        <v>43922</v>
      </c>
      <c r="DS37" s="18">
        <v>44286</v>
      </c>
      <c r="DT37" s="2">
        <v>1303.5</v>
      </c>
      <c r="DU37" s="2">
        <v>2000</v>
      </c>
      <c r="DV37" s="2">
        <v>15000</v>
      </c>
      <c r="DW37" s="2">
        <v>0</v>
      </c>
      <c r="DX37" s="2">
        <v>0</v>
      </c>
      <c r="DY37" s="2">
        <v>0</v>
      </c>
      <c r="DZ37" s="2">
        <v>400</v>
      </c>
      <c r="EA37" s="2">
        <v>500</v>
      </c>
      <c r="EB37" s="2">
        <v>500</v>
      </c>
      <c r="EC37" s="2">
        <v>90</v>
      </c>
      <c r="ED37" s="2">
        <v>0</v>
      </c>
      <c r="EE37" s="2">
        <v>75</v>
      </c>
      <c r="EF37" s="2">
        <v>20</v>
      </c>
      <c r="EG37" s="2">
        <v>0</v>
      </c>
      <c r="EH37" s="2" t="s">
        <v>324</v>
      </c>
      <c r="EI37" s="2">
        <v>0</v>
      </c>
      <c r="EJ37" s="2" t="s">
        <v>324</v>
      </c>
      <c r="EK37" s="2">
        <v>0</v>
      </c>
      <c r="EL37" s="2">
        <v>3500</v>
      </c>
      <c r="EM37" s="2">
        <v>0</v>
      </c>
      <c r="EN37" s="2">
        <v>0</v>
      </c>
      <c r="EO37" s="2">
        <v>0</v>
      </c>
      <c r="EP37" s="2">
        <v>960</v>
      </c>
      <c r="EQ37" s="2">
        <v>2000</v>
      </c>
      <c r="ER37" s="2">
        <v>0</v>
      </c>
      <c r="ES37" s="2">
        <v>0</v>
      </c>
      <c r="ET37" s="2" t="s">
        <v>469</v>
      </c>
      <c r="EU37" s="2">
        <v>200</v>
      </c>
      <c r="EV37" s="2" t="s">
        <v>470</v>
      </c>
      <c r="EW37" s="2">
        <v>4320</v>
      </c>
      <c r="EX37" s="2">
        <v>0</v>
      </c>
      <c r="EY37" s="2">
        <v>0</v>
      </c>
      <c r="EZ37" s="2" t="s">
        <v>326</v>
      </c>
      <c r="FA37" s="2">
        <v>0</v>
      </c>
      <c r="FB37" s="2" t="s">
        <v>326</v>
      </c>
      <c r="FC37" s="2">
        <v>0</v>
      </c>
      <c r="FD37" s="2"/>
      <c r="FE37" s="2">
        <v>0</v>
      </c>
      <c r="FF37" s="2">
        <v>0</v>
      </c>
      <c r="FG37" s="2"/>
      <c r="FH37" s="19">
        <v>44480.624212962961</v>
      </c>
      <c r="FI37" s="2" t="s">
        <v>345</v>
      </c>
      <c r="FJ37" s="2">
        <f>SUM(DATA[[#This Row],[Number of Home support clients:]],DATA[[#This Row],[Number of supported living clients:]])</f>
        <v>1</v>
      </c>
      <c r="FK37"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37"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15.38</v>
      </c>
      <c r="FM37"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15.34</v>
      </c>
      <c r="FN37"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15.34</v>
      </c>
      <c r="FO37"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15.34</v>
      </c>
      <c r="FP37"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37"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37"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37"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37"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37"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37"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37"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37"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37"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37"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37"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37"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37"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37"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37"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37"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10</v>
      </c>
      <c r="GG37"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v>
      </c>
      <c r="GH37"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10</v>
      </c>
      <c r="GI37"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10</v>
      </c>
      <c r="GJ37"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37"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37"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37"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37"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37"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37"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37"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37"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37"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37"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37"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37"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37"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37"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37"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37"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37"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37"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37"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37"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37"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37"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37"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37"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37"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37"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37"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37"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37"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37"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37"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37"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37"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37"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37"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37"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15.38</v>
      </c>
      <c r="HU37"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15.34</v>
      </c>
      <c r="HV37"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15.34</v>
      </c>
      <c r="HW37"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15.34</v>
      </c>
      <c r="HX37"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37"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37"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37"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37"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37"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37"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37"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37"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37"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37"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37"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37"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37"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37"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37"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37"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10</v>
      </c>
      <c r="IO37"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v>
      </c>
      <c r="IP37"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10</v>
      </c>
      <c r="IQ37"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10</v>
      </c>
      <c r="IR37"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37"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37"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37"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37"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37"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37"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37"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37"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37"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37"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37"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37"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37"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37"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37"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37"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37"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37"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37"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37"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37"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37"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37"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37"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37"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37"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37"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37"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37"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37"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37"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37"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37"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37"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37"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37"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v>
      </c>
      <c r="KC37" s="21">
        <f>SUM(DATA[[#This Row],[Care Assistant 1: Numbers employed (Full Time Equivalent)]],DATA[[#This Row],[Care Assistant 2: Numbers employed (Full Time Equivalent)]],DATA[[#This Row],[Care Assistant 3: Numbers employed (Full Time Equivalent)]],DATA[[#This Row],[Care Assistant 4: Numbers employed (Full Time Equivalent)]])</f>
        <v>1</v>
      </c>
      <c r="KD37" s="21">
        <f>SUM(DATA[[#This Row],[Administrative Officer 1: Numbers employed (Full Time Equivalent)]],DATA[[#This Row],[Administrative Officer 2: Numbers employed (Full Time Equivalent)]])</f>
        <v>0</v>
      </c>
      <c r="KE37" s="21">
        <f>SUM(DATA[[#This Row],[Other staff 1: Numbers employed (Full Time Equivalent)]],DATA[[#This Row],[Other staff 2: Numbers employed (Full Time Equivalent)]],DATA[[#This Row],[Other staff 3: Numbers employed (Full Time Equivalent)]])</f>
        <v>0</v>
      </c>
      <c r="KF37" s="21">
        <f>SUM(DATA[[#This Row],[Total FTE Management Employees]:[Total FTE Other Employees]])</f>
        <v>2</v>
      </c>
      <c r="KG37" s="21" t="str">
        <f>IF(SUM(DATA[[#This Row],[Home Support service split percentage (Expenditure):]],DATA[[#This Row],[Supported Living service split percentage (Expenditure):]])&gt;0, IF(DATA[[#This Row],[Home Support service split percentage (Expenditure):]]&gt;0.5,"Home Support","Supported Living"), "Unknown")</f>
        <v>Supported Living</v>
      </c>
      <c r="KH37" s="21">
        <f>SUM(DATA[[#This Row],[Home Support: Birmingham City Council]:[Home Support: Self-funded]])</f>
        <v>0</v>
      </c>
      <c r="KI37" s="21">
        <f>SUM(DATA[[#This Row],[Supported Living: Birmingham City Council]:[Supported Living: Self-funded]])</f>
        <v>25</v>
      </c>
      <c r="KJ37"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37"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37"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37"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37" s="21" t="b">
        <f>SUM(DATA[[#This Row],[Number of hours of care charged for in last full accounting year]:[Corporate Overheads: Other  - please specify (category) 1]])&gt;0</f>
        <v>1</v>
      </c>
      <c r="KO37" s="21">
        <f>SUM(DATA[[#This Row],[Total annual expenditure: Management staff]:[Total annual expenditure: Training and development]])</f>
        <v>18400</v>
      </c>
      <c r="KP37" s="21">
        <f>SUM(DATA[[#This Row],[Recruitment &amp; advertising (including DBS checks)]:[Non-Staffing Direct Cost: Other  - please specify (amount) 2]])</f>
        <v>185</v>
      </c>
      <c r="KQ37" s="21">
        <f>SUM(DATA[[#This Row],[Insurance ]:[Indirect costs: Other 2 - please specify (amount)]])</f>
        <v>10980</v>
      </c>
      <c r="KR37" s="21">
        <f>SUM(DATA[[#This Row],[Central / Regional Management]],DATA[[#This Row],[Support Services (finance / HR / Payroll / legal etc.)]],DATA[[#This Row],[Corporate Overheads: Other  - please specify (amount) 1]],DATA[[#This Row],[Corporate Overheads: Other  - please specify (amount) 2]])</f>
        <v>0</v>
      </c>
      <c r="KS37"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1.5343306482546988</v>
      </c>
      <c r="KT37"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11.507479861910241</v>
      </c>
      <c r="KU37"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37"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37"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7" s="30">
        <f>IF(OR(NOT(DATA[[#This Row],[Total annual expenditure: Travel Cost]]&gt;0),NOT(DATA[[#This Row],[Number of hours of care charged for in last full accounting year]]&gt;0)),0,DATA[[#This Row],[Total annual expenditure: Travel Cost]]/DATA[[#This Row],[Number of hours of care charged for in last full accounting year]])</f>
        <v>0.30686612965093979</v>
      </c>
      <c r="KY37" s="30">
        <f>IF(OR(NOT(DATA[[#This Row],[Total annual expenditure: Travel Time]]&gt;0),NOT(DATA[[#This Row],[Number of hours of care charged for in last full accounting year]]&gt;0)),0,DATA[[#This Row],[Total annual expenditure: Travel Time]]/DATA[[#This Row],[Number of hours of care charged for in last full accounting year]])</f>
        <v>0.3835826620636747</v>
      </c>
      <c r="KZ37"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0.3835826620636747</v>
      </c>
      <c r="LA37"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6.9044879171461446E-2</v>
      </c>
      <c r="LB37"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37" s="30">
        <f>IF(OR(NOT(DATA[[#This Row],[Care consumables &amp; uniforms]]&gt;0),NOT(DATA[[#This Row],[Number of hours of care charged for in last full accounting year]]&gt;0)),0,DATA[[#This Row],[Care consumables &amp; uniforms]]/DATA[[#This Row],[Number of hours of care charged for in last full accounting year]])</f>
        <v>5.7537399309551207E-2</v>
      </c>
      <c r="LD37" s="30">
        <f>IF(OR(NOT(DATA[[#This Row],[Electronic call monitoring]]&gt;0),NOT(DATA[[#This Row],[Number of hours of care charged for in last full accounting year]]&gt;0)),0,DATA[[#This Row],[Electronic call monitoring]]/DATA[[#This Row],[Number of hours of care charged for in last full accounting year]])</f>
        <v>1.5343306482546989E-2</v>
      </c>
      <c r="LE37" s="30">
        <f>IF(OR(NOT(DATA[[#This Row],[IT Equipment &amp; Telephoney]]&gt;0),NOT(DATA[[#This Row],[Number of hours of care charged for in last full accounting year]]&gt;0)),0,DATA[[#This Row],[IT Equipment &amp; Telephoney]]/DATA[[#This Row],[Number of hours of care charged for in last full accounting year]])</f>
        <v>0</v>
      </c>
      <c r="LF37"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37"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37" s="30">
        <f>IF(OR(NOT(DATA[[#This Row],[Insurance ]]&gt;0),NOT(DATA[[#This Row],[Number of hours of care charged for in last full accounting year]]&gt;0)),0,DATA[[#This Row],[Insurance ]]/DATA[[#This Row],[Number of hours of care charged for in last full accounting year]])</f>
        <v>2.6850786344457229</v>
      </c>
      <c r="LI37"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37" s="30">
        <f>IF(OR(NOT(DATA[[#This Row],[Repairs and maintenance]]&gt;0),NOT(DATA[[#This Row],[Number of hours of care charged for in last full accounting year]]&gt;0)),0,DATA[[#This Row],[Repairs and maintenance]]/DATA[[#This Row],[Number of hours of care charged for in last full accounting year]])</f>
        <v>0</v>
      </c>
      <c r="LK37"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37" s="30">
        <f>IF(OR(NOT(DATA[[#This Row],[Registration &amp; Inspection fees ]]&gt;0),NOT(DATA[[#This Row],[Number of hours of care charged for in last full accounting year]]&gt;0)),0,DATA[[#This Row],[Registration &amp; Inspection fees ]]/DATA[[#This Row],[Number of hours of care charged for in last full accounting year]])</f>
        <v>0.73647871116225549</v>
      </c>
      <c r="LM37" s="30">
        <f>IF(OR(NOT(DATA[[#This Row],[Subscriptions]]&gt;0),NOT(DATA[[#This Row],[Number of hours of care charged for in last full accounting year]]&gt;0)),0,DATA[[#This Row],[Subscriptions]]/DATA[[#This Row],[Number of hours of care charged for in last full accounting year]])</f>
        <v>1.5343306482546988</v>
      </c>
      <c r="LN37" s="30">
        <f>IF(OR(NOT(DATA[[#This Row],[Cost of finance]]&gt;0),NOT(DATA[[#This Row],[Number of hours of care charged for in last full accounting year]]&gt;0)),0,DATA[[#This Row],[Cost of finance]]/DATA[[#This Row],[Number of hours of care charged for in last full accounting year]])</f>
        <v>0</v>
      </c>
      <c r="LO37" s="30">
        <f>IF(OR(NOT(DATA[[#This Row],[Other non-staff current expenses]]&gt;0),NOT(DATA[[#This Row],[Number of hours of care charged for in last full accounting year]]&gt;0)),0,DATA[[#This Row],[Other non-staff current expenses]]/DATA[[#This Row],[Number of hours of care charged for in last full accounting year]])</f>
        <v>0</v>
      </c>
      <c r="LP37"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0.15343306482546989</v>
      </c>
      <c r="LQ37"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3.3141542002301496</v>
      </c>
      <c r="LR37" s="30">
        <f>IF(OR(NOT(DATA[[#This Row],[Central / Regional Management]]&gt;0),NOT(DATA[[#This Row],[Number of hours of care charged for in last full accounting year]]&gt;0)),0,DATA[[#This Row],[Central / Regional Management]]/DATA[[#This Row],[Number of hours of care charged for in last full accounting year]])</f>
        <v>0</v>
      </c>
      <c r="LS37"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37"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7"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7" s="30">
        <f>SUM(DATA[[#This Row],[Management staff HOURLY RATE]:[Corporate Overheads: Other  - please specify (amount) 2 HOURLY RATE]])</f>
        <v>22.681242807825086</v>
      </c>
      <c r="LW37" s="30" t="str">
        <f>IF(OR(NOT(DATA[[#This Row],[Net Operating Profit]]&gt;0),NOT(DATA[[#This Row],[Number of hours of care charged for in last full accounting year]]&gt;0)),"",DATA[[#This Row],[Net Operating Profit]]/DATA[[#This Row],[Number of hours of care charged for in last full accounting year]])</f>
        <v/>
      </c>
      <c r="LX37" s="30">
        <f>IF(OR(NOT(DATA[[#This Row],[Return on Capital employed]]&gt;0),NOT(DATA[[#This Row],[Number of hours of care charged for in last full accounting year]]&gt;0)),0,DATA[[#This Row],[Return on Capital employed]]/DATA[[#This Row],[Number of hours of care charged for in last full accounting year]])</f>
        <v>0</v>
      </c>
      <c r="LY37" s="31">
        <v>31</v>
      </c>
      <c r="LZ37" s="30" t="s">
        <v>345</v>
      </c>
      <c r="MA37" s="30" t="b">
        <f>DATA[[#This Row],[Number of Home support clients:]]&gt;0</f>
        <v>0</v>
      </c>
      <c r="MB37" s="30" t="b">
        <f>DATA[[#This Row],[Number of supported living clients:]]&gt;0</f>
        <v>1</v>
      </c>
      <c r="MC37" s="30" t="b">
        <f>DATA[[#This Row],[Total Home Support Hours]]&gt;0</f>
        <v>0</v>
      </c>
      <c r="MD37" s="30" t="b">
        <f>DATA[[#This Row],[Total Supported Living Hours]]&gt;0</f>
        <v>1</v>
      </c>
      <c r="ME37" s="30" t="b">
        <f>DATA[[#This Row],[Home Support service split percentage (Expenditure):]]&gt;0.5</f>
        <v>0</v>
      </c>
      <c r="MF37" s="30" t="b">
        <f>DATA[[#This Row],[Agency staff HOURLY RATE]]=0</f>
        <v>1</v>
      </c>
      <c r="MG37"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7" s="30" t="str">
        <f>IFERROR(IF(AVERAGE(DATA[[#This Row],[Deputy manager: Current 2021/22 Minimum hourly pay rate ADJUSTED]],DATA[[#This Row],[Deputy manager: Current 2021/22 Maximum hourly pay rate ADJUSTED]])&lt;LIVING_WAGE_22_23,DATA[[#This Row],[Deputy manager: Numbers employed (Full Time Equivalent)]],0),"")</f>
        <v/>
      </c>
      <c r="MI37" s="30" t="str">
        <f>IFERROR(IF(AVERAGE(DATA[[#This Row],[Other manager 1: Current 2021/22 Minimum hourly pay rate ADJUSTED]],DATA[[#This Row],[Other manager 1: Current 2021/22 Maximum hourly pay rate ADJUSTED]])&lt;LIVING_WAGE_22_23,DATA[[#This Row],[Other manager 1: Numbers employed (Full Time Equivalent)]],0),"")</f>
        <v/>
      </c>
      <c r="MJ37" s="30" t="str">
        <f>IFERROR(IF(AVERAGE(DATA[[#This Row],[Other manager 2: Current 2021/22 Minimum hourly pay rate ADJUSTED]],DATA[[#This Row],[Other manager 2: Current 2021/22 Maximum hourly pay rate ADJUSTED]])&lt;LIVING_WAGE_22_23,DATA[[#This Row],[Other manager 2: Numbers employed (Full Time Equivalent)]],0),"")</f>
        <v/>
      </c>
      <c r="MK37" s="30" t="str">
        <f>IFERROR(IF(AVERAGE(DATA[[#This Row],[Other manager 3: Current 2021/22 Minimum hourly pay rate ADJUSTED]],DATA[[#This Row],[Other manager 3: Current 2021/22 Maximum hourly pay rate ADJUSTED]])&lt;LIVING_WAGE_22_23,DATA[[#This Row],[Other manager 3: Numbers employed (Full Time Equivalent)]],0),"")</f>
        <v/>
      </c>
      <c r="ML37" s="30">
        <f>IFERROR(IF(AVERAGE(DATA[[#This Row],[Care Assistant 1: Current 2021/22 Minimum hourly pay rate ADJUSTED]],DATA[[#This Row],[Care Assistant 1: Current 2021/22 Maximum hourly pay rate ADJUSTED]])&lt;LIVING_WAGE_22_23,DATA[[#This Row],[Care Assistant 1: Numbers employed (Full Time Equivalent)]],0),"")</f>
        <v>0</v>
      </c>
      <c r="MM37" s="30" t="str">
        <f>IFERROR(IF(AVERAGE(DATA[[#This Row],[Care Assistant 2: Current 2021/22 Minimum hourly pay rate ADJUSTED]],DATA[[#This Row],[Care Assistant 2: Current 2021/22 Maximum hourly pay rate ADJUSTED]])&lt;LIVING_WAGE_22_23,DATA[[#This Row],[Care Assistant 2: Numbers employed (Full Time Equivalent)]],0),"")</f>
        <v/>
      </c>
      <c r="MN37" s="30" t="str">
        <f>IFERROR(IF(AVERAGE(DATA[[#This Row],[Care Assistant 3: Current 2021/22 Minimum hourly pay rate ADJUSTED]],DATA[[#This Row],[Care Assistant 3: Current 2021/22 Maximum hourly pay rate ADJUSTED]])&lt;LIVING_WAGE_22_23,DATA[[#This Row],[Care Assistant 3: Numbers employed (Full Time Equivalent)]],0),"")</f>
        <v/>
      </c>
      <c r="MO37" s="30" t="str">
        <f>IFERROR(IF(AVERAGE(DATA[[#This Row],[Care Assistant 4: Current 2021/22 Minimum hourly pay rate ADJUSTED]],DATA[[#This Row],[Care Assistant 4: Current 2021/22 Maximum hourly pay rate ADJUSTED]])&lt;LIVING_WAGE_22_23,DATA[[#This Row],[Care Assistant 4: Numbers employed (Full Time Equivalent)]],0),"")</f>
        <v/>
      </c>
      <c r="MP37"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37"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37" s="30" t="str">
        <f>IFERROR(IF(AVERAGE(DATA[[#This Row],[Other staff 1: Current 2021/22 Minimum hourly pay rate ADJUSTED]],DATA[[#This Row],[Other staff 1: Current 2021/22 Maximum hourly pay rate ADJUSTED]])&lt;LIVING_WAGE_22_23,DATA[[#This Row],[Other staff 1: Numbers employed (Full Time Equivalent)]],0),"")</f>
        <v/>
      </c>
      <c r="MS37" s="30" t="str">
        <f>IFERROR(IF(AVERAGE(DATA[[#This Row],[Other staff 2: Current 2021/22 Minimum hourly pay rate ADJUSTED]],DATA[[#This Row],[Other staff 2: Current 2021/22 Maximum hourly pay rate ADJUSTED]])&lt;LIVING_WAGE_22_23,DATA[[#This Row],[Other staff 2: Numbers employed (Full Time Equivalent)]],0),"")</f>
        <v/>
      </c>
      <c r="MT37" s="30" t="str">
        <f>IFERROR(IF(AVERAGE(DATA[[#This Row],[Other staff 3: Current 2021/22 Minimum hourly pay rate ADJUSTED]],DATA[[#This Row],[Other staff 3: Current 2021/22 Maximum hourly pay rate ADJUSTED]])&lt;LIVING_WAGE_22_23,DATA[[#This Row],[Other staff 3: Numbers employed (Full Time Equivalent)]],0),"")</f>
        <v/>
      </c>
      <c r="MU37" s="30">
        <f>SUM(DATA[[#This Row],[Registered Manager FTE earning less than NLW 23yrs 2022/23]:[Other staff 3 FTE earning less than NLW 23yrs 2022/23]])</f>
        <v>0</v>
      </c>
      <c r="MV37"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7"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37"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37"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37"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37"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37"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37"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37"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37"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37"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37"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37"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37"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37" s="30" t="b">
        <v>0</v>
      </c>
      <c r="NK37" s="30" t="b">
        <v>1</v>
      </c>
      <c r="NL37" s="30" t="s">
        <v>972</v>
      </c>
      <c r="NM37" s="30">
        <f>SUM(DATA[[#This Row],[Management staff HOURLY RATE]:[Training and development HOURLY RATE]])</f>
        <v>14.115841963943231</v>
      </c>
      <c r="NN37" s="30">
        <f>SUM(DATA[[#This Row],[Recruitment &amp; advertising (including DBS checks) HOURLY RATE]:[Non-Staffing Direct Cost: Other  - please specify (amount) 2 HOURLY RATE]])</f>
        <v>0.14192558496355967</v>
      </c>
      <c r="NO37" s="30">
        <f>SUM(DATA[[#This Row],[Insurance  HOURLY RATE]:[Indirect costs: Other  - please specify (amount) 2 HOURLY RATE]])</f>
        <v>8.4234752589182964</v>
      </c>
      <c r="NP37" s="30">
        <f>SUM(DATA[[#This Row],[Central / Regional Management HOURLY RATE]:[Corporate Overheads: Other  - please specify (amount) 2 HOURLY RATE]])</f>
        <v>0</v>
      </c>
      <c r="NQ37"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7" s="30" t="str">
        <f>IFERROR(IF(AVERAGE(DATA[[#This Row],[Deputy manager: Current 2021/22 Minimum hourly pay rate ADJUSTED]],DATA[[#This Row],[Deputy manager: Current 2021/22 Maximum hourly pay rate ADJUSTED]])&lt;REAL_LIVING_WAGE_22_23,DATA[[#This Row],[Deputy manager: Numbers employed (Full Time Equivalent)]],0),"")</f>
        <v/>
      </c>
      <c r="NS37" s="30" t="str">
        <f>IFERROR(IF(AVERAGE(DATA[[#This Row],[Other manager 1: Current 2021/22 Minimum hourly pay rate ADJUSTED]],DATA[[#This Row],[Other manager 1: Current 2021/22 Maximum hourly pay rate ADJUSTED]])&lt;REAL_LIVING_WAGE_22_23,DATA[[#This Row],[Other manager 1: Numbers employed (Full Time Equivalent)]],0),"")</f>
        <v/>
      </c>
      <c r="NT37" s="30" t="str">
        <f>IFERROR(IF(AVERAGE(DATA[[#This Row],[Other manager 2: Current 2021/22 Minimum hourly pay rate ADJUSTED]],DATA[[#This Row],[Other manager 2: Current 2021/22 Maximum hourly pay rate ADJUSTED]])&lt;REAL_LIVING_WAGE_22_23,DATA[[#This Row],[Other manager 2: Numbers employed (Full Time Equivalent)]],0),"")</f>
        <v/>
      </c>
      <c r="NU37" s="30" t="str">
        <f>IFERROR(IF(AVERAGE(DATA[[#This Row],[Other manager 3: Current 2021/22 Minimum hourly pay rate ADJUSTED]],DATA[[#This Row],[Other manager 3: Current 2021/22 Maximum hourly pay rate ADJUSTED]])&lt;REAL_LIVING_WAGE_22_23,DATA[[#This Row],[Other manager 3: Numbers employed (Full Time Equivalent)]],0),"")</f>
        <v/>
      </c>
      <c r="NV37" s="30">
        <f>IFERROR(IF(AVERAGE(DATA[[#This Row],[Care Assistant 1: Current 2021/22 Minimum hourly pay rate ADJUSTED]],DATA[[#This Row],[Care Assistant 1: Current 2021/22 Maximum hourly pay rate ADJUSTED]])&lt;REAL_LIVING_WAGE_22_23,DATA[[#This Row],[Care Assistant 1: Numbers employed (Full Time Equivalent)]],0),"")</f>
        <v>0</v>
      </c>
      <c r="NW37"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37"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37"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37"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37"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37" s="30" t="str">
        <f>IFERROR(IF(AVERAGE(DATA[[#This Row],[Other staff 1: Current 2021/22 Minimum hourly pay rate ADJUSTED]],DATA[[#This Row],[Other staff 1: Current 2021/22 Maximum hourly pay rate ADJUSTED]])&lt;REAL_LIVING_WAGE_22_23,DATA[[#This Row],[Other staff 1: Numbers employed (Full Time Equivalent)]],0),"")</f>
        <v/>
      </c>
      <c r="OC37" s="30" t="str">
        <f>IFERROR(IF(AVERAGE(DATA[[#This Row],[Other staff 2: Current 2021/22 Minimum hourly pay rate ADJUSTED]],DATA[[#This Row],[Other staff 2: Current 2021/22 Maximum hourly pay rate ADJUSTED]])&lt;REAL_LIVING_WAGE_22_23,DATA[[#This Row],[Other staff 2: Numbers employed (Full Time Equivalent)]],0),"")</f>
        <v/>
      </c>
      <c r="OD37" s="30" t="str">
        <f>IFERROR(IF(AVERAGE(DATA[[#This Row],[Other staff 3: Current 2021/22 Minimum hourly pay rate ADJUSTED]],DATA[[#This Row],[Other staff 3: Current 2021/22 Maximum hourly pay rate ADJUSTED]])&lt;REAL_LIVING_WAGE_22_23,DATA[[#This Row],[Other staff 3: Numbers employed (Full Time Equivalent)]],0),"")</f>
        <v/>
      </c>
      <c r="OE37" s="30">
        <f>SUM(DATA[[#This Row],[Registered Manager FTE earning less than RLW 23yrs 2022/23]:[Other staff 3 FTE earning less than RLW 23yrs 2022/23]])</f>
        <v>0</v>
      </c>
      <c r="OF37"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7"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37"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37"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37"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37"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37"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37"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37"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37"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37"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37"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37"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37"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37" s="30">
        <f>IFERROR(IF(DATA[[#This Row],[Registered manager: Numbers employed (Full Time Equivalent)]]=0,"",DATA[[#This Row],[Registered manager: Current 2021/22 Minimum hourly pay rate ADJUSTED 2]]*DATA[[#This Row],[Registered manager: Numbers employed (Full Time Equivalent)]]),"")</f>
        <v>15.38</v>
      </c>
      <c r="OU37" s="30">
        <f>IFERROR(IF(DATA[[#This Row],[Registered manager: Numbers employed (Full Time Equivalent)]]=0,"",DATA[[#This Row],[Registered manager: Current 2021/22 Maximum hourly pay rate ADJUSTED 2]]*DATA[[#This Row],[Registered manager: Numbers employed (Full Time Equivalent)]]),"")</f>
        <v>15.34</v>
      </c>
      <c r="OV37" s="30">
        <f>IFERROR(IF(DATA[[#This Row],[Registered manager: Numbers employed (Full Time Equivalent)]]=0,"",DATA[[#This Row],[Registered manager: Previous 2020/21 Minimum hourly pay rate ADJUSTED 2]]*DATA[[#This Row],[Registered manager: Numbers employed (Full Time Equivalent)]]),"")</f>
        <v>15.34</v>
      </c>
      <c r="OW37" s="30">
        <f>IFERROR(IF(DATA[[#This Row],[Registered manager: Numbers employed (Full Time Equivalent)]]=0,"",DATA[[#This Row],[Registered manager: Previous 2020/21 Maximum hourly pay rate ADJUSTED 2]]*DATA[[#This Row],[Registered manager: Numbers employed (Full Time Equivalent)]]),"")</f>
        <v>15.34</v>
      </c>
      <c r="OX37" s="30" t="str">
        <f>IFERROR(IF(DATA[[#This Row],[Deputy manager: Numbers employed (Full Time Equivalent)]]=0,"",DATA[[#This Row],[Deputy manager: Current 2021/22 Minimum hourly pay rate ADJUSTED 2]]*DATA[[#This Row],[Deputy manager: Numbers employed (Full Time Equivalent)]]),"")</f>
        <v/>
      </c>
      <c r="OY37" s="30" t="str">
        <f>IFERROR(IF(DATA[[#This Row],[Deputy manager: Numbers employed (Full Time Equivalent)]]=0,"",DATA[[#This Row],[Deputy manager: Current 2021/22 Maximum hourly pay rate ADJUSTED 2]]*DATA[[#This Row],[Deputy manager: Numbers employed (Full Time Equivalent)]]),"")</f>
        <v/>
      </c>
      <c r="OZ37" s="30" t="str">
        <f>IFERROR(IF(DATA[[#This Row],[Deputy manager: Numbers employed (Full Time Equivalent)]]=0,"",DATA[[#This Row],[Deputy manager: Previous 2020/21 Minimum hourly pay rate ADJUSTED 2]]*DATA[[#This Row],[Deputy manager: Numbers employed (Full Time Equivalent)]]),"")</f>
        <v/>
      </c>
      <c r="PA37" s="30" t="str">
        <f>IFERROR(IF(DATA[[#This Row],[Deputy manager: Numbers employed (Full Time Equivalent)]]=0,"",DATA[[#This Row],[Deputy manager: Previous 2020/21 Maximum hourly pay rate ADJUSTED 2]]*DATA[[#This Row],[Deputy manager: Numbers employed (Full Time Equivalent)]]),"")</f>
        <v/>
      </c>
      <c r="PB37" s="30" t="str">
        <f>IFERROR(IF(DATA[[#This Row],[Other manager 1: Numbers employed (Full Time Equivalent)]]=0,"",DATA[[#This Row],[Other manager 1: Current 2021/22 Minimum hourly pay rate ADJUSTED 2]]*DATA[[#This Row],[Other manager 1: Numbers employed (Full Time Equivalent)]]),"")</f>
        <v/>
      </c>
      <c r="PC37" s="30" t="str">
        <f>IFERROR(IF(DATA[[#This Row],[Other manager 1: Numbers employed (Full Time Equivalent)]]=0,"",DATA[[#This Row],[Other manager 1: Current 2021/22 Maximum hourly pay rate ADJUSTED 2]]*DATA[[#This Row],[Other manager 1: Numbers employed (Full Time Equivalent)]]),"")</f>
        <v/>
      </c>
      <c r="PD37" s="30" t="str">
        <f>IFERROR(IF(DATA[[#This Row],[Other manager 1: Numbers employed (Full Time Equivalent)]]=0,"",DATA[[#This Row],[Other manager 1: Previous 2020/21 Minimum hourly pay rate ADJUSTED 2]]*DATA[[#This Row],[Other manager 1: Numbers employed (Full Time Equivalent)]]),"")</f>
        <v/>
      </c>
      <c r="PE37" s="30" t="str">
        <f>IFERROR(IF(DATA[[#This Row],[Other manager 1: Numbers employed (Full Time Equivalent)]]=0,"",DATA[[#This Row],[Other manager 1: Previous 2020/21 Maximum hourly pay rate ADJUSTED 2]]*DATA[[#This Row],[Other manager 1: Numbers employed (Full Time Equivalent)]]),"")</f>
        <v/>
      </c>
      <c r="PF37" s="30" t="str">
        <f>IFERROR(IF(DATA[[#This Row],[Other manager 2: Numbers employed (Full Time Equivalent)]]=0,"",DATA[[#This Row],[Other manager 2: Current 2021/22 Minimum hourly pay rate ADJUSTED 2]]*DATA[[#This Row],[Other manager 2: Numbers employed (Full Time Equivalent)]]),"")</f>
        <v/>
      </c>
      <c r="PG37" s="30" t="str">
        <f>IFERROR(IF(DATA[[#This Row],[Other manager 2: Numbers employed (Full Time Equivalent)]]=0,"",DATA[[#This Row],[Other manager 2: Current 2021/22 Maximum hourly pay rate ADJUSTED 2]]*DATA[[#This Row],[Other manager 2: Numbers employed (Full Time Equivalent)]]),"")</f>
        <v/>
      </c>
      <c r="PH37" s="30" t="str">
        <f>IFERROR(IF(DATA[[#This Row],[Other manager 2: Numbers employed (Full Time Equivalent)]]=0,"",DATA[[#This Row],[Other manager 2: Previous 2020/21 Minimum hourly pay rate ADJUSTED 2]]*DATA[[#This Row],[Other manager 2: Numbers employed (Full Time Equivalent)]]),"")</f>
        <v/>
      </c>
      <c r="PI37" s="30" t="str">
        <f>IFERROR(IF(DATA[[#This Row],[Other manager 2: Numbers employed (Full Time Equivalent)]]=0,"",DATA[[#This Row],[Other manager 2: Previous 2020/21 Maximum hourly pay rate ADJUSTED 2]]*DATA[[#This Row],[Other manager 2: Numbers employed (Full Time Equivalent)]]),"")</f>
        <v/>
      </c>
      <c r="PJ37" s="30" t="str">
        <f>IFERROR(IF(DATA[[#This Row],[Other manager 3: Numbers employed (Full Time Equivalent)]]=0,"",DATA[[#This Row],[Other manager 3: Current 2021/22 Minimum hourly pay rate ADJUSTED 2]]*DATA[[#This Row],[Other manager 3: Numbers employed (Full Time Equivalent)]]),"")</f>
        <v/>
      </c>
      <c r="PK37" s="30" t="str">
        <f>IFERROR(IF(DATA[[#This Row],[Other manager 3: Numbers employed (Full Time Equivalent)]]=0,"",DATA[[#This Row],[Other manager 3: Current 2021/22 Maximum hourly pay rate ADJUSTED 2]]*DATA[[#This Row],[Other manager 3: Numbers employed (Full Time Equivalent)]]),"")</f>
        <v/>
      </c>
      <c r="PL37" s="30" t="str">
        <f>IFERROR(IF(DATA[[#This Row],[Other manager 3: Numbers employed (Full Time Equivalent)]]=0,"",DATA[[#This Row],[Other manager 3: Previous 2020/21 Minimum hourly pay rate ADJUSTED 2]]*DATA[[#This Row],[Other manager 3: Numbers employed (Full Time Equivalent)]]),"")</f>
        <v/>
      </c>
      <c r="PM37" s="30" t="str">
        <f>IFERROR(IF(DATA[[#This Row],[Other manager 3: Numbers employed (Full Time Equivalent)]]=0,"",DATA[[#This Row],[Other manager 3: Previous 2020/21 Maximum hourly pay rate ADJUSTED 2]]*DATA[[#This Row],[Other manager 3: Numbers employed (Full Time Equivalent)]]),"")</f>
        <v/>
      </c>
      <c r="PN37" s="30">
        <f>IFERROR(IF(DATA[[#This Row],[Care Assistant 1: Numbers employed (Full Time Equivalent)]]=0,"",DATA[[#This Row],[Care Assistant 1: Current 2021/22 Minimum hourly pay rate ADJUSTED 2]]*DATA[[#This Row],[Care Assistant 1: Numbers employed (Full Time Equivalent)]]),"")</f>
        <v>10</v>
      </c>
      <c r="PO37" s="30">
        <f>IFERROR(IF(DATA[[#This Row],[Care Assistant 1: Numbers employed (Full Time Equivalent)]]=0,"",DATA[[#This Row],[Care Assistant 1: Current 2021/22 Maximum hourly pay rate ADJUSTED 2]]*DATA[[#This Row],[Care Assistant 1: Numbers employed (Full Time Equivalent)]]),"")</f>
        <v>10</v>
      </c>
      <c r="PP37" s="30">
        <f>IFERROR(IF(DATA[[#This Row],[Care Assistant 1: Numbers employed (Full Time Equivalent)]]=0,"",DATA[[#This Row],[Care Assistant 1: Previous 2020/21 Minimum hourly pay rate ADJUSTED 2]]*DATA[[#This Row],[Care Assistant 1: Numbers employed (Full Time Equivalent)]]),"")</f>
        <v>10</v>
      </c>
      <c r="PQ37" s="30">
        <f>IFERROR(IF(DATA[[#This Row],[Care Assistant 1: Numbers employed (Full Time Equivalent)]]=0,"",DATA[[#This Row],[Care Assistant 1: Previous 2020/21 Maximum hourly pay rate ADJUSTED 2]]*DATA[[#This Row],[Care Assistant 1: Numbers employed (Full Time Equivalent)]]),"")</f>
        <v>10</v>
      </c>
      <c r="PR37" s="30" t="str">
        <f>IFERROR(IF(DATA[[#This Row],[Care Assistant 2: Numbers employed (Full Time Equivalent)]]=0,"",DATA[[#This Row],[Care Assistant 2: Current 2021/22 Minimum hourly pay rate ADJUSTED 2]]*DATA[[#This Row],[Care Assistant 2: Numbers employed (Full Time Equivalent)]]),"")</f>
        <v/>
      </c>
      <c r="PS37" s="30" t="str">
        <f>IFERROR(IF(DATA[[#This Row],[Care Assistant 2: Numbers employed (Full Time Equivalent)]]=0,"",DATA[[#This Row],[Care Assistant 2: Current 2021/22 Maximum hourly pay rate ADJUSTED 2]]*DATA[[#This Row],[Care Assistant 2: Numbers employed (Full Time Equivalent)]]),"")</f>
        <v/>
      </c>
      <c r="PT37" s="30" t="str">
        <f>IFERROR(IF(DATA[[#This Row],[Care Assistant 2: Numbers employed (Full Time Equivalent)]]=0,"",DATA[[#This Row],[Care Assistant 2: Previous 2020/21 Minimum hourly pay rate ADJUSTED 2]]*DATA[[#This Row],[Care Assistant 2: Numbers employed (Full Time Equivalent)]]),"")</f>
        <v/>
      </c>
      <c r="PU37" s="30" t="str">
        <f>IFERROR(IF(DATA[[#This Row],[Care Assistant 2: Numbers employed (Full Time Equivalent)]]=0,"",DATA[[#This Row],[Care Assistant 2: Previous 2020/21 Maximum hourly pay rate ADJUSTED 2]]*DATA[[#This Row],[Care Assistant 2: Numbers employed (Full Time Equivalent)]]),"")</f>
        <v/>
      </c>
      <c r="PV37" s="30" t="str">
        <f>IFERROR(IF(DATA[[#This Row],[Care Assistant 3: Numbers employed (Full Time Equivalent)]]=0,"",DATA[[#This Row],[Care Assistant 3: Current 2021/22 Minimum hourly pay rate ADJUSTED 2]]*DATA[[#This Row],[Care Assistant 3: Numbers employed (Full Time Equivalent)]]),"")</f>
        <v/>
      </c>
      <c r="PW37" s="30" t="str">
        <f>IFERROR(IF(DATA[[#This Row],[Care Assistant 3: Numbers employed (Full Time Equivalent)]]=0,"",DATA[[#This Row],[Care Assistant 3: Current 2021/22 Maximum hourly pay rate ADJUSTED 2]]*DATA[[#This Row],[Care Assistant 3: Numbers employed (Full Time Equivalent)]]),"")</f>
        <v/>
      </c>
      <c r="PX37" s="30" t="str">
        <f>IFERROR(IF(DATA[[#This Row],[Care Assistant 3: Numbers employed (Full Time Equivalent)]]=0,"",DATA[[#This Row],[Care Assistant 3: Previous 2020/21 Minimum hourly pay rate ADJUSTED 2]]*DATA[[#This Row],[Care Assistant 3: Numbers employed (Full Time Equivalent)]]),"")</f>
        <v/>
      </c>
      <c r="PY37" s="30" t="str">
        <f>IFERROR(IF(DATA[[#This Row],[Care Assistant 3: Numbers employed (Full Time Equivalent)]]=0,"",DATA[[#This Row],[Care Assistant 3: Previous 2020/21 Maximum hourly pay rate ADJUSTED 2]]*DATA[[#This Row],[Care Assistant 3: Numbers employed (Full Time Equivalent)]]),"")</f>
        <v/>
      </c>
      <c r="PZ37" s="30" t="str">
        <f>IFERROR(IF(DATA[[#This Row],[Care Assistant 4: Numbers employed (Full Time Equivalent)]]=0,"",DATA[[#This Row],[Care Assistant 4: Current 2021/22 Minimum hourly pay rate ADJUSTED 2]]*DATA[[#This Row],[Care Assistant 4: Numbers employed (Full Time Equivalent)]]),"")</f>
        <v/>
      </c>
      <c r="QA37" s="30" t="str">
        <f>IFERROR(IF(DATA[[#This Row],[Care Assistant 4: Numbers employed (Full Time Equivalent)]]=0,"",DATA[[#This Row],[Care Assistant 4: Current 2021/22 Maximum hourly pay rate ADJUSTED 2]]*DATA[[#This Row],[Care Assistant 4: Numbers employed (Full Time Equivalent)]]),"")</f>
        <v/>
      </c>
      <c r="QB37" s="30" t="str">
        <f>IFERROR(IF(DATA[[#This Row],[Care Assistant 4: Numbers employed (Full Time Equivalent)]]=0,"",DATA[[#This Row],[Care Assistant 4: Previous 2020/21 Minimum hourly pay rate ADJUSTED 2]]*DATA[[#This Row],[Care Assistant 4: Numbers employed (Full Time Equivalent)]]),"")</f>
        <v/>
      </c>
      <c r="QC37" s="30" t="str">
        <f>IFERROR(IF(DATA[[#This Row],[Care Assistant 4: Numbers employed (Full Time Equivalent)]]=0,"",DATA[[#This Row],[Care Assistant 4: Previous 2020/21 Maximum hourly pay rate ADJUSTED 2]]*DATA[[#This Row],[Care Assistant 4: Numbers employed (Full Time Equivalent)]]),"")</f>
        <v/>
      </c>
      <c r="QD37" s="30" t="str">
        <f>IFERROR(IF(DATA[[#This Row],[Administrative Officer 1: Numbers employed (Full Time Equivalent)]]=0,"",DATA[[#This Row],[Administrative Officer 1: Current 2021/22 Minimum hourly pay rate ADJUSTED 2]]*DATA[[#This Row],[Administrative Officer 1: Numbers employed (Full Time Equivalent)]]),"")</f>
        <v/>
      </c>
      <c r="QE37" s="30" t="str">
        <f>IFERROR(IF(DATA[[#This Row],[Administrative Officer 1: Numbers employed (Full Time Equivalent)]]=0,"",DATA[[#This Row],[Administrative Officer 1: Current 2021/22 Maximum hourly pay rate ADJUSTED 2]]*DATA[[#This Row],[Administrative Officer 1: Numbers employed (Full Time Equivalent)]]),"")</f>
        <v/>
      </c>
      <c r="QF37" s="30" t="str">
        <f>IFERROR(IF(DATA[[#This Row],[Administrative Officer 1: Numbers employed (Full Time Equivalent)]]=0,"",DATA[[#This Row],[Administrative Officer 1: Previous 2020/21 Minimum hourly pay rate ADJUSTED 2]]*DATA[[#This Row],[Administrative Officer 1: Numbers employed (Full Time Equivalent)]]),"")</f>
        <v/>
      </c>
      <c r="QG37" s="30" t="str">
        <f>IFERROR(IF(DATA[[#This Row],[Administrative Officer 1: Numbers employed (Full Time Equivalent)]]=0,"",DATA[[#This Row],[Administrative Officer 1: Previous 2020/21 Maximum hourly pay rate ADJUSTED 2]]*DATA[[#This Row],[Administrative Officer 1: Numbers employed (Full Time Equivalent)]]),"")</f>
        <v/>
      </c>
      <c r="QH37" s="30" t="str">
        <f>IFERROR(IF(DATA[[#This Row],[Administrative Officer 2: Numbers employed (Full Time Equivalent)]]=0,"",DATA[[#This Row],[Administrative Officer 2: Current 2021/22 Minimum hourly pay rate ADJUSTED 2]]*DATA[[#This Row],[Administrative Officer 2: Numbers employed (Full Time Equivalent)]]),"")</f>
        <v/>
      </c>
      <c r="QI37" s="30" t="str">
        <f>IFERROR(IF(DATA[[#This Row],[Administrative Officer 2: Numbers employed (Full Time Equivalent)]]=0,"",DATA[[#This Row],[Administrative Officer 2: Current 2021/22 Maximum hourly pay rate ADJUSTED 2]]*DATA[[#This Row],[Administrative Officer 2: Numbers employed (Full Time Equivalent)]]),"")</f>
        <v/>
      </c>
      <c r="QJ37" s="30" t="str">
        <f>IFERROR(IF(DATA[[#This Row],[Administrative Officer 2: Numbers employed (Full Time Equivalent)]]=0,"",DATA[[#This Row],[Administrative Officer 2: Previous 2020/21 Minimum hourly pay rate ADJUSTED 2]]*DATA[[#This Row],[Administrative Officer 2: Numbers employed (Full Time Equivalent)]]),"")</f>
        <v/>
      </c>
      <c r="QK37" s="30" t="str">
        <f>IFERROR(IF(DATA[[#This Row],[Administrative Officer 2: Numbers employed (Full Time Equivalent)]]=0,"",DATA[[#This Row],[Administrative Officer 2: Previous 2020/21 Maximum hourly pay rate ADJUSTED 2]]*DATA[[#This Row],[Administrative Officer 2: Numbers employed (Full Time Equivalent)]]),"")</f>
        <v/>
      </c>
      <c r="QL37" s="30" t="str">
        <f>IFERROR(IF(DATA[[#This Row],[Administrative Officer 3: Numbers employed (Full Time Equivalent)]]=0,"",DATA[[#This Row],[Administrative Officer 3: Current 2021/22 Minimum hourly pay rate ADJUSTED 2]]*DATA[[#This Row],[Administrative Officer 3: Numbers employed (Full Time Equivalent)]]),"")</f>
        <v/>
      </c>
      <c r="QM37" s="30" t="str">
        <f>IFERROR(IF(DATA[[#This Row],[Administrative Officer 3: Numbers employed (Full Time Equivalent)]]=0,"",DATA[[#This Row],[Administrative Officer 3: Current 2021/22 Maximum hourly pay rate ADJUSTED 2]]*DATA[[#This Row],[Administrative Officer 3: Numbers employed (Full Time Equivalent)]]),"")</f>
        <v/>
      </c>
      <c r="QN37" s="30" t="str">
        <f>IFERROR(IF(DATA[[#This Row],[Administrative Officer 3: Numbers employed (Full Time Equivalent)]]=0,"",DATA[[#This Row],[Administrative Officer 3: Previous 2020/21 Minimum hourly pay rate ADJUSTED 2]]*DATA[[#This Row],[Administrative Officer 3: Numbers employed (Full Time Equivalent)]]),"")</f>
        <v/>
      </c>
      <c r="QO37" s="30" t="str">
        <f>IFERROR(IF(DATA[[#This Row],[Administrative Officer 3: Numbers employed (Full Time Equivalent)]]=0,"",DATA[[#This Row],[Administrative Officer 3: Previous 2020/21 Maximum hourly pay rate ADJUSTED 2]]*DATA[[#This Row],[Administrative Officer 3: Numbers employed (Full Time Equivalent)]]),"")</f>
        <v/>
      </c>
      <c r="QP37" s="28" t="str">
        <f>IFERROR(IF(DATA[[#This Row],[Other staff 1: Numbers employed (Full Time Equivalent)]]=0,"",DATA[[#This Row],[Other staff 1: Current 2021/22 Minimum hourly pay rate ADJUSTED 2]]*DATA[[#This Row],[Other staff 1: Numbers employed (Full Time Equivalent)]]),"")</f>
        <v/>
      </c>
      <c r="QQ37" s="28" t="str">
        <f>IFERROR(IF(DATA[[#This Row],[Other staff 1: Numbers employed (Full Time Equivalent)]]=0,"",DATA[[#This Row],[Other staff 1: Current 2021/22 Maximum hourly pay rate ADJUSTED 2]]*DATA[[#This Row],[Other staff 1: Numbers employed (Full Time Equivalent)]]),"")</f>
        <v/>
      </c>
      <c r="QR37" s="28" t="str">
        <f>IFERROR(IF(DATA[[#This Row],[Other staff 1: Numbers employed (Full Time Equivalent)]]=0,"",DATA[[#This Row],[Other staff 1: Previous 2020/21 Minimum hourly pay rate ADJUSTED 2]]*DATA[[#This Row],[Other staff 1: Numbers employed (Full Time Equivalent)]]),"")</f>
        <v/>
      </c>
      <c r="QS37" s="28" t="str">
        <f>IFERROR(IF(DATA[[#This Row],[Other staff 1: Numbers employed (Full Time Equivalent)]]=0,"",DATA[[#This Row],[Other staff 1: Previous 2020/21 Maximum hourly pay rate ADJUSTED 2]]*DATA[[#This Row],[Other staff 1: Numbers employed (Full Time Equivalent)]]),"")</f>
        <v/>
      </c>
      <c r="QT37" s="28" t="str">
        <f>IFERROR(IF(DATA[[#This Row],[Other staff 2: Numbers employed (Full Time Equivalent)]]=0,"",DATA[[#This Row],[Other staff 2: Current 2021/22 Minimum hourly pay rate ADJUSTED 2]]*DATA[[#This Row],[Other staff 2: Numbers employed (Full Time Equivalent)]]),"")</f>
        <v/>
      </c>
      <c r="QU37" s="28" t="str">
        <f>IFERROR(IF(DATA[[#This Row],[Other staff 2: Numbers employed (Full Time Equivalent)]]=0,"",DATA[[#This Row],[Other staff 2: Current 2021/22 Maximum hourly pay rate ADJUSTED 2]]*DATA[[#This Row],[Other staff 2: Numbers employed (Full Time Equivalent)]]),"")</f>
        <v/>
      </c>
      <c r="QV37" s="28" t="str">
        <f>IFERROR(IF(DATA[[#This Row],[Other staff 2: Numbers employed (Full Time Equivalent)]]=0,"",DATA[[#This Row],[Other staff 2: Previous 2020/21 Minimum hourly pay rate ADJUSTED 2]]*DATA[[#This Row],[Other staff 2: Numbers employed (Full Time Equivalent)]]),"")</f>
        <v/>
      </c>
      <c r="QW37" s="28" t="str">
        <f>IFERROR(IF(DATA[[#This Row],[Other staff 2: Numbers employed (Full Time Equivalent)]]=0,"",DATA[[#This Row],[Other staff 2: Previous 2020/21 Maximum hourly pay rate ADJUSTED 2]]*DATA[[#This Row],[Other staff 2: Numbers employed (Full Time Equivalent)]]),"")</f>
        <v/>
      </c>
      <c r="QX37" s="28" t="str">
        <f>IFERROR(IF(DATA[[#This Row],[Other staff 3: Numbers employed (Full Time Equivalent)]]=0,"",DATA[[#This Row],[Other staff 3: Current 2021/22 Minimum hourly pay rate ADJUSTED 2]]*DATA[[#This Row],[Other staff 3: Numbers employed (Full Time Equivalent)]]),"")</f>
        <v/>
      </c>
      <c r="QY37" s="28" t="str">
        <f>IFERROR(IF(DATA[[#This Row],[Other staff 3: Numbers employed (Full Time Equivalent)]]=0,"",DATA[[#This Row],[Other staff 3: Current 2021/22 Maximum hourly pay rate ADJUSTED 2]]*DATA[[#This Row],[Other staff 3: Numbers employed (Full Time Equivalent)]]),"")</f>
        <v/>
      </c>
      <c r="QZ37" s="28" t="str">
        <f>IFERROR(IF(DATA[[#This Row],[Other staff 3: Numbers employed (Full Time Equivalent)]]=0,"",DATA[[#This Row],[Other staff 3: Previous 2020/21 Minimum hourly pay rate ADJUSTED 2]]*DATA[[#This Row],[Other staff 3: Numbers employed (Full Time Equivalent)]]),"")</f>
        <v/>
      </c>
      <c r="RA37" s="28" t="str">
        <f>IFERROR(IF(DATA[[#This Row],[Other staff 3: Numbers employed (Full Time Equivalent)]]=0,"",DATA[[#This Row],[Other staff 3: Previous 2020/21 Maximum hourly pay rate ADJUSTED 2]]*DATA[[#This Row],[Other staff 3: Numbers employed (Full Time Equivalent)]]),"")</f>
        <v/>
      </c>
      <c r="RB37"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37"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37"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37"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37"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37"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v>
      </c>
      <c r="RH37"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37"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37"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37"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37"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37"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37"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37"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37"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8" spans="7:484" x14ac:dyDescent="0.25">
      <c r="G38" s="2">
        <v>32</v>
      </c>
      <c r="H38" s="2">
        <v>33</v>
      </c>
      <c r="I38" s="2">
        <v>19</v>
      </c>
      <c r="J38" s="2">
        <v>0.63</v>
      </c>
      <c r="K38" s="2">
        <v>0.37</v>
      </c>
      <c r="L38" s="2" t="s">
        <v>328</v>
      </c>
      <c r="M38" s="2" t="s">
        <v>240</v>
      </c>
      <c r="R38" s="2">
        <v>15.38</v>
      </c>
      <c r="S38" s="2">
        <v>16.47</v>
      </c>
      <c r="T38" s="2">
        <v>14.75</v>
      </c>
      <c r="U38" s="2">
        <v>15.8</v>
      </c>
      <c r="V38" s="2">
        <v>1</v>
      </c>
      <c r="W38" s="2">
        <v>10.99</v>
      </c>
      <c r="X38" s="2">
        <v>10.99</v>
      </c>
      <c r="Y38" s="2">
        <v>10.91</v>
      </c>
      <c r="Z38" s="2">
        <v>10.91</v>
      </c>
      <c r="AA38" s="2">
        <v>3</v>
      </c>
      <c r="AB38" s="2" t="s">
        <v>315</v>
      </c>
      <c r="AC38" s="2">
        <v>0</v>
      </c>
      <c r="AD38" s="2">
        <v>0</v>
      </c>
      <c r="AE38" s="2">
        <v>0</v>
      </c>
      <c r="AF38" s="2">
        <v>0</v>
      </c>
      <c r="AG38" s="2">
        <v>0</v>
      </c>
      <c r="AH38" s="2" t="s">
        <v>315</v>
      </c>
      <c r="AI38" s="2">
        <v>0</v>
      </c>
      <c r="AJ38" s="2">
        <v>0</v>
      </c>
      <c r="AK38" s="2">
        <v>0</v>
      </c>
      <c r="AL38" s="2">
        <v>0</v>
      </c>
      <c r="AM38" s="2">
        <v>0</v>
      </c>
      <c r="AN38" s="2" t="s">
        <v>315</v>
      </c>
      <c r="AO38" s="2">
        <v>0</v>
      </c>
      <c r="AP38" s="2">
        <v>0</v>
      </c>
      <c r="AQ38" s="2">
        <v>0</v>
      </c>
      <c r="AR38" s="2">
        <v>0</v>
      </c>
      <c r="AS38" s="2">
        <v>0</v>
      </c>
      <c r="AT38" s="2" t="s">
        <v>316</v>
      </c>
      <c r="AU38" s="2">
        <v>9.5</v>
      </c>
      <c r="AV38" s="2">
        <v>9.5</v>
      </c>
      <c r="AW38" s="2">
        <v>9.3000000000000007</v>
      </c>
      <c r="AX38" s="2">
        <v>9.3000000000000007</v>
      </c>
      <c r="AY38" s="2">
        <v>25</v>
      </c>
      <c r="AZ38" s="2" t="s">
        <v>316</v>
      </c>
      <c r="BA38" s="2">
        <v>0</v>
      </c>
      <c r="BB38" s="2">
        <v>0</v>
      </c>
      <c r="BC38" s="2">
        <v>0</v>
      </c>
      <c r="BD38" s="2">
        <v>0</v>
      </c>
      <c r="BE38" s="2">
        <v>0</v>
      </c>
      <c r="BF38" s="2" t="s">
        <v>316</v>
      </c>
      <c r="BG38" s="2">
        <v>0</v>
      </c>
      <c r="BH38" s="2">
        <v>0</v>
      </c>
      <c r="BI38" s="2">
        <v>0</v>
      </c>
      <c r="BJ38" s="2">
        <v>0</v>
      </c>
      <c r="BK38" s="2">
        <v>0</v>
      </c>
      <c r="BL38" s="2" t="s">
        <v>316</v>
      </c>
      <c r="BM38" s="2">
        <v>0</v>
      </c>
      <c r="BN38" s="2">
        <v>0</v>
      </c>
      <c r="BO38" s="2">
        <v>0</v>
      </c>
      <c r="BP38" s="2">
        <v>0</v>
      </c>
      <c r="BQ38" s="2">
        <v>0</v>
      </c>
      <c r="BR38" s="2" t="s">
        <v>317</v>
      </c>
      <c r="BS38" s="2">
        <v>0</v>
      </c>
      <c r="BT38" s="2">
        <v>0</v>
      </c>
      <c r="BU38" s="2">
        <v>0</v>
      </c>
      <c r="BV38" s="2">
        <v>0</v>
      </c>
      <c r="BW38" s="2">
        <v>0</v>
      </c>
      <c r="BX38" s="2" t="s">
        <v>317</v>
      </c>
      <c r="BY38" s="2">
        <v>0</v>
      </c>
      <c r="BZ38" s="2">
        <v>0</v>
      </c>
      <c r="CA38" s="2">
        <v>0</v>
      </c>
      <c r="CB38" s="2">
        <v>0</v>
      </c>
      <c r="CC38" s="2">
        <v>0</v>
      </c>
      <c r="CD38" s="2" t="s">
        <v>317</v>
      </c>
      <c r="CE38" s="2">
        <v>0</v>
      </c>
      <c r="CF38" s="2">
        <v>0</v>
      </c>
      <c r="CG38" s="2">
        <v>0</v>
      </c>
      <c r="CH38" s="2">
        <v>0</v>
      </c>
      <c r="CI38" s="2">
        <v>0</v>
      </c>
      <c r="CJ38" s="2" t="s">
        <v>318</v>
      </c>
      <c r="CK38" s="2">
        <v>0</v>
      </c>
      <c r="CL38" s="2">
        <v>0</v>
      </c>
      <c r="CM38" s="2">
        <v>0</v>
      </c>
      <c r="CN38" s="2">
        <v>0</v>
      </c>
      <c r="CO38" s="2">
        <v>0</v>
      </c>
      <c r="CP38" s="2" t="s">
        <v>318</v>
      </c>
      <c r="CQ38" s="2">
        <v>0</v>
      </c>
      <c r="CR38" s="2">
        <v>0</v>
      </c>
      <c r="CS38" s="2">
        <v>0</v>
      </c>
      <c r="CT38" s="2">
        <v>0</v>
      </c>
      <c r="CU38" s="2">
        <v>0</v>
      </c>
      <c r="CV38" s="2" t="s">
        <v>318</v>
      </c>
      <c r="CW38" s="2">
        <v>0</v>
      </c>
      <c r="CX38" s="2">
        <v>0</v>
      </c>
      <c r="CY38" s="2">
        <v>0</v>
      </c>
      <c r="CZ38" s="2">
        <v>0</v>
      </c>
      <c r="DA38" s="2">
        <v>0</v>
      </c>
      <c r="DB38" s="2">
        <v>0.03</v>
      </c>
      <c r="DC38" s="2">
        <v>182.5</v>
      </c>
      <c r="DD38" s="2">
        <v>0</v>
      </c>
      <c r="DE38" s="2">
        <v>0</v>
      </c>
      <c r="DF38" s="2">
        <v>0</v>
      </c>
      <c r="DG38" s="2">
        <v>36.5</v>
      </c>
      <c r="DH38" s="2">
        <v>0</v>
      </c>
      <c r="DI38" s="2">
        <v>557</v>
      </c>
      <c r="DJ38" s="2">
        <v>63</v>
      </c>
      <c r="DK38" s="2">
        <v>0</v>
      </c>
      <c r="DL38" s="2">
        <v>0</v>
      </c>
      <c r="DM38" s="2">
        <v>0</v>
      </c>
      <c r="DN38" s="2">
        <v>0</v>
      </c>
      <c r="DO38" s="2">
        <v>0</v>
      </c>
      <c r="DP38" s="2">
        <v>16.5</v>
      </c>
      <c r="DQ38" s="2">
        <v>0</v>
      </c>
      <c r="DR38" s="18">
        <v>43922</v>
      </c>
      <c r="DS38" s="18">
        <v>44286</v>
      </c>
      <c r="DT38" s="2">
        <v>38555</v>
      </c>
      <c r="DU38" s="2">
        <v>143165.82999999999</v>
      </c>
      <c r="DV38" s="2">
        <v>486525.99</v>
      </c>
      <c r="DW38" s="2">
        <v>0</v>
      </c>
      <c r="DX38" s="2">
        <v>0</v>
      </c>
      <c r="DY38" s="2">
        <v>0</v>
      </c>
      <c r="DZ38" s="2">
        <v>5576.66</v>
      </c>
      <c r="EA38" s="2">
        <v>5576.66</v>
      </c>
      <c r="EB38" s="2">
        <v>1500</v>
      </c>
      <c r="EC38" s="2">
        <v>0</v>
      </c>
      <c r="ED38" s="2">
        <v>0</v>
      </c>
      <c r="EE38" s="2">
        <v>3094.81</v>
      </c>
      <c r="EF38" s="2">
        <v>561.91800000000001</v>
      </c>
      <c r="EG38" s="2">
        <v>0</v>
      </c>
      <c r="EH38" s="2" t="s">
        <v>324</v>
      </c>
      <c r="EI38" s="2">
        <v>0</v>
      </c>
      <c r="EJ38" s="2" t="s">
        <v>324</v>
      </c>
      <c r="EK38" s="2">
        <v>0</v>
      </c>
      <c r="EL38" s="2">
        <v>0</v>
      </c>
      <c r="EM38" s="2">
        <v>0</v>
      </c>
      <c r="EN38" s="2">
        <v>0</v>
      </c>
      <c r="EO38" s="2">
        <v>0</v>
      </c>
      <c r="EP38" s="2">
        <v>2411</v>
      </c>
      <c r="EQ38" s="2">
        <v>3452.7020000000002</v>
      </c>
      <c r="ER38" s="2">
        <v>0</v>
      </c>
      <c r="ES38" s="2">
        <v>0</v>
      </c>
      <c r="ET38" s="2" t="s">
        <v>469</v>
      </c>
      <c r="EU38" s="2">
        <v>49.12</v>
      </c>
      <c r="EV38" s="2" t="s">
        <v>470</v>
      </c>
      <c r="EW38" s="2">
        <v>5877.28</v>
      </c>
      <c r="EX38" s="2">
        <v>65779.199999999997</v>
      </c>
      <c r="EY38" s="2">
        <v>0</v>
      </c>
      <c r="EZ38" s="2" t="s">
        <v>326</v>
      </c>
      <c r="FA38" s="2">
        <v>0</v>
      </c>
      <c r="FB38" s="2" t="s">
        <v>326</v>
      </c>
      <c r="FC38" s="2">
        <v>0</v>
      </c>
      <c r="FD38" s="2">
        <v>59201.279999999999</v>
      </c>
      <c r="FE38" s="2">
        <v>0</v>
      </c>
      <c r="FF38" s="2">
        <v>0</v>
      </c>
      <c r="FG38" s="2"/>
      <c r="FH38" s="19">
        <v>44480.624247685184</v>
      </c>
      <c r="FI38" s="2" t="s">
        <v>345</v>
      </c>
      <c r="FJ38" s="2">
        <f>SUM(DATA[[#This Row],[Number of Home support clients:]],DATA[[#This Row],[Number of supported living clients:]])</f>
        <v>52</v>
      </c>
      <c r="FK38"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51-60</v>
      </c>
      <c r="FL38"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15.38</v>
      </c>
      <c r="FM38"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16.47</v>
      </c>
      <c r="FN38"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14.75</v>
      </c>
      <c r="FO38"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15.8</v>
      </c>
      <c r="FP38"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10.99</v>
      </c>
      <c r="FQ38"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10.99</v>
      </c>
      <c r="FR38"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10.91</v>
      </c>
      <c r="FS38"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10.91</v>
      </c>
      <c r="FT38"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38"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38"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38"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38"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38"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38"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38"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38"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38"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38"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38"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38"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9.5</v>
      </c>
      <c r="GG38"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9.5</v>
      </c>
      <c r="GH38"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9.3000000000000007</v>
      </c>
      <c r="GI38"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9.3000000000000007</v>
      </c>
      <c r="GJ38"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38"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38"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38"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38"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38"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38"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38"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38"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38"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38"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38"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38"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38"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38"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38"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38"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38"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38"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38"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38"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38"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38"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38"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38"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38"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38"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38"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38"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38"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38"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38"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38"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38"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38"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38"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38"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15.38</v>
      </c>
      <c r="HU38"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16.47</v>
      </c>
      <c r="HV38"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14.75</v>
      </c>
      <c r="HW38"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15.8</v>
      </c>
      <c r="HX38"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10.99</v>
      </c>
      <c r="HY38"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10.99</v>
      </c>
      <c r="HZ38"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10.91</v>
      </c>
      <c r="IA38"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10.91</v>
      </c>
      <c r="IB38"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38"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38"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38"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38"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38"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38"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38"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38"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38"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38"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38"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38"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9.5</v>
      </c>
      <c r="IO38"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9.5</v>
      </c>
      <c r="IP38"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9.3000000000000007</v>
      </c>
      <c r="IQ38"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9.3000000000000007</v>
      </c>
      <c r="IR38"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38"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38"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38"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38"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38"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38"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38"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38"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38"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38"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38"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38"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38"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38"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38"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38"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38"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38"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38"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38"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38"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38"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38"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38"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38"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38"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38"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38"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38"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38"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38"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38"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38"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38"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38"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38"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v>
      </c>
      <c r="KC38" s="21">
        <f>SUM(DATA[[#This Row],[Care Assistant 1: Numbers employed (Full Time Equivalent)]],DATA[[#This Row],[Care Assistant 2: Numbers employed (Full Time Equivalent)]],DATA[[#This Row],[Care Assistant 3: Numbers employed (Full Time Equivalent)]],DATA[[#This Row],[Care Assistant 4: Numbers employed (Full Time Equivalent)]])</f>
        <v>25</v>
      </c>
      <c r="KD38" s="21">
        <f>SUM(DATA[[#This Row],[Administrative Officer 1: Numbers employed (Full Time Equivalent)]],DATA[[#This Row],[Administrative Officer 2: Numbers employed (Full Time Equivalent)]])</f>
        <v>0</v>
      </c>
      <c r="KE38" s="21">
        <f>SUM(DATA[[#This Row],[Other staff 1: Numbers employed (Full Time Equivalent)]],DATA[[#This Row],[Other staff 2: Numbers employed (Full Time Equivalent)]],DATA[[#This Row],[Other staff 3: Numbers employed (Full Time Equivalent)]])</f>
        <v>0</v>
      </c>
      <c r="KF38" s="21">
        <f>SUM(DATA[[#This Row],[Total FTE Management Employees]:[Total FTE Other Employees]])</f>
        <v>29</v>
      </c>
      <c r="KG38" s="21" t="str">
        <f>IF(SUM(DATA[[#This Row],[Home Support service split percentage (Expenditure):]],DATA[[#This Row],[Supported Living service split percentage (Expenditure):]])&gt;0, IF(DATA[[#This Row],[Home Support service split percentage (Expenditure):]]&gt;0.5,"Home Support","Supported Living"), "Unknown")</f>
        <v>Home Support</v>
      </c>
      <c r="KH38" s="21">
        <f>SUM(DATA[[#This Row],[Home Support: Birmingham City Council]:[Home Support: Self-funded]])</f>
        <v>219</v>
      </c>
      <c r="KI38" s="21">
        <f>SUM(DATA[[#This Row],[Supported Living: Birmingham City Council]:[Supported Living: Self-funded]])</f>
        <v>620</v>
      </c>
      <c r="KJ38"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38"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38"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38"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38" s="21" t="b">
        <f>SUM(DATA[[#This Row],[Number of hours of care charged for in last full accounting year]:[Corporate Overheads: Other  - please specify (category) 1]])&gt;0</f>
        <v>1</v>
      </c>
      <c r="KO38" s="21">
        <f>SUM(DATA[[#This Row],[Total annual expenditure: Management staff]:[Total annual expenditure: Training and development]])</f>
        <v>642345.14</v>
      </c>
      <c r="KP38" s="21">
        <f>SUM(DATA[[#This Row],[Recruitment &amp; advertising (including DBS checks)]:[Non-Staffing Direct Cost: Other  - please specify (amount) 2]])</f>
        <v>3656.7280000000001</v>
      </c>
      <c r="KQ38" s="21">
        <f>SUM(DATA[[#This Row],[Insurance ]:[Indirect costs: Other 2 - please specify (amount)]])</f>
        <v>11790.101999999999</v>
      </c>
      <c r="KR38" s="21">
        <f>SUM(DATA[[#This Row],[Central / Regional Management]],DATA[[#This Row],[Support Services (finance / HR / Payroll / legal etc.)]],DATA[[#This Row],[Corporate Overheads: Other  - please specify (amount) 1]],DATA[[#This Row],[Corporate Overheads: Other  - please specify (amount) 2]])</f>
        <v>65779.199999999997</v>
      </c>
      <c r="KS38"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3.7132882894566199</v>
      </c>
      <c r="KT38"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12.619011541953054</v>
      </c>
      <c r="KU38"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38"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38"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8" s="30">
        <f>IF(OR(NOT(DATA[[#This Row],[Total annual expenditure: Travel Cost]]&gt;0),NOT(DATA[[#This Row],[Number of hours of care charged for in last full accounting year]]&gt;0)),0,DATA[[#This Row],[Total annual expenditure: Travel Cost]]/DATA[[#This Row],[Number of hours of care charged for in last full accounting year]])</f>
        <v>0.14464168071586045</v>
      </c>
      <c r="KY38" s="30">
        <f>IF(OR(NOT(DATA[[#This Row],[Total annual expenditure: Travel Time]]&gt;0),NOT(DATA[[#This Row],[Number of hours of care charged for in last full accounting year]]&gt;0)),0,DATA[[#This Row],[Total annual expenditure: Travel Time]]/DATA[[#This Row],[Number of hours of care charged for in last full accounting year]])</f>
        <v>0.14464168071586045</v>
      </c>
      <c r="KZ38"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3.8905459732849174E-2</v>
      </c>
      <c r="LA38"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38"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38" s="30">
        <f>IF(OR(NOT(DATA[[#This Row],[Care consumables &amp; uniforms]]&gt;0),NOT(DATA[[#This Row],[Number of hours of care charged for in last full accounting year]]&gt;0)),0,DATA[[#This Row],[Care consumables &amp; uniforms]]/DATA[[#This Row],[Number of hours of care charged for in last full accounting year]])</f>
        <v>8.0270003890545977E-2</v>
      </c>
      <c r="LD38" s="30">
        <f>IF(OR(NOT(DATA[[#This Row],[Electronic call monitoring]]&gt;0),NOT(DATA[[#This Row],[Number of hours of care charged for in last full accounting year]]&gt;0)),0,DATA[[#This Row],[Electronic call monitoring]]/DATA[[#This Row],[Number of hours of care charged for in last full accounting year]])</f>
        <v>1.4574452081442096E-2</v>
      </c>
      <c r="LE38" s="30">
        <f>IF(OR(NOT(DATA[[#This Row],[IT Equipment &amp; Telephoney]]&gt;0),NOT(DATA[[#This Row],[Number of hours of care charged for in last full accounting year]]&gt;0)),0,DATA[[#This Row],[IT Equipment &amp; Telephoney]]/DATA[[#This Row],[Number of hours of care charged for in last full accounting year]])</f>
        <v>0</v>
      </c>
      <c r="LF38"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38"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38" s="30">
        <f>IF(OR(NOT(DATA[[#This Row],[Insurance ]]&gt;0),NOT(DATA[[#This Row],[Number of hours of care charged for in last full accounting year]]&gt;0)),0,DATA[[#This Row],[Insurance ]]/DATA[[#This Row],[Number of hours of care charged for in last full accounting year]])</f>
        <v>0</v>
      </c>
      <c r="LI38"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38" s="30">
        <f>IF(OR(NOT(DATA[[#This Row],[Repairs and maintenance]]&gt;0),NOT(DATA[[#This Row],[Number of hours of care charged for in last full accounting year]]&gt;0)),0,DATA[[#This Row],[Repairs and maintenance]]/DATA[[#This Row],[Number of hours of care charged for in last full accounting year]])</f>
        <v>0</v>
      </c>
      <c r="LK38"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38" s="30">
        <f>IF(OR(NOT(DATA[[#This Row],[Registration &amp; Inspection fees ]]&gt;0),NOT(DATA[[#This Row],[Number of hours of care charged for in last full accounting year]]&gt;0)),0,DATA[[#This Row],[Registration &amp; Inspection fees ]]/DATA[[#This Row],[Number of hours of care charged for in last full accounting year]])</f>
        <v>6.253404227726625E-2</v>
      </c>
      <c r="LM38" s="30">
        <f>IF(OR(NOT(DATA[[#This Row],[Subscriptions]]&gt;0),NOT(DATA[[#This Row],[Number of hours of care charged for in last full accounting year]]&gt;0)),0,DATA[[#This Row],[Subscriptions]]/DATA[[#This Row],[Number of hours of care charged for in last full accounting year]])</f>
        <v>8.9552639087018548E-2</v>
      </c>
      <c r="LN38" s="30">
        <f>IF(OR(NOT(DATA[[#This Row],[Cost of finance]]&gt;0),NOT(DATA[[#This Row],[Number of hours of care charged for in last full accounting year]]&gt;0)),0,DATA[[#This Row],[Cost of finance]]/DATA[[#This Row],[Number of hours of care charged for in last full accounting year]])</f>
        <v>0</v>
      </c>
      <c r="LO38" s="30">
        <f>IF(OR(NOT(DATA[[#This Row],[Other non-staff current expenses]]&gt;0),NOT(DATA[[#This Row],[Number of hours of care charged for in last full accounting year]]&gt;0)),0,DATA[[#This Row],[Other non-staff current expenses]]/DATA[[#This Row],[Number of hours of care charged for in last full accounting year]])</f>
        <v>0</v>
      </c>
      <c r="LP38"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1.2740241213850343E-3</v>
      </c>
      <c r="LQ38"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0.15243885358578654</v>
      </c>
      <c r="LR38" s="30">
        <f>IF(OR(NOT(DATA[[#This Row],[Central / Regional Management]]&gt;0),NOT(DATA[[#This Row],[Number of hours of care charged for in last full accounting year]]&gt;0)),0,DATA[[#This Row],[Central / Regional Management]]/DATA[[#This Row],[Number of hours of care charged for in last full accounting year]])</f>
        <v>1.7061133445726884</v>
      </c>
      <c r="LS38"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38"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8"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8" s="30">
        <f>SUM(DATA[[#This Row],[Management staff HOURLY RATE]:[Corporate Overheads: Other  - please specify (amount) 2 HOURLY RATE]])</f>
        <v>18.767246012190377</v>
      </c>
      <c r="LW38" s="30">
        <f>IF(OR(NOT(DATA[[#This Row],[Net Operating Profit]]&gt;0),NOT(DATA[[#This Row],[Number of hours of care charged for in last full accounting year]]&gt;0)),"",DATA[[#This Row],[Net Operating Profit]]/DATA[[#This Row],[Number of hours of care charged for in last full accounting year]])</f>
        <v>1.5355020101154195</v>
      </c>
      <c r="LX38" s="30">
        <f>IF(OR(NOT(DATA[[#This Row],[Return on Capital employed]]&gt;0),NOT(DATA[[#This Row],[Number of hours of care charged for in last full accounting year]]&gt;0)),0,DATA[[#This Row],[Return on Capital employed]]/DATA[[#This Row],[Number of hours of care charged for in last full accounting year]])</f>
        <v>0</v>
      </c>
      <c r="LY38" s="31">
        <v>32</v>
      </c>
      <c r="LZ38" s="30" t="s">
        <v>345</v>
      </c>
      <c r="MA38" s="30" t="b">
        <f>DATA[[#This Row],[Number of Home support clients:]]&gt;0</f>
        <v>1</v>
      </c>
      <c r="MB38" s="30" t="b">
        <f>DATA[[#This Row],[Number of supported living clients:]]&gt;0</f>
        <v>1</v>
      </c>
      <c r="MC38" s="30" t="b">
        <f>DATA[[#This Row],[Total Home Support Hours]]&gt;0</f>
        <v>1</v>
      </c>
      <c r="MD38" s="30" t="b">
        <f>DATA[[#This Row],[Total Supported Living Hours]]&gt;0</f>
        <v>1</v>
      </c>
      <c r="ME38" s="30" t="b">
        <f>DATA[[#This Row],[Home Support service split percentage (Expenditure):]]&gt;0.5</f>
        <v>1</v>
      </c>
      <c r="MF38" s="30" t="b">
        <f>DATA[[#This Row],[Agency staff HOURLY RATE]]=0</f>
        <v>1</v>
      </c>
      <c r="MG38"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8" s="30">
        <f>IFERROR(IF(AVERAGE(DATA[[#This Row],[Deputy manager: Current 2021/22 Minimum hourly pay rate ADJUSTED]],DATA[[#This Row],[Deputy manager: Current 2021/22 Maximum hourly pay rate ADJUSTED]])&lt;LIVING_WAGE_22_23,DATA[[#This Row],[Deputy manager: Numbers employed (Full Time Equivalent)]],0),"")</f>
        <v>0</v>
      </c>
      <c r="MI38" s="30" t="str">
        <f>IFERROR(IF(AVERAGE(DATA[[#This Row],[Other manager 1: Current 2021/22 Minimum hourly pay rate ADJUSTED]],DATA[[#This Row],[Other manager 1: Current 2021/22 Maximum hourly pay rate ADJUSTED]])&lt;LIVING_WAGE_22_23,DATA[[#This Row],[Other manager 1: Numbers employed (Full Time Equivalent)]],0),"")</f>
        <v/>
      </c>
      <c r="MJ38" s="30" t="str">
        <f>IFERROR(IF(AVERAGE(DATA[[#This Row],[Other manager 2: Current 2021/22 Minimum hourly pay rate ADJUSTED]],DATA[[#This Row],[Other manager 2: Current 2021/22 Maximum hourly pay rate ADJUSTED]])&lt;LIVING_WAGE_22_23,DATA[[#This Row],[Other manager 2: Numbers employed (Full Time Equivalent)]],0),"")</f>
        <v/>
      </c>
      <c r="MK38" s="30" t="str">
        <f>IFERROR(IF(AVERAGE(DATA[[#This Row],[Other manager 3: Current 2021/22 Minimum hourly pay rate ADJUSTED]],DATA[[#This Row],[Other manager 3: Current 2021/22 Maximum hourly pay rate ADJUSTED]])&lt;LIVING_WAGE_22_23,DATA[[#This Row],[Other manager 3: Numbers employed (Full Time Equivalent)]],0),"")</f>
        <v/>
      </c>
      <c r="ML38" s="30">
        <f>IFERROR(IF(AVERAGE(DATA[[#This Row],[Care Assistant 1: Current 2021/22 Minimum hourly pay rate ADJUSTED]],DATA[[#This Row],[Care Assistant 1: Current 2021/22 Maximum hourly pay rate ADJUSTED]])&lt;LIVING_WAGE_22_23,DATA[[#This Row],[Care Assistant 1: Numbers employed (Full Time Equivalent)]],0),"")</f>
        <v>0</v>
      </c>
      <c r="MM38" s="30" t="str">
        <f>IFERROR(IF(AVERAGE(DATA[[#This Row],[Care Assistant 2: Current 2021/22 Minimum hourly pay rate ADJUSTED]],DATA[[#This Row],[Care Assistant 2: Current 2021/22 Maximum hourly pay rate ADJUSTED]])&lt;LIVING_WAGE_22_23,DATA[[#This Row],[Care Assistant 2: Numbers employed (Full Time Equivalent)]],0),"")</f>
        <v/>
      </c>
      <c r="MN38" s="30" t="str">
        <f>IFERROR(IF(AVERAGE(DATA[[#This Row],[Care Assistant 3: Current 2021/22 Minimum hourly pay rate ADJUSTED]],DATA[[#This Row],[Care Assistant 3: Current 2021/22 Maximum hourly pay rate ADJUSTED]])&lt;LIVING_WAGE_22_23,DATA[[#This Row],[Care Assistant 3: Numbers employed (Full Time Equivalent)]],0),"")</f>
        <v/>
      </c>
      <c r="MO38" s="30" t="str">
        <f>IFERROR(IF(AVERAGE(DATA[[#This Row],[Care Assistant 4: Current 2021/22 Minimum hourly pay rate ADJUSTED]],DATA[[#This Row],[Care Assistant 4: Current 2021/22 Maximum hourly pay rate ADJUSTED]])&lt;LIVING_WAGE_22_23,DATA[[#This Row],[Care Assistant 4: Numbers employed (Full Time Equivalent)]],0),"")</f>
        <v/>
      </c>
      <c r="MP38"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38"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38" s="30" t="str">
        <f>IFERROR(IF(AVERAGE(DATA[[#This Row],[Other staff 1: Current 2021/22 Minimum hourly pay rate ADJUSTED]],DATA[[#This Row],[Other staff 1: Current 2021/22 Maximum hourly pay rate ADJUSTED]])&lt;LIVING_WAGE_22_23,DATA[[#This Row],[Other staff 1: Numbers employed (Full Time Equivalent)]],0),"")</f>
        <v/>
      </c>
      <c r="MS38" s="30" t="str">
        <f>IFERROR(IF(AVERAGE(DATA[[#This Row],[Other staff 2: Current 2021/22 Minimum hourly pay rate ADJUSTED]],DATA[[#This Row],[Other staff 2: Current 2021/22 Maximum hourly pay rate ADJUSTED]])&lt;LIVING_WAGE_22_23,DATA[[#This Row],[Other staff 2: Numbers employed (Full Time Equivalent)]],0),"")</f>
        <v/>
      </c>
      <c r="MT38" s="30" t="str">
        <f>IFERROR(IF(AVERAGE(DATA[[#This Row],[Other staff 3: Current 2021/22 Minimum hourly pay rate ADJUSTED]],DATA[[#This Row],[Other staff 3: Current 2021/22 Maximum hourly pay rate ADJUSTED]])&lt;LIVING_WAGE_22_23,DATA[[#This Row],[Other staff 3: Numbers employed (Full Time Equivalent)]],0),"")</f>
        <v/>
      </c>
      <c r="MU38" s="30">
        <f>SUM(DATA[[#This Row],[Registered Manager FTE earning less than NLW 23yrs 2022/23]:[Other staff 3 FTE earning less than NLW 23yrs 2022/23]])</f>
        <v>0</v>
      </c>
      <c r="MV38"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8"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38"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38"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38"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38"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38"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38"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38"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38"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38"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38"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38"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38"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38" s="30" t="b">
        <v>0</v>
      </c>
      <c r="NK38" s="30" t="b">
        <v>1</v>
      </c>
      <c r="NL38" s="30" t="s">
        <v>972</v>
      </c>
      <c r="NM38" s="30">
        <f>SUM(DATA[[#This Row],[Management staff HOURLY RATE]:[Training and development HOURLY RATE]])</f>
        <v>16.660488652574244</v>
      </c>
      <c r="NN38" s="30">
        <f>SUM(DATA[[#This Row],[Recruitment &amp; advertising (including DBS checks) HOURLY RATE]:[Non-Staffing Direct Cost: Other  - please specify (amount) 2 HOURLY RATE]])</f>
        <v>9.4844455971988068E-2</v>
      </c>
      <c r="NO38" s="30">
        <f>SUM(DATA[[#This Row],[Insurance  HOURLY RATE]:[Indirect costs: Other  - please specify (amount) 2 HOURLY RATE]])</f>
        <v>0.30579955907145639</v>
      </c>
      <c r="NP38" s="30">
        <f>SUM(DATA[[#This Row],[Central / Regional Management HOURLY RATE]:[Corporate Overheads: Other  - please specify (amount) 2 HOURLY RATE]])</f>
        <v>1.7061133445726884</v>
      </c>
      <c r="NQ38"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8" s="30">
        <f>IFERROR(IF(AVERAGE(DATA[[#This Row],[Deputy manager: Current 2021/22 Minimum hourly pay rate ADJUSTED]],DATA[[#This Row],[Deputy manager: Current 2021/22 Maximum hourly pay rate ADJUSTED]])&lt;REAL_LIVING_WAGE_22_23,DATA[[#This Row],[Deputy manager: Numbers employed (Full Time Equivalent)]],0),"")</f>
        <v>0</v>
      </c>
      <c r="NS38" s="30" t="str">
        <f>IFERROR(IF(AVERAGE(DATA[[#This Row],[Other manager 1: Current 2021/22 Minimum hourly pay rate ADJUSTED]],DATA[[#This Row],[Other manager 1: Current 2021/22 Maximum hourly pay rate ADJUSTED]])&lt;REAL_LIVING_WAGE_22_23,DATA[[#This Row],[Other manager 1: Numbers employed (Full Time Equivalent)]],0),"")</f>
        <v/>
      </c>
      <c r="NT38" s="30" t="str">
        <f>IFERROR(IF(AVERAGE(DATA[[#This Row],[Other manager 2: Current 2021/22 Minimum hourly pay rate ADJUSTED]],DATA[[#This Row],[Other manager 2: Current 2021/22 Maximum hourly pay rate ADJUSTED]])&lt;REAL_LIVING_WAGE_22_23,DATA[[#This Row],[Other manager 2: Numbers employed (Full Time Equivalent)]],0),"")</f>
        <v/>
      </c>
      <c r="NU38" s="30" t="str">
        <f>IFERROR(IF(AVERAGE(DATA[[#This Row],[Other manager 3: Current 2021/22 Minimum hourly pay rate ADJUSTED]],DATA[[#This Row],[Other manager 3: Current 2021/22 Maximum hourly pay rate ADJUSTED]])&lt;REAL_LIVING_WAGE_22_23,DATA[[#This Row],[Other manager 3: Numbers employed (Full Time Equivalent)]],0),"")</f>
        <v/>
      </c>
      <c r="NV38" s="30">
        <f>IFERROR(IF(AVERAGE(DATA[[#This Row],[Care Assistant 1: Current 2021/22 Minimum hourly pay rate ADJUSTED]],DATA[[#This Row],[Care Assistant 1: Current 2021/22 Maximum hourly pay rate ADJUSTED]])&lt;REAL_LIVING_WAGE_22_23,DATA[[#This Row],[Care Assistant 1: Numbers employed (Full Time Equivalent)]],0),"")</f>
        <v>25</v>
      </c>
      <c r="NW38"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38"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38"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38"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38"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38" s="30" t="str">
        <f>IFERROR(IF(AVERAGE(DATA[[#This Row],[Other staff 1: Current 2021/22 Minimum hourly pay rate ADJUSTED]],DATA[[#This Row],[Other staff 1: Current 2021/22 Maximum hourly pay rate ADJUSTED]])&lt;REAL_LIVING_WAGE_22_23,DATA[[#This Row],[Other staff 1: Numbers employed (Full Time Equivalent)]],0),"")</f>
        <v/>
      </c>
      <c r="OC38" s="30" t="str">
        <f>IFERROR(IF(AVERAGE(DATA[[#This Row],[Other staff 2: Current 2021/22 Minimum hourly pay rate ADJUSTED]],DATA[[#This Row],[Other staff 2: Current 2021/22 Maximum hourly pay rate ADJUSTED]])&lt;REAL_LIVING_WAGE_22_23,DATA[[#This Row],[Other staff 2: Numbers employed (Full Time Equivalent)]],0),"")</f>
        <v/>
      </c>
      <c r="OD38" s="30" t="str">
        <f>IFERROR(IF(AVERAGE(DATA[[#This Row],[Other staff 3: Current 2021/22 Minimum hourly pay rate ADJUSTED]],DATA[[#This Row],[Other staff 3: Current 2021/22 Maximum hourly pay rate ADJUSTED]])&lt;REAL_LIVING_WAGE_22_23,DATA[[#This Row],[Other staff 3: Numbers employed (Full Time Equivalent)]],0),"")</f>
        <v/>
      </c>
      <c r="OE38" s="30">
        <f>SUM(DATA[[#This Row],[Registered Manager FTE earning less than RLW 23yrs 2022/23]:[Other staff 3 FTE earning less than RLW 23yrs 2022/23]])</f>
        <v>25</v>
      </c>
      <c r="OF38"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8"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38"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38"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38"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38"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10.000000000000009</v>
      </c>
      <c r="OL38"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38"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38"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38"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38"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38"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38"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38"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38" s="30">
        <f>IFERROR(IF(DATA[[#This Row],[Registered manager: Numbers employed (Full Time Equivalent)]]=0,"",DATA[[#This Row],[Registered manager: Current 2021/22 Minimum hourly pay rate ADJUSTED 2]]*DATA[[#This Row],[Registered manager: Numbers employed (Full Time Equivalent)]]),"")</f>
        <v>15.38</v>
      </c>
      <c r="OU38" s="30">
        <f>IFERROR(IF(DATA[[#This Row],[Registered manager: Numbers employed (Full Time Equivalent)]]=0,"",DATA[[#This Row],[Registered manager: Current 2021/22 Maximum hourly pay rate ADJUSTED 2]]*DATA[[#This Row],[Registered manager: Numbers employed (Full Time Equivalent)]]),"")</f>
        <v>16.47</v>
      </c>
      <c r="OV38" s="30">
        <f>IFERROR(IF(DATA[[#This Row],[Registered manager: Numbers employed (Full Time Equivalent)]]=0,"",DATA[[#This Row],[Registered manager: Previous 2020/21 Minimum hourly pay rate ADJUSTED 2]]*DATA[[#This Row],[Registered manager: Numbers employed (Full Time Equivalent)]]),"")</f>
        <v>14.75</v>
      </c>
      <c r="OW38" s="30">
        <f>IFERROR(IF(DATA[[#This Row],[Registered manager: Numbers employed (Full Time Equivalent)]]=0,"",DATA[[#This Row],[Registered manager: Previous 2020/21 Maximum hourly pay rate ADJUSTED 2]]*DATA[[#This Row],[Registered manager: Numbers employed (Full Time Equivalent)]]),"")</f>
        <v>15.8</v>
      </c>
      <c r="OX38" s="30">
        <f>IFERROR(IF(DATA[[#This Row],[Deputy manager: Numbers employed (Full Time Equivalent)]]=0,"",DATA[[#This Row],[Deputy manager: Current 2021/22 Minimum hourly pay rate ADJUSTED 2]]*DATA[[#This Row],[Deputy manager: Numbers employed (Full Time Equivalent)]]),"")</f>
        <v>32.97</v>
      </c>
      <c r="OY38" s="30">
        <f>IFERROR(IF(DATA[[#This Row],[Deputy manager: Numbers employed (Full Time Equivalent)]]=0,"",DATA[[#This Row],[Deputy manager: Current 2021/22 Maximum hourly pay rate ADJUSTED 2]]*DATA[[#This Row],[Deputy manager: Numbers employed (Full Time Equivalent)]]),"")</f>
        <v>32.97</v>
      </c>
      <c r="OZ38" s="30">
        <f>IFERROR(IF(DATA[[#This Row],[Deputy manager: Numbers employed (Full Time Equivalent)]]=0,"",DATA[[#This Row],[Deputy manager: Previous 2020/21 Minimum hourly pay rate ADJUSTED 2]]*DATA[[#This Row],[Deputy manager: Numbers employed (Full Time Equivalent)]]),"")</f>
        <v>32.730000000000004</v>
      </c>
      <c r="PA38" s="30">
        <f>IFERROR(IF(DATA[[#This Row],[Deputy manager: Numbers employed (Full Time Equivalent)]]=0,"",DATA[[#This Row],[Deputy manager: Previous 2020/21 Maximum hourly pay rate ADJUSTED 2]]*DATA[[#This Row],[Deputy manager: Numbers employed (Full Time Equivalent)]]),"")</f>
        <v>32.730000000000004</v>
      </c>
      <c r="PB38" s="30" t="str">
        <f>IFERROR(IF(DATA[[#This Row],[Other manager 1: Numbers employed (Full Time Equivalent)]]=0,"",DATA[[#This Row],[Other manager 1: Current 2021/22 Minimum hourly pay rate ADJUSTED 2]]*DATA[[#This Row],[Other manager 1: Numbers employed (Full Time Equivalent)]]),"")</f>
        <v/>
      </c>
      <c r="PC38" s="30" t="str">
        <f>IFERROR(IF(DATA[[#This Row],[Other manager 1: Numbers employed (Full Time Equivalent)]]=0,"",DATA[[#This Row],[Other manager 1: Current 2021/22 Maximum hourly pay rate ADJUSTED 2]]*DATA[[#This Row],[Other manager 1: Numbers employed (Full Time Equivalent)]]),"")</f>
        <v/>
      </c>
      <c r="PD38" s="30" t="str">
        <f>IFERROR(IF(DATA[[#This Row],[Other manager 1: Numbers employed (Full Time Equivalent)]]=0,"",DATA[[#This Row],[Other manager 1: Previous 2020/21 Minimum hourly pay rate ADJUSTED 2]]*DATA[[#This Row],[Other manager 1: Numbers employed (Full Time Equivalent)]]),"")</f>
        <v/>
      </c>
      <c r="PE38" s="30" t="str">
        <f>IFERROR(IF(DATA[[#This Row],[Other manager 1: Numbers employed (Full Time Equivalent)]]=0,"",DATA[[#This Row],[Other manager 1: Previous 2020/21 Maximum hourly pay rate ADJUSTED 2]]*DATA[[#This Row],[Other manager 1: Numbers employed (Full Time Equivalent)]]),"")</f>
        <v/>
      </c>
      <c r="PF38" s="30" t="str">
        <f>IFERROR(IF(DATA[[#This Row],[Other manager 2: Numbers employed (Full Time Equivalent)]]=0,"",DATA[[#This Row],[Other manager 2: Current 2021/22 Minimum hourly pay rate ADJUSTED 2]]*DATA[[#This Row],[Other manager 2: Numbers employed (Full Time Equivalent)]]),"")</f>
        <v/>
      </c>
      <c r="PG38" s="30" t="str">
        <f>IFERROR(IF(DATA[[#This Row],[Other manager 2: Numbers employed (Full Time Equivalent)]]=0,"",DATA[[#This Row],[Other manager 2: Current 2021/22 Maximum hourly pay rate ADJUSTED 2]]*DATA[[#This Row],[Other manager 2: Numbers employed (Full Time Equivalent)]]),"")</f>
        <v/>
      </c>
      <c r="PH38" s="30" t="str">
        <f>IFERROR(IF(DATA[[#This Row],[Other manager 2: Numbers employed (Full Time Equivalent)]]=0,"",DATA[[#This Row],[Other manager 2: Previous 2020/21 Minimum hourly pay rate ADJUSTED 2]]*DATA[[#This Row],[Other manager 2: Numbers employed (Full Time Equivalent)]]),"")</f>
        <v/>
      </c>
      <c r="PI38" s="30" t="str">
        <f>IFERROR(IF(DATA[[#This Row],[Other manager 2: Numbers employed (Full Time Equivalent)]]=0,"",DATA[[#This Row],[Other manager 2: Previous 2020/21 Maximum hourly pay rate ADJUSTED 2]]*DATA[[#This Row],[Other manager 2: Numbers employed (Full Time Equivalent)]]),"")</f>
        <v/>
      </c>
      <c r="PJ38" s="30" t="str">
        <f>IFERROR(IF(DATA[[#This Row],[Other manager 3: Numbers employed (Full Time Equivalent)]]=0,"",DATA[[#This Row],[Other manager 3: Current 2021/22 Minimum hourly pay rate ADJUSTED 2]]*DATA[[#This Row],[Other manager 3: Numbers employed (Full Time Equivalent)]]),"")</f>
        <v/>
      </c>
      <c r="PK38" s="30" t="str">
        <f>IFERROR(IF(DATA[[#This Row],[Other manager 3: Numbers employed (Full Time Equivalent)]]=0,"",DATA[[#This Row],[Other manager 3: Current 2021/22 Maximum hourly pay rate ADJUSTED 2]]*DATA[[#This Row],[Other manager 3: Numbers employed (Full Time Equivalent)]]),"")</f>
        <v/>
      </c>
      <c r="PL38" s="30" t="str">
        <f>IFERROR(IF(DATA[[#This Row],[Other manager 3: Numbers employed (Full Time Equivalent)]]=0,"",DATA[[#This Row],[Other manager 3: Previous 2020/21 Minimum hourly pay rate ADJUSTED 2]]*DATA[[#This Row],[Other manager 3: Numbers employed (Full Time Equivalent)]]),"")</f>
        <v/>
      </c>
      <c r="PM38" s="30" t="str">
        <f>IFERROR(IF(DATA[[#This Row],[Other manager 3: Numbers employed (Full Time Equivalent)]]=0,"",DATA[[#This Row],[Other manager 3: Previous 2020/21 Maximum hourly pay rate ADJUSTED 2]]*DATA[[#This Row],[Other manager 3: Numbers employed (Full Time Equivalent)]]),"")</f>
        <v/>
      </c>
      <c r="PN38" s="30">
        <f>IFERROR(IF(DATA[[#This Row],[Care Assistant 1: Numbers employed (Full Time Equivalent)]]=0,"",DATA[[#This Row],[Care Assistant 1: Current 2021/22 Minimum hourly pay rate ADJUSTED 2]]*DATA[[#This Row],[Care Assistant 1: Numbers employed (Full Time Equivalent)]]),"")</f>
        <v>237.5</v>
      </c>
      <c r="PO38" s="30">
        <f>IFERROR(IF(DATA[[#This Row],[Care Assistant 1: Numbers employed (Full Time Equivalent)]]=0,"",DATA[[#This Row],[Care Assistant 1: Current 2021/22 Maximum hourly pay rate ADJUSTED 2]]*DATA[[#This Row],[Care Assistant 1: Numbers employed (Full Time Equivalent)]]),"")</f>
        <v>237.5</v>
      </c>
      <c r="PP38" s="30">
        <f>IFERROR(IF(DATA[[#This Row],[Care Assistant 1: Numbers employed (Full Time Equivalent)]]=0,"",DATA[[#This Row],[Care Assistant 1: Previous 2020/21 Minimum hourly pay rate ADJUSTED 2]]*DATA[[#This Row],[Care Assistant 1: Numbers employed (Full Time Equivalent)]]),"")</f>
        <v>232.50000000000003</v>
      </c>
      <c r="PQ38" s="30">
        <f>IFERROR(IF(DATA[[#This Row],[Care Assistant 1: Numbers employed (Full Time Equivalent)]]=0,"",DATA[[#This Row],[Care Assistant 1: Previous 2020/21 Maximum hourly pay rate ADJUSTED 2]]*DATA[[#This Row],[Care Assistant 1: Numbers employed (Full Time Equivalent)]]),"")</f>
        <v>232.50000000000003</v>
      </c>
      <c r="PR38" s="30" t="str">
        <f>IFERROR(IF(DATA[[#This Row],[Care Assistant 2: Numbers employed (Full Time Equivalent)]]=0,"",DATA[[#This Row],[Care Assistant 2: Current 2021/22 Minimum hourly pay rate ADJUSTED 2]]*DATA[[#This Row],[Care Assistant 2: Numbers employed (Full Time Equivalent)]]),"")</f>
        <v/>
      </c>
      <c r="PS38" s="30" t="str">
        <f>IFERROR(IF(DATA[[#This Row],[Care Assistant 2: Numbers employed (Full Time Equivalent)]]=0,"",DATA[[#This Row],[Care Assistant 2: Current 2021/22 Maximum hourly pay rate ADJUSTED 2]]*DATA[[#This Row],[Care Assistant 2: Numbers employed (Full Time Equivalent)]]),"")</f>
        <v/>
      </c>
      <c r="PT38" s="30" t="str">
        <f>IFERROR(IF(DATA[[#This Row],[Care Assistant 2: Numbers employed (Full Time Equivalent)]]=0,"",DATA[[#This Row],[Care Assistant 2: Previous 2020/21 Minimum hourly pay rate ADJUSTED 2]]*DATA[[#This Row],[Care Assistant 2: Numbers employed (Full Time Equivalent)]]),"")</f>
        <v/>
      </c>
      <c r="PU38" s="30" t="str">
        <f>IFERROR(IF(DATA[[#This Row],[Care Assistant 2: Numbers employed (Full Time Equivalent)]]=0,"",DATA[[#This Row],[Care Assistant 2: Previous 2020/21 Maximum hourly pay rate ADJUSTED 2]]*DATA[[#This Row],[Care Assistant 2: Numbers employed (Full Time Equivalent)]]),"")</f>
        <v/>
      </c>
      <c r="PV38" s="30" t="str">
        <f>IFERROR(IF(DATA[[#This Row],[Care Assistant 3: Numbers employed (Full Time Equivalent)]]=0,"",DATA[[#This Row],[Care Assistant 3: Current 2021/22 Minimum hourly pay rate ADJUSTED 2]]*DATA[[#This Row],[Care Assistant 3: Numbers employed (Full Time Equivalent)]]),"")</f>
        <v/>
      </c>
      <c r="PW38" s="30" t="str">
        <f>IFERROR(IF(DATA[[#This Row],[Care Assistant 3: Numbers employed (Full Time Equivalent)]]=0,"",DATA[[#This Row],[Care Assistant 3: Current 2021/22 Maximum hourly pay rate ADJUSTED 2]]*DATA[[#This Row],[Care Assistant 3: Numbers employed (Full Time Equivalent)]]),"")</f>
        <v/>
      </c>
      <c r="PX38" s="30" t="str">
        <f>IFERROR(IF(DATA[[#This Row],[Care Assistant 3: Numbers employed (Full Time Equivalent)]]=0,"",DATA[[#This Row],[Care Assistant 3: Previous 2020/21 Minimum hourly pay rate ADJUSTED 2]]*DATA[[#This Row],[Care Assistant 3: Numbers employed (Full Time Equivalent)]]),"")</f>
        <v/>
      </c>
      <c r="PY38" s="30" t="str">
        <f>IFERROR(IF(DATA[[#This Row],[Care Assistant 3: Numbers employed (Full Time Equivalent)]]=0,"",DATA[[#This Row],[Care Assistant 3: Previous 2020/21 Maximum hourly pay rate ADJUSTED 2]]*DATA[[#This Row],[Care Assistant 3: Numbers employed (Full Time Equivalent)]]),"")</f>
        <v/>
      </c>
      <c r="PZ38" s="30" t="str">
        <f>IFERROR(IF(DATA[[#This Row],[Care Assistant 4: Numbers employed (Full Time Equivalent)]]=0,"",DATA[[#This Row],[Care Assistant 4: Current 2021/22 Minimum hourly pay rate ADJUSTED 2]]*DATA[[#This Row],[Care Assistant 4: Numbers employed (Full Time Equivalent)]]),"")</f>
        <v/>
      </c>
      <c r="QA38" s="30" t="str">
        <f>IFERROR(IF(DATA[[#This Row],[Care Assistant 4: Numbers employed (Full Time Equivalent)]]=0,"",DATA[[#This Row],[Care Assistant 4: Current 2021/22 Maximum hourly pay rate ADJUSTED 2]]*DATA[[#This Row],[Care Assistant 4: Numbers employed (Full Time Equivalent)]]),"")</f>
        <v/>
      </c>
      <c r="QB38" s="30" t="str">
        <f>IFERROR(IF(DATA[[#This Row],[Care Assistant 4: Numbers employed (Full Time Equivalent)]]=0,"",DATA[[#This Row],[Care Assistant 4: Previous 2020/21 Minimum hourly pay rate ADJUSTED 2]]*DATA[[#This Row],[Care Assistant 4: Numbers employed (Full Time Equivalent)]]),"")</f>
        <v/>
      </c>
      <c r="QC38" s="30" t="str">
        <f>IFERROR(IF(DATA[[#This Row],[Care Assistant 4: Numbers employed (Full Time Equivalent)]]=0,"",DATA[[#This Row],[Care Assistant 4: Previous 2020/21 Maximum hourly pay rate ADJUSTED 2]]*DATA[[#This Row],[Care Assistant 4: Numbers employed (Full Time Equivalent)]]),"")</f>
        <v/>
      </c>
      <c r="QD38" s="30" t="str">
        <f>IFERROR(IF(DATA[[#This Row],[Administrative Officer 1: Numbers employed (Full Time Equivalent)]]=0,"",DATA[[#This Row],[Administrative Officer 1: Current 2021/22 Minimum hourly pay rate ADJUSTED 2]]*DATA[[#This Row],[Administrative Officer 1: Numbers employed (Full Time Equivalent)]]),"")</f>
        <v/>
      </c>
      <c r="QE38" s="30" t="str">
        <f>IFERROR(IF(DATA[[#This Row],[Administrative Officer 1: Numbers employed (Full Time Equivalent)]]=0,"",DATA[[#This Row],[Administrative Officer 1: Current 2021/22 Maximum hourly pay rate ADJUSTED 2]]*DATA[[#This Row],[Administrative Officer 1: Numbers employed (Full Time Equivalent)]]),"")</f>
        <v/>
      </c>
      <c r="QF38" s="30" t="str">
        <f>IFERROR(IF(DATA[[#This Row],[Administrative Officer 1: Numbers employed (Full Time Equivalent)]]=0,"",DATA[[#This Row],[Administrative Officer 1: Previous 2020/21 Minimum hourly pay rate ADJUSTED 2]]*DATA[[#This Row],[Administrative Officer 1: Numbers employed (Full Time Equivalent)]]),"")</f>
        <v/>
      </c>
      <c r="QG38" s="30" t="str">
        <f>IFERROR(IF(DATA[[#This Row],[Administrative Officer 1: Numbers employed (Full Time Equivalent)]]=0,"",DATA[[#This Row],[Administrative Officer 1: Previous 2020/21 Maximum hourly pay rate ADJUSTED 2]]*DATA[[#This Row],[Administrative Officer 1: Numbers employed (Full Time Equivalent)]]),"")</f>
        <v/>
      </c>
      <c r="QH38" s="30" t="str">
        <f>IFERROR(IF(DATA[[#This Row],[Administrative Officer 2: Numbers employed (Full Time Equivalent)]]=0,"",DATA[[#This Row],[Administrative Officer 2: Current 2021/22 Minimum hourly pay rate ADJUSTED 2]]*DATA[[#This Row],[Administrative Officer 2: Numbers employed (Full Time Equivalent)]]),"")</f>
        <v/>
      </c>
      <c r="QI38" s="30" t="str">
        <f>IFERROR(IF(DATA[[#This Row],[Administrative Officer 2: Numbers employed (Full Time Equivalent)]]=0,"",DATA[[#This Row],[Administrative Officer 2: Current 2021/22 Maximum hourly pay rate ADJUSTED 2]]*DATA[[#This Row],[Administrative Officer 2: Numbers employed (Full Time Equivalent)]]),"")</f>
        <v/>
      </c>
      <c r="QJ38" s="30" t="str">
        <f>IFERROR(IF(DATA[[#This Row],[Administrative Officer 2: Numbers employed (Full Time Equivalent)]]=0,"",DATA[[#This Row],[Administrative Officer 2: Previous 2020/21 Minimum hourly pay rate ADJUSTED 2]]*DATA[[#This Row],[Administrative Officer 2: Numbers employed (Full Time Equivalent)]]),"")</f>
        <v/>
      </c>
      <c r="QK38" s="30" t="str">
        <f>IFERROR(IF(DATA[[#This Row],[Administrative Officer 2: Numbers employed (Full Time Equivalent)]]=0,"",DATA[[#This Row],[Administrative Officer 2: Previous 2020/21 Maximum hourly pay rate ADJUSTED 2]]*DATA[[#This Row],[Administrative Officer 2: Numbers employed (Full Time Equivalent)]]),"")</f>
        <v/>
      </c>
      <c r="QL38" s="30" t="str">
        <f>IFERROR(IF(DATA[[#This Row],[Administrative Officer 3: Numbers employed (Full Time Equivalent)]]=0,"",DATA[[#This Row],[Administrative Officer 3: Current 2021/22 Minimum hourly pay rate ADJUSTED 2]]*DATA[[#This Row],[Administrative Officer 3: Numbers employed (Full Time Equivalent)]]),"")</f>
        <v/>
      </c>
      <c r="QM38" s="30" t="str">
        <f>IFERROR(IF(DATA[[#This Row],[Administrative Officer 3: Numbers employed (Full Time Equivalent)]]=0,"",DATA[[#This Row],[Administrative Officer 3: Current 2021/22 Maximum hourly pay rate ADJUSTED 2]]*DATA[[#This Row],[Administrative Officer 3: Numbers employed (Full Time Equivalent)]]),"")</f>
        <v/>
      </c>
      <c r="QN38" s="30" t="str">
        <f>IFERROR(IF(DATA[[#This Row],[Administrative Officer 3: Numbers employed (Full Time Equivalent)]]=0,"",DATA[[#This Row],[Administrative Officer 3: Previous 2020/21 Minimum hourly pay rate ADJUSTED 2]]*DATA[[#This Row],[Administrative Officer 3: Numbers employed (Full Time Equivalent)]]),"")</f>
        <v/>
      </c>
      <c r="QO38" s="30" t="str">
        <f>IFERROR(IF(DATA[[#This Row],[Administrative Officer 3: Numbers employed (Full Time Equivalent)]]=0,"",DATA[[#This Row],[Administrative Officer 3: Previous 2020/21 Maximum hourly pay rate ADJUSTED 2]]*DATA[[#This Row],[Administrative Officer 3: Numbers employed (Full Time Equivalent)]]),"")</f>
        <v/>
      </c>
      <c r="QP38" s="28" t="str">
        <f>IFERROR(IF(DATA[[#This Row],[Other staff 1: Numbers employed (Full Time Equivalent)]]=0,"",DATA[[#This Row],[Other staff 1: Current 2021/22 Minimum hourly pay rate ADJUSTED 2]]*DATA[[#This Row],[Other staff 1: Numbers employed (Full Time Equivalent)]]),"")</f>
        <v/>
      </c>
      <c r="QQ38" s="28" t="str">
        <f>IFERROR(IF(DATA[[#This Row],[Other staff 1: Numbers employed (Full Time Equivalent)]]=0,"",DATA[[#This Row],[Other staff 1: Current 2021/22 Maximum hourly pay rate ADJUSTED 2]]*DATA[[#This Row],[Other staff 1: Numbers employed (Full Time Equivalent)]]),"")</f>
        <v/>
      </c>
      <c r="QR38" s="28" t="str">
        <f>IFERROR(IF(DATA[[#This Row],[Other staff 1: Numbers employed (Full Time Equivalent)]]=0,"",DATA[[#This Row],[Other staff 1: Previous 2020/21 Minimum hourly pay rate ADJUSTED 2]]*DATA[[#This Row],[Other staff 1: Numbers employed (Full Time Equivalent)]]),"")</f>
        <v/>
      </c>
      <c r="QS38" s="28" t="str">
        <f>IFERROR(IF(DATA[[#This Row],[Other staff 1: Numbers employed (Full Time Equivalent)]]=0,"",DATA[[#This Row],[Other staff 1: Previous 2020/21 Maximum hourly pay rate ADJUSTED 2]]*DATA[[#This Row],[Other staff 1: Numbers employed (Full Time Equivalent)]]),"")</f>
        <v/>
      </c>
      <c r="QT38" s="28" t="str">
        <f>IFERROR(IF(DATA[[#This Row],[Other staff 2: Numbers employed (Full Time Equivalent)]]=0,"",DATA[[#This Row],[Other staff 2: Current 2021/22 Minimum hourly pay rate ADJUSTED 2]]*DATA[[#This Row],[Other staff 2: Numbers employed (Full Time Equivalent)]]),"")</f>
        <v/>
      </c>
      <c r="QU38" s="28" t="str">
        <f>IFERROR(IF(DATA[[#This Row],[Other staff 2: Numbers employed (Full Time Equivalent)]]=0,"",DATA[[#This Row],[Other staff 2: Current 2021/22 Maximum hourly pay rate ADJUSTED 2]]*DATA[[#This Row],[Other staff 2: Numbers employed (Full Time Equivalent)]]),"")</f>
        <v/>
      </c>
      <c r="QV38" s="28" t="str">
        <f>IFERROR(IF(DATA[[#This Row],[Other staff 2: Numbers employed (Full Time Equivalent)]]=0,"",DATA[[#This Row],[Other staff 2: Previous 2020/21 Minimum hourly pay rate ADJUSTED 2]]*DATA[[#This Row],[Other staff 2: Numbers employed (Full Time Equivalent)]]),"")</f>
        <v/>
      </c>
      <c r="QW38" s="28" t="str">
        <f>IFERROR(IF(DATA[[#This Row],[Other staff 2: Numbers employed (Full Time Equivalent)]]=0,"",DATA[[#This Row],[Other staff 2: Previous 2020/21 Maximum hourly pay rate ADJUSTED 2]]*DATA[[#This Row],[Other staff 2: Numbers employed (Full Time Equivalent)]]),"")</f>
        <v/>
      </c>
      <c r="QX38" s="28" t="str">
        <f>IFERROR(IF(DATA[[#This Row],[Other staff 3: Numbers employed (Full Time Equivalent)]]=0,"",DATA[[#This Row],[Other staff 3: Current 2021/22 Minimum hourly pay rate ADJUSTED 2]]*DATA[[#This Row],[Other staff 3: Numbers employed (Full Time Equivalent)]]),"")</f>
        <v/>
      </c>
      <c r="QY38" s="28" t="str">
        <f>IFERROR(IF(DATA[[#This Row],[Other staff 3: Numbers employed (Full Time Equivalent)]]=0,"",DATA[[#This Row],[Other staff 3: Current 2021/22 Maximum hourly pay rate ADJUSTED 2]]*DATA[[#This Row],[Other staff 3: Numbers employed (Full Time Equivalent)]]),"")</f>
        <v/>
      </c>
      <c r="QZ38" s="28" t="str">
        <f>IFERROR(IF(DATA[[#This Row],[Other staff 3: Numbers employed (Full Time Equivalent)]]=0,"",DATA[[#This Row],[Other staff 3: Previous 2020/21 Minimum hourly pay rate ADJUSTED 2]]*DATA[[#This Row],[Other staff 3: Numbers employed (Full Time Equivalent)]]),"")</f>
        <v/>
      </c>
      <c r="RA38" s="28" t="str">
        <f>IFERROR(IF(DATA[[#This Row],[Other staff 3: Numbers employed (Full Time Equivalent)]]=0,"",DATA[[#This Row],[Other staff 3: Previous 2020/21 Maximum hourly pay rate ADJUSTED 2]]*DATA[[#This Row],[Other staff 3: Numbers employed (Full Time Equivalent)]]),"")</f>
        <v/>
      </c>
      <c r="RB38"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38"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3</v>
      </c>
      <c r="RD38"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38"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38"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38"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25</v>
      </c>
      <c r="RH38"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38"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38"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38"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38"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38"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38"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38"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38"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39" spans="7:484" x14ac:dyDescent="0.25">
      <c r="G39" s="2">
        <v>33</v>
      </c>
      <c r="H39" s="2">
        <v>40</v>
      </c>
      <c r="I39" s="2">
        <v>0</v>
      </c>
      <c r="J39" s="2">
        <v>1</v>
      </c>
      <c r="K39" s="2">
        <v>0</v>
      </c>
      <c r="L39" s="2" t="s">
        <v>240</v>
      </c>
      <c r="M39" s="2" t="s">
        <v>365</v>
      </c>
      <c r="R39" s="2">
        <v>19.71</v>
      </c>
      <c r="S39" s="2">
        <v>22.52</v>
      </c>
      <c r="T39" s="2">
        <v>17.45</v>
      </c>
      <c r="U39" s="2">
        <v>20.27</v>
      </c>
      <c r="V39" s="2">
        <v>2</v>
      </c>
      <c r="W39" s="2">
        <v>12.39</v>
      </c>
      <c r="X39" s="2">
        <v>15.2</v>
      </c>
      <c r="Y39" s="2">
        <v>11.26</v>
      </c>
      <c r="Z39" s="2">
        <v>14.08</v>
      </c>
      <c r="AA39" s="2">
        <v>1</v>
      </c>
      <c r="AB39" s="2" t="s">
        <v>471</v>
      </c>
      <c r="AC39" s="2">
        <v>13.51</v>
      </c>
      <c r="AD39" s="2">
        <v>16.329999999999998</v>
      </c>
      <c r="AE39" s="2">
        <v>12.39</v>
      </c>
      <c r="AF39" s="2">
        <v>15.2</v>
      </c>
      <c r="AG39" s="2">
        <v>1</v>
      </c>
      <c r="AH39" s="2" t="s">
        <v>472</v>
      </c>
      <c r="AI39" s="2">
        <v>12.38</v>
      </c>
      <c r="AJ39" s="2">
        <v>15.2</v>
      </c>
      <c r="AK39" s="2">
        <v>11.26</v>
      </c>
      <c r="AL39" s="2">
        <v>14.08</v>
      </c>
      <c r="AM39" s="2">
        <v>1</v>
      </c>
      <c r="AN39" s="2" t="s">
        <v>473</v>
      </c>
      <c r="AO39" s="2">
        <v>14.08</v>
      </c>
      <c r="AP39" s="2">
        <v>16.89</v>
      </c>
      <c r="AQ39" s="2">
        <v>12.39</v>
      </c>
      <c r="AR39" s="2">
        <v>15.2</v>
      </c>
      <c r="AS39" s="2">
        <v>1</v>
      </c>
      <c r="AT39" s="2" t="s">
        <v>474</v>
      </c>
      <c r="AU39" s="2">
        <v>8.91</v>
      </c>
      <c r="AV39" s="2">
        <v>10</v>
      </c>
      <c r="AW39" s="2">
        <v>8.7200000000000006</v>
      </c>
      <c r="AX39" s="2">
        <v>9.75</v>
      </c>
      <c r="AY39" s="2">
        <v>60</v>
      </c>
      <c r="AZ39" s="2" t="s">
        <v>475</v>
      </c>
      <c r="BA39" s="2">
        <v>9.3000000000000007</v>
      </c>
      <c r="BB39" s="2">
        <v>10.5</v>
      </c>
      <c r="BC39" s="2">
        <v>9.1</v>
      </c>
      <c r="BD39" s="2">
        <v>10.25</v>
      </c>
      <c r="BE39" s="2">
        <v>20</v>
      </c>
      <c r="BF39" s="2" t="s">
        <v>476</v>
      </c>
      <c r="BG39" s="2">
        <v>0</v>
      </c>
      <c r="BH39" s="2">
        <v>0</v>
      </c>
      <c r="BI39" s="2">
        <v>0</v>
      </c>
      <c r="BJ39" s="2">
        <v>0</v>
      </c>
      <c r="BK39" s="2">
        <v>10</v>
      </c>
      <c r="BL39" s="2" t="s">
        <v>477</v>
      </c>
      <c r="BM39" s="2">
        <v>9.5</v>
      </c>
      <c r="BN39" s="2">
        <v>11.35</v>
      </c>
      <c r="BO39" s="2">
        <v>9.35</v>
      </c>
      <c r="BP39" s="2">
        <v>10.8</v>
      </c>
      <c r="BQ39" s="2">
        <v>25</v>
      </c>
      <c r="BR39" s="2" t="s">
        <v>478</v>
      </c>
      <c r="BS39" s="2">
        <v>8.91</v>
      </c>
      <c r="BT39" s="2">
        <v>9.3000000000000007</v>
      </c>
      <c r="BU39" s="2">
        <v>8.7200000000000006</v>
      </c>
      <c r="BV39" s="2">
        <v>9.1</v>
      </c>
      <c r="BW39" s="2">
        <v>3</v>
      </c>
      <c r="BX39" s="2" t="s">
        <v>479</v>
      </c>
      <c r="BY39" s="2">
        <v>8.91</v>
      </c>
      <c r="BZ39" s="2">
        <v>9.3000000000000007</v>
      </c>
      <c r="CA39" s="2">
        <v>8.7200000000000006</v>
      </c>
      <c r="CB39" s="2">
        <v>9.1</v>
      </c>
      <c r="CC39" s="2">
        <v>2</v>
      </c>
      <c r="CD39" s="2" t="s">
        <v>480</v>
      </c>
      <c r="CE39" s="2">
        <v>4.3</v>
      </c>
      <c r="CF39" s="2">
        <v>8.36</v>
      </c>
      <c r="CG39" s="2">
        <v>4.1500000000000004</v>
      </c>
      <c r="CH39" s="2">
        <v>8.1999999999999993</v>
      </c>
      <c r="CI39" s="2">
        <v>2</v>
      </c>
      <c r="CJ39" s="2" t="s">
        <v>481</v>
      </c>
      <c r="CK39" s="2">
        <v>9.25</v>
      </c>
      <c r="CL39" s="2">
        <v>10</v>
      </c>
      <c r="CM39" s="2">
        <v>9.1</v>
      </c>
      <c r="CN39" s="2">
        <v>9.75</v>
      </c>
      <c r="CO39" s="2">
        <v>2</v>
      </c>
      <c r="CP39" s="2" t="s">
        <v>482</v>
      </c>
      <c r="CQ39" s="2">
        <v>9.1</v>
      </c>
      <c r="CR39" s="2">
        <v>9.65</v>
      </c>
      <c r="CS39" s="2">
        <v>9</v>
      </c>
      <c r="CT39" s="2">
        <v>9.4</v>
      </c>
      <c r="CU39" s="2">
        <v>6</v>
      </c>
      <c r="CV39" s="2" t="s">
        <v>483</v>
      </c>
      <c r="CW39" s="2">
        <v>9.1</v>
      </c>
      <c r="CX39" s="2">
        <v>9.4499999999999993</v>
      </c>
      <c r="CY39" s="2">
        <v>9</v>
      </c>
      <c r="CZ39" s="2">
        <v>9.25</v>
      </c>
      <c r="DA39" s="2">
        <v>0</v>
      </c>
      <c r="DB39" s="2">
        <v>0.03</v>
      </c>
      <c r="DC39" s="2">
        <v>137</v>
      </c>
      <c r="DD39" s="2">
        <v>67</v>
      </c>
      <c r="DE39" s="2">
        <v>1257.5</v>
      </c>
      <c r="DF39" s="2">
        <v>0</v>
      </c>
      <c r="DG39" s="2">
        <v>176.5</v>
      </c>
      <c r="DH39" s="2">
        <v>370.5</v>
      </c>
      <c r="DI39" s="2">
        <v>0</v>
      </c>
      <c r="DJ39" s="2">
        <v>0</v>
      </c>
      <c r="DK39" s="2">
        <v>0</v>
      </c>
      <c r="DL39" s="2">
        <v>0</v>
      </c>
      <c r="DM39" s="2">
        <v>0</v>
      </c>
      <c r="DN39" s="2">
        <v>0</v>
      </c>
      <c r="DO39" s="2">
        <v>15.58</v>
      </c>
      <c r="DP39" s="2">
        <v>17.5</v>
      </c>
      <c r="DQ39" s="2">
        <v>15.2</v>
      </c>
      <c r="DR39" s="18">
        <v>43586</v>
      </c>
      <c r="DS39" s="18">
        <v>43951</v>
      </c>
      <c r="DT39" s="2">
        <v>84000</v>
      </c>
      <c r="DU39" s="2">
        <v>110000</v>
      </c>
      <c r="DV39" s="2">
        <v>491156</v>
      </c>
      <c r="DW39" s="2">
        <v>27101</v>
      </c>
      <c r="DX39" s="2">
        <v>0</v>
      </c>
      <c r="DY39" s="2">
        <v>0</v>
      </c>
      <c r="DZ39" s="2">
        <v>26171</v>
      </c>
      <c r="EA39" s="2">
        <v>0</v>
      </c>
      <c r="EB39" s="2">
        <v>0</v>
      </c>
      <c r="EC39" s="2">
        <v>1800</v>
      </c>
      <c r="ED39" s="2">
        <v>9272</v>
      </c>
      <c r="EE39" s="2">
        <v>5626</v>
      </c>
      <c r="EF39" s="2">
        <v>2226</v>
      </c>
      <c r="EG39" s="2">
        <v>5959</v>
      </c>
      <c r="EH39" s="2" t="s">
        <v>484</v>
      </c>
      <c r="EI39" s="2">
        <v>2226</v>
      </c>
      <c r="EJ39" s="2" t="s">
        <v>324</v>
      </c>
      <c r="EK39" s="2">
        <v>0</v>
      </c>
      <c r="EL39" s="2">
        <v>4452</v>
      </c>
      <c r="EM39" s="2">
        <v>2400</v>
      </c>
      <c r="EN39" s="2">
        <v>2722</v>
      </c>
      <c r="EO39" s="2">
        <v>6260</v>
      </c>
      <c r="EP39" s="2">
        <v>2139</v>
      </c>
      <c r="EQ39" s="2">
        <v>2139</v>
      </c>
      <c r="ER39" s="2">
        <v>740</v>
      </c>
      <c r="ES39" s="2">
        <v>2400</v>
      </c>
      <c r="ET39" s="2" t="s">
        <v>324</v>
      </c>
      <c r="EU39" s="2">
        <v>0</v>
      </c>
      <c r="EV39" s="2" t="s">
        <v>324</v>
      </c>
      <c r="EW39" s="2">
        <v>0</v>
      </c>
      <c r="EX39" s="2">
        <v>0</v>
      </c>
      <c r="EY39" s="2">
        <v>2290</v>
      </c>
      <c r="EZ39" s="2" t="s">
        <v>326</v>
      </c>
      <c r="FA39" s="2">
        <v>0</v>
      </c>
      <c r="FB39" s="2" t="s">
        <v>326</v>
      </c>
      <c r="FC39" s="2">
        <v>0</v>
      </c>
      <c r="FD39" s="2">
        <v>208573</v>
      </c>
      <c r="FE39" s="2">
        <v>0</v>
      </c>
      <c r="FF39" s="2">
        <v>35000</v>
      </c>
      <c r="FG39" s="2"/>
      <c r="FH39" s="19">
        <v>44480.624293981484</v>
      </c>
      <c r="FI39" s="2" t="s">
        <v>345</v>
      </c>
      <c r="FJ39" s="2">
        <f>SUM(DATA[[#This Row],[Number of Home support clients:]],DATA[[#This Row],[Number of supported living clients:]])</f>
        <v>40</v>
      </c>
      <c r="FK39"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31-40</v>
      </c>
      <c r="FL39"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19.71</v>
      </c>
      <c r="FM39"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22.52</v>
      </c>
      <c r="FN39"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17.45</v>
      </c>
      <c r="FO39"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20.27</v>
      </c>
      <c r="FP39"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12.39</v>
      </c>
      <c r="FQ39"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15.2</v>
      </c>
      <c r="FR39"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11.26</v>
      </c>
      <c r="FS39"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14.08</v>
      </c>
      <c r="FT39"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13.51</v>
      </c>
      <c r="FU39"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16.329999999999998</v>
      </c>
      <c r="FV39"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12.39</v>
      </c>
      <c r="FW39"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15.2</v>
      </c>
      <c r="FX39"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12.38</v>
      </c>
      <c r="FY39"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15.2</v>
      </c>
      <c r="FZ39"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11.26</v>
      </c>
      <c r="GA39"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14.08</v>
      </c>
      <c r="GB39"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14.08</v>
      </c>
      <c r="GC39"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16.89</v>
      </c>
      <c r="GD39"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12.39</v>
      </c>
      <c r="GE39"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15.2</v>
      </c>
      <c r="GF39"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39"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v>
      </c>
      <c r="GH39"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39"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9.75</v>
      </c>
      <c r="GJ39"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9.3000000000000007</v>
      </c>
      <c r="GK39"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10.5</v>
      </c>
      <c r="GL39"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9.1</v>
      </c>
      <c r="GM39"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10.25</v>
      </c>
      <c r="GN39"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39"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39"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39"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39"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9.5</v>
      </c>
      <c r="GS39"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11.35</v>
      </c>
      <c r="GT39"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9.35</v>
      </c>
      <c r="GU39"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10.8</v>
      </c>
      <c r="GV39"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8.91</v>
      </c>
      <c r="GW39"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9.3000000000000007</v>
      </c>
      <c r="GX39"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8.7200000000000006</v>
      </c>
      <c r="GY39"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9.1</v>
      </c>
      <c r="GZ39"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8.91</v>
      </c>
      <c r="HA39"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9.3000000000000007</v>
      </c>
      <c r="HB39"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8.7200000000000006</v>
      </c>
      <c r="HC39"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9.1</v>
      </c>
      <c r="HD39"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4.3</v>
      </c>
      <c r="HE39"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8.36</v>
      </c>
      <c r="HF39" s="2">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4.1500000000000004</v>
      </c>
      <c r="HG39" s="2">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8.1999999999999993</v>
      </c>
      <c r="HH39"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9.25</v>
      </c>
      <c r="HI39"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10</v>
      </c>
      <c r="HJ39"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9.1</v>
      </c>
      <c r="HK39"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9.75</v>
      </c>
      <c r="HL39"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9.1</v>
      </c>
      <c r="HM39"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9.65</v>
      </c>
      <c r="HN39" s="2">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9</v>
      </c>
      <c r="HO39" s="2">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9.4</v>
      </c>
      <c r="HP39" s="2">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9.1</v>
      </c>
      <c r="HQ39" s="2">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9.4499999999999993</v>
      </c>
      <c r="HR39" s="2">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9</v>
      </c>
      <c r="HS39" s="2">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9.25</v>
      </c>
      <c r="HT39"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19.71</v>
      </c>
      <c r="HU39"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22.52</v>
      </c>
      <c r="HV39"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17.45</v>
      </c>
      <c r="HW39"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20.27</v>
      </c>
      <c r="HX39"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12.39</v>
      </c>
      <c r="HY39"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15.2</v>
      </c>
      <c r="HZ39"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11.26</v>
      </c>
      <c r="IA39"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14.08</v>
      </c>
      <c r="IB39"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13.51</v>
      </c>
      <c r="IC39"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16.329999999999998</v>
      </c>
      <c r="ID39"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12.39</v>
      </c>
      <c r="IE39"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15.2</v>
      </c>
      <c r="IF39"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12.38</v>
      </c>
      <c r="IG39"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15.2</v>
      </c>
      <c r="IH39"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11.26</v>
      </c>
      <c r="II39"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14.08</v>
      </c>
      <c r="IJ39"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14.08</v>
      </c>
      <c r="IK39"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16.89</v>
      </c>
      <c r="IL39"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12.39</v>
      </c>
      <c r="IM39"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15.2</v>
      </c>
      <c r="IN39"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39"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v>
      </c>
      <c r="IP39"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39"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9.75</v>
      </c>
      <c r="IR39"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9.3000000000000007</v>
      </c>
      <c r="IS39"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10.5</v>
      </c>
      <c r="IT39"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9.1</v>
      </c>
      <c r="IU39"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10.25</v>
      </c>
      <c r="IV39"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39"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39"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39"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39"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9.5</v>
      </c>
      <c r="JA39"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11.35</v>
      </c>
      <c r="JB39"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9.35</v>
      </c>
      <c r="JC39"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10.8</v>
      </c>
      <c r="JD39"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8.91</v>
      </c>
      <c r="JE39"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9.3000000000000007</v>
      </c>
      <c r="JF39"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8.7200000000000006</v>
      </c>
      <c r="JG39"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9.1</v>
      </c>
      <c r="JH39"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8.91</v>
      </c>
      <c r="JI39"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9.3000000000000007</v>
      </c>
      <c r="JJ39"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8.7200000000000006</v>
      </c>
      <c r="JK39"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9.1</v>
      </c>
      <c r="JL39"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4.3</v>
      </c>
      <c r="JM39"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8.36</v>
      </c>
      <c r="JN39"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4.1500000000000004</v>
      </c>
      <c r="JO39"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8.1999999999999993</v>
      </c>
      <c r="JP39"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9.25</v>
      </c>
      <c r="JQ39"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10</v>
      </c>
      <c r="JR39"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9.1</v>
      </c>
      <c r="JS39"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9.75</v>
      </c>
      <c r="JT39"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9.1</v>
      </c>
      <c r="JU39"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9.65</v>
      </c>
      <c r="JV39"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9</v>
      </c>
      <c r="JW39"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9.4</v>
      </c>
      <c r="JX39" s="2">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9.1</v>
      </c>
      <c r="JY39" s="2">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9.4499999999999993</v>
      </c>
      <c r="JZ39" s="2">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9</v>
      </c>
      <c r="KA39" s="2">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9.25</v>
      </c>
      <c r="KB39"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6</v>
      </c>
      <c r="KC39" s="21">
        <f>SUM(DATA[[#This Row],[Care Assistant 1: Numbers employed (Full Time Equivalent)]],DATA[[#This Row],[Care Assistant 2: Numbers employed (Full Time Equivalent)]],DATA[[#This Row],[Care Assistant 3: Numbers employed (Full Time Equivalent)]],DATA[[#This Row],[Care Assistant 4: Numbers employed (Full Time Equivalent)]])</f>
        <v>115</v>
      </c>
      <c r="KD39" s="21">
        <f>SUM(DATA[[#This Row],[Administrative Officer 1: Numbers employed (Full Time Equivalent)]],DATA[[#This Row],[Administrative Officer 2: Numbers employed (Full Time Equivalent)]])</f>
        <v>5</v>
      </c>
      <c r="KE39" s="21">
        <f>SUM(DATA[[#This Row],[Other staff 1: Numbers employed (Full Time Equivalent)]],DATA[[#This Row],[Other staff 2: Numbers employed (Full Time Equivalent)]],DATA[[#This Row],[Other staff 3: Numbers employed (Full Time Equivalent)]])</f>
        <v>8</v>
      </c>
      <c r="KF39" s="21">
        <f>SUM(DATA[[#This Row],[Total FTE Management Employees]:[Total FTE Other Employees]])</f>
        <v>134</v>
      </c>
      <c r="KG39" s="21" t="str">
        <f>IF(SUM(DATA[[#This Row],[Home Support service split percentage (Expenditure):]],DATA[[#This Row],[Supported Living service split percentage (Expenditure):]])&gt;0, IF(DATA[[#This Row],[Home Support service split percentage (Expenditure):]]&gt;0.5,"Home Support","Supported Living"), "Unknown")</f>
        <v>Home Support</v>
      </c>
      <c r="KH39" s="21">
        <f>SUM(DATA[[#This Row],[Home Support: Birmingham City Council]:[Home Support: Self-funded]])</f>
        <v>2008.5</v>
      </c>
      <c r="KI39" s="21">
        <f>SUM(DATA[[#This Row],[Supported Living: Birmingham City Council]:[Supported Living: Self-funded]])</f>
        <v>0</v>
      </c>
      <c r="KJ39"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82.2</v>
      </c>
      <c r="KK39"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99.1</v>
      </c>
      <c r="KL39"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91.78</v>
      </c>
      <c r="KM39"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108.66</v>
      </c>
      <c r="KN39" s="21" t="b">
        <f>SUM(DATA[[#This Row],[Number of hours of care charged for in last full accounting year]:[Corporate Overheads: Other  - please specify (category) 1]])&gt;0</f>
        <v>1</v>
      </c>
      <c r="KO39" s="21">
        <f>SUM(DATA[[#This Row],[Total annual expenditure: Management staff]:[Total annual expenditure: Training and development]])</f>
        <v>654428</v>
      </c>
      <c r="KP39" s="21">
        <f>SUM(DATA[[#This Row],[Recruitment &amp; advertising (including DBS checks)]:[Non-Staffing Direct Cost: Other  - please specify (amount) 2]])</f>
        <v>27109</v>
      </c>
      <c r="KQ39" s="21">
        <f>SUM(DATA[[#This Row],[Insurance ]:[Indirect costs: Other 2 - please specify (amount)]])</f>
        <v>23252</v>
      </c>
      <c r="KR39" s="21">
        <f>SUM(DATA[[#This Row],[Central / Regional Management]],DATA[[#This Row],[Support Services (finance / HR / Payroll / legal etc.)]],DATA[[#This Row],[Corporate Overheads: Other  - please specify (amount) 1]],DATA[[#This Row],[Corporate Overheads: Other  - please specify (amount) 2]])</f>
        <v>2290</v>
      </c>
      <c r="KS39"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1.3095238095238095</v>
      </c>
      <c r="KT39"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5.8470952380952381</v>
      </c>
      <c r="KU39"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0.32263095238095241</v>
      </c>
      <c r="KV39"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39"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39" s="30">
        <f>IF(OR(NOT(DATA[[#This Row],[Total annual expenditure: Travel Cost]]&gt;0),NOT(DATA[[#This Row],[Number of hours of care charged for in last full accounting year]]&gt;0)),0,DATA[[#This Row],[Total annual expenditure: Travel Cost]]/DATA[[#This Row],[Number of hours of care charged for in last full accounting year]])</f>
        <v>0.31155952380952379</v>
      </c>
      <c r="KY39"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39"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39"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2.1428571428571429E-2</v>
      </c>
      <c r="LB39"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0.11038095238095239</v>
      </c>
      <c r="LC39" s="30">
        <f>IF(OR(NOT(DATA[[#This Row],[Care consumables &amp; uniforms]]&gt;0),NOT(DATA[[#This Row],[Number of hours of care charged for in last full accounting year]]&gt;0)),0,DATA[[#This Row],[Care consumables &amp; uniforms]]/DATA[[#This Row],[Number of hours of care charged for in last full accounting year]])</f>
        <v>6.6976190476190481E-2</v>
      </c>
      <c r="LD39" s="30">
        <f>IF(OR(NOT(DATA[[#This Row],[Electronic call monitoring]]&gt;0),NOT(DATA[[#This Row],[Number of hours of care charged for in last full accounting year]]&gt;0)),0,DATA[[#This Row],[Electronic call monitoring]]/DATA[[#This Row],[Number of hours of care charged for in last full accounting year]])</f>
        <v>2.6499999999999999E-2</v>
      </c>
      <c r="LE39" s="30">
        <f>IF(OR(NOT(DATA[[#This Row],[IT Equipment &amp; Telephoney]]&gt;0),NOT(DATA[[#This Row],[Number of hours of care charged for in last full accounting year]]&gt;0)),0,DATA[[#This Row],[IT Equipment &amp; Telephoney]]/DATA[[#This Row],[Number of hours of care charged for in last full accounting year]])</f>
        <v>7.0940476190476193E-2</v>
      </c>
      <c r="LF39"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2.6499999999999999E-2</v>
      </c>
      <c r="LG39"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39" s="30">
        <f>IF(OR(NOT(DATA[[#This Row],[Insurance ]]&gt;0),NOT(DATA[[#This Row],[Number of hours of care charged for in last full accounting year]]&gt;0)),0,DATA[[#This Row],[Insurance ]]/DATA[[#This Row],[Number of hours of care charged for in last full accounting year]])</f>
        <v>5.2999999999999999E-2</v>
      </c>
      <c r="LI39"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2.8571428571428571E-2</v>
      </c>
      <c r="LJ39" s="30">
        <f>IF(OR(NOT(DATA[[#This Row],[Repairs and maintenance]]&gt;0),NOT(DATA[[#This Row],[Number of hours of care charged for in last full accounting year]]&gt;0)),0,DATA[[#This Row],[Repairs and maintenance]]/DATA[[#This Row],[Number of hours of care charged for in last full accounting year]])</f>
        <v>3.2404761904761901E-2</v>
      </c>
      <c r="LK39"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7.452380952380952E-2</v>
      </c>
      <c r="LL39" s="30">
        <f>IF(OR(NOT(DATA[[#This Row],[Registration &amp; Inspection fees ]]&gt;0),NOT(DATA[[#This Row],[Number of hours of care charged for in last full accounting year]]&gt;0)),0,DATA[[#This Row],[Registration &amp; Inspection fees ]]/DATA[[#This Row],[Number of hours of care charged for in last full accounting year]])</f>
        <v>2.5464285714285714E-2</v>
      </c>
      <c r="LM39" s="30">
        <f>IF(OR(NOT(DATA[[#This Row],[Subscriptions]]&gt;0),NOT(DATA[[#This Row],[Number of hours of care charged for in last full accounting year]]&gt;0)),0,DATA[[#This Row],[Subscriptions]]/DATA[[#This Row],[Number of hours of care charged for in last full accounting year]])</f>
        <v>2.5464285714285714E-2</v>
      </c>
      <c r="LN39" s="30">
        <f>IF(OR(NOT(DATA[[#This Row],[Cost of finance]]&gt;0),NOT(DATA[[#This Row],[Number of hours of care charged for in last full accounting year]]&gt;0)),0,DATA[[#This Row],[Cost of finance]]/DATA[[#This Row],[Number of hours of care charged for in last full accounting year]])</f>
        <v>8.8095238095238088E-3</v>
      </c>
      <c r="LO39" s="30">
        <f>IF(OR(NOT(DATA[[#This Row],[Other non-staff current expenses]]&gt;0),NOT(DATA[[#This Row],[Number of hours of care charged for in last full accounting year]]&gt;0)),0,DATA[[#This Row],[Other non-staff current expenses]]/DATA[[#This Row],[Number of hours of care charged for in last full accounting year]])</f>
        <v>2.8571428571428571E-2</v>
      </c>
      <c r="LP39"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39"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39" s="30">
        <f>IF(OR(NOT(DATA[[#This Row],[Central / Regional Management]]&gt;0),NOT(DATA[[#This Row],[Number of hours of care charged for in last full accounting year]]&gt;0)),0,DATA[[#This Row],[Central / Regional Management]]/DATA[[#This Row],[Number of hours of care charged for in last full accounting year]])</f>
        <v>0</v>
      </c>
      <c r="LS39"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2.7261904761904762E-2</v>
      </c>
      <c r="LT39"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39"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39" s="30">
        <f>SUM(DATA[[#This Row],[Management staff HOURLY RATE]:[Corporate Overheads: Other  - please specify (amount) 2 HOURLY RATE]])</f>
        <v>8.4176071428571415</v>
      </c>
      <c r="LW39" s="30">
        <f>IF(OR(NOT(DATA[[#This Row],[Net Operating Profit]]&gt;0),NOT(DATA[[#This Row],[Number of hours of care charged for in last full accounting year]]&gt;0)),"",DATA[[#This Row],[Net Operating Profit]]/DATA[[#This Row],[Number of hours of care charged for in last full accounting year]])</f>
        <v>2.4830119047619048</v>
      </c>
      <c r="LX39" s="30">
        <f>IF(OR(NOT(DATA[[#This Row],[Return on Capital employed]]&gt;0),NOT(DATA[[#This Row],[Number of hours of care charged for in last full accounting year]]&gt;0)),0,DATA[[#This Row],[Return on Capital employed]]/DATA[[#This Row],[Number of hours of care charged for in last full accounting year]])</f>
        <v>0</v>
      </c>
      <c r="LY39" s="31">
        <v>33</v>
      </c>
      <c r="LZ39" s="30" t="s">
        <v>345</v>
      </c>
      <c r="MA39" s="30" t="b">
        <f>DATA[[#This Row],[Number of Home support clients:]]&gt;0</f>
        <v>1</v>
      </c>
      <c r="MB39" s="30" t="b">
        <f>DATA[[#This Row],[Number of supported living clients:]]&gt;0</f>
        <v>0</v>
      </c>
      <c r="MC39" s="30" t="b">
        <f>DATA[[#This Row],[Total Home Support Hours]]&gt;0</f>
        <v>1</v>
      </c>
      <c r="MD39" s="30" t="b">
        <f>DATA[[#This Row],[Total Supported Living Hours]]&gt;0</f>
        <v>0</v>
      </c>
      <c r="ME39" s="30" t="b">
        <f>DATA[[#This Row],[Home Support service split percentage (Expenditure):]]&gt;0.5</f>
        <v>1</v>
      </c>
      <c r="MF39" s="30" t="b">
        <f>DATA[[#This Row],[Agency staff HOURLY RATE]]=0</f>
        <v>1</v>
      </c>
      <c r="MG39" s="30">
        <f>IFERROR(IF(AVERAGE(DATA[[#This Row],[Registered manager: Current 2021/22 Minimum hourly pay rate ADJUSTED]],DATA[[#This Row],[Registered manager: Current 2021/22 Maximum hourly pay rate ADJUSTED]])&lt;LIVING_WAGE_22_23,DATA[[#This Row],[Registered manager: Numbers employed (Full Time Equivalent)]],0),"")</f>
        <v>0</v>
      </c>
      <c r="MH39" s="30">
        <f>IFERROR(IF(AVERAGE(DATA[[#This Row],[Deputy manager: Current 2021/22 Minimum hourly pay rate ADJUSTED]],DATA[[#This Row],[Deputy manager: Current 2021/22 Maximum hourly pay rate ADJUSTED]])&lt;LIVING_WAGE_22_23,DATA[[#This Row],[Deputy manager: Numbers employed (Full Time Equivalent)]],0),"")</f>
        <v>0</v>
      </c>
      <c r="MI39" s="30">
        <f>IFERROR(IF(AVERAGE(DATA[[#This Row],[Other manager 1: Current 2021/22 Minimum hourly pay rate ADJUSTED]],DATA[[#This Row],[Other manager 1: Current 2021/22 Maximum hourly pay rate ADJUSTED]])&lt;LIVING_WAGE_22_23,DATA[[#This Row],[Other manager 1: Numbers employed (Full Time Equivalent)]],0),"")</f>
        <v>0</v>
      </c>
      <c r="MJ39" s="30">
        <f>IFERROR(IF(AVERAGE(DATA[[#This Row],[Other manager 2: Current 2021/22 Minimum hourly pay rate ADJUSTED]],DATA[[#This Row],[Other manager 2: Current 2021/22 Maximum hourly pay rate ADJUSTED]])&lt;LIVING_WAGE_22_23,DATA[[#This Row],[Other manager 2: Numbers employed (Full Time Equivalent)]],0),"")</f>
        <v>0</v>
      </c>
      <c r="MK39" s="30">
        <f>IFERROR(IF(AVERAGE(DATA[[#This Row],[Other manager 3: Current 2021/22 Minimum hourly pay rate ADJUSTED]],DATA[[#This Row],[Other manager 3: Current 2021/22 Maximum hourly pay rate ADJUSTED]])&lt;LIVING_WAGE_22_23,DATA[[#This Row],[Other manager 3: Numbers employed (Full Time Equivalent)]],0),"")</f>
        <v>0</v>
      </c>
      <c r="ML39" s="30">
        <f>IFERROR(IF(AVERAGE(DATA[[#This Row],[Care Assistant 1: Current 2021/22 Minimum hourly pay rate ADJUSTED]],DATA[[#This Row],[Care Assistant 1: Current 2021/22 Maximum hourly pay rate ADJUSTED]])&lt;LIVING_WAGE_22_23,DATA[[#This Row],[Care Assistant 1: Numbers employed (Full Time Equivalent)]],0),"")</f>
        <v>60</v>
      </c>
      <c r="MM39" s="30">
        <f>IFERROR(IF(AVERAGE(DATA[[#This Row],[Care Assistant 2: Current 2021/22 Minimum hourly pay rate ADJUSTED]],DATA[[#This Row],[Care Assistant 2: Current 2021/22 Maximum hourly pay rate ADJUSTED]])&lt;LIVING_WAGE_22_23,DATA[[#This Row],[Care Assistant 2: Numbers employed (Full Time Equivalent)]],0),"")</f>
        <v>0</v>
      </c>
      <c r="MN39" s="30" t="str">
        <f>IFERROR(IF(AVERAGE(DATA[[#This Row],[Care Assistant 3: Current 2021/22 Minimum hourly pay rate ADJUSTED]],DATA[[#This Row],[Care Assistant 3: Current 2021/22 Maximum hourly pay rate ADJUSTED]])&lt;LIVING_WAGE_22_23,DATA[[#This Row],[Care Assistant 3: Numbers employed (Full Time Equivalent)]],0),"")</f>
        <v/>
      </c>
      <c r="MO39" s="30">
        <f>IFERROR(IF(AVERAGE(DATA[[#This Row],[Care Assistant 4: Current 2021/22 Minimum hourly pay rate ADJUSTED]],DATA[[#This Row],[Care Assistant 4: Current 2021/22 Maximum hourly pay rate ADJUSTED]])&lt;LIVING_WAGE_22_23,DATA[[#This Row],[Care Assistant 4: Numbers employed (Full Time Equivalent)]],0),"")</f>
        <v>0</v>
      </c>
      <c r="MP39"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3</v>
      </c>
      <c r="MQ39"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2</v>
      </c>
      <c r="MR39" s="30">
        <f>IFERROR(IF(AVERAGE(DATA[[#This Row],[Other staff 1: Current 2021/22 Minimum hourly pay rate ADJUSTED]],DATA[[#This Row],[Other staff 1: Current 2021/22 Maximum hourly pay rate ADJUSTED]])&lt;LIVING_WAGE_22_23,DATA[[#This Row],[Other staff 1: Numbers employed (Full Time Equivalent)]],0),"")</f>
        <v>0</v>
      </c>
      <c r="MS39" s="30">
        <f>IFERROR(IF(AVERAGE(DATA[[#This Row],[Other staff 2: Current 2021/22 Minimum hourly pay rate ADJUSTED]],DATA[[#This Row],[Other staff 2: Current 2021/22 Maximum hourly pay rate ADJUSTED]])&lt;LIVING_WAGE_22_23,DATA[[#This Row],[Other staff 2: Numbers employed (Full Time Equivalent)]],0),"")</f>
        <v>6</v>
      </c>
      <c r="MT39" s="30">
        <f>IFERROR(IF(AVERAGE(DATA[[#This Row],[Other staff 3: Current 2021/22 Minimum hourly pay rate ADJUSTED]],DATA[[#This Row],[Other staff 3: Current 2021/22 Maximum hourly pay rate ADJUSTED]])&lt;LIVING_WAGE_22_23,DATA[[#This Row],[Other staff 3: Numbers employed (Full Time Equivalent)]],0),"")</f>
        <v>0</v>
      </c>
      <c r="MU39" s="30">
        <f>SUM(DATA[[#This Row],[Registered Manager FTE earning less than NLW 23yrs 2022/23]:[Other staff 3 FTE earning less than NLW 23yrs 2022/23]])</f>
        <v>71</v>
      </c>
      <c r="MV39"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39"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39"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39"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39"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39"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2.6999999999999957</v>
      </c>
      <c r="NB39"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39"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39"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0</v>
      </c>
      <c r="NE39"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1.1849999999999987</v>
      </c>
      <c r="NF39"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0.78999999999999915</v>
      </c>
      <c r="NG39"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39"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0.75</v>
      </c>
      <c r="NI39" s="30">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0</v>
      </c>
      <c r="NJ39" s="30" t="b">
        <v>1</v>
      </c>
      <c r="NK39" s="30" t="b">
        <v>1</v>
      </c>
      <c r="NL39" s="30" t="s">
        <v>505</v>
      </c>
      <c r="NM39" s="30">
        <f>SUM(DATA[[#This Row],[Management staff HOURLY RATE]:[Training and development HOURLY RATE]])</f>
        <v>7.7908095238095232</v>
      </c>
      <c r="NN39" s="30">
        <f>SUM(DATA[[#This Row],[Recruitment &amp; advertising (including DBS checks) HOURLY RATE]:[Non-Staffing Direct Cost: Other  - please specify (amount) 2 HOURLY RATE]])</f>
        <v>0.3227261904761905</v>
      </c>
      <c r="NO39" s="30">
        <f>SUM(DATA[[#This Row],[Insurance  HOURLY RATE]:[Indirect costs: Other  - please specify (amount) 2 HOURLY RATE]])</f>
        <v>0.27680952380952384</v>
      </c>
      <c r="NP39" s="30">
        <f>SUM(DATA[[#This Row],[Central / Regional Management HOURLY RATE]:[Corporate Overheads: Other  - please specify (amount) 2 HOURLY RATE]])</f>
        <v>2.7261904761904762E-2</v>
      </c>
      <c r="NQ39"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39" s="30">
        <f>IFERROR(IF(AVERAGE(DATA[[#This Row],[Deputy manager: Current 2021/22 Minimum hourly pay rate ADJUSTED]],DATA[[#This Row],[Deputy manager: Current 2021/22 Maximum hourly pay rate ADJUSTED]])&lt;REAL_LIVING_WAGE_22_23,DATA[[#This Row],[Deputy manager: Numbers employed (Full Time Equivalent)]],0),"")</f>
        <v>0</v>
      </c>
      <c r="NS39" s="30">
        <f>IFERROR(IF(AVERAGE(DATA[[#This Row],[Other manager 1: Current 2021/22 Minimum hourly pay rate ADJUSTED]],DATA[[#This Row],[Other manager 1: Current 2021/22 Maximum hourly pay rate ADJUSTED]])&lt;REAL_LIVING_WAGE_22_23,DATA[[#This Row],[Other manager 1: Numbers employed (Full Time Equivalent)]],0),"")</f>
        <v>0</v>
      </c>
      <c r="NT39" s="30">
        <f>IFERROR(IF(AVERAGE(DATA[[#This Row],[Other manager 2: Current 2021/22 Minimum hourly pay rate ADJUSTED]],DATA[[#This Row],[Other manager 2: Current 2021/22 Maximum hourly pay rate ADJUSTED]])&lt;REAL_LIVING_WAGE_22_23,DATA[[#This Row],[Other manager 2: Numbers employed (Full Time Equivalent)]],0),"")</f>
        <v>0</v>
      </c>
      <c r="NU39" s="30">
        <f>IFERROR(IF(AVERAGE(DATA[[#This Row],[Other manager 3: Current 2021/22 Minimum hourly pay rate ADJUSTED]],DATA[[#This Row],[Other manager 3: Current 2021/22 Maximum hourly pay rate ADJUSTED]])&lt;REAL_LIVING_WAGE_22_23,DATA[[#This Row],[Other manager 3: Numbers employed (Full Time Equivalent)]],0),"")</f>
        <v>0</v>
      </c>
      <c r="NV39" s="30">
        <f>IFERROR(IF(AVERAGE(DATA[[#This Row],[Care Assistant 1: Current 2021/22 Minimum hourly pay rate ADJUSTED]],DATA[[#This Row],[Care Assistant 1: Current 2021/22 Maximum hourly pay rate ADJUSTED]])&lt;REAL_LIVING_WAGE_22_23,DATA[[#This Row],[Care Assistant 1: Numbers employed (Full Time Equivalent)]],0),"")</f>
        <v>60</v>
      </c>
      <c r="NW39" s="30">
        <f>IFERROR(IF(AVERAGE(DATA[[#This Row],[Care Assistant 2: Current 2021/22 Minimum hourly pay rate ADJUSTED]],DATA[[#This Row],[Care Assistant 2: Current 2021/22 Maximum hourly pay rate ADJUSTED]])&lt;REAL_LIVING_WAGE_22_23,DATA[[#This Row],[Care Assistant 2: Numbers employed (Full Time Equivalent)]],0),"")</f>
        <v>0</v>
      </c>
      <c r="NX39"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39" s="30">
        <f>IFERROR(IF(AVERAGE(DATA[[#This Row],[Care Assistant 4: Current 2021/22 Minimum hourly pay rate ADJUSTED]],DATA[[#This Row],[Care Assistant 4: Current 2021/22 Maximum hourly pay rate ADJUSTED]])&lt;REAL_LIVING_WAGE_22_23,DATA[[#This Row],[Care Assistant 4: Numbers employed (Full Time Equivalent)]],0),"")</f>
        <v>0</v>
      </c>
      <c r="NZ39"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3</v>
      </c>
      <c r="OA39"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2</v>
      </c>
      <c r="OB39" s="30">
        <f>IFERROR(IF(AVERAGE(DATA[[#This Row],[Other staff 1: Current 2021/22 Minimum hourly pay rate ADJUSTED]],DATA[[#This Row],[Other staff 1: Current 2021/22 Maximum hourly pay rate ADJUSTED]])&lt;REAL_LIVING_WAGE_22_23,DATA[[#This Row],[Other staff 1: Numbers employed (Full Time Equivalent)]],0),"")</f>
        <v>2</v>
      </c>
      <c r="OC39" s="30">
        <f>IFERROR(IF(AVERAGE(DATA[[#This Row],[Other staff 2: Current 2021/22 Minimum hourly pay rate ADJUSTED]],DATA[[#This Row],[Other staff 2: Current 2021/22 Maximum hourly pay rate ADJUSTED]])&lt;REAL_LIVING_WAGE_22_23,DATA[[#This Row],[Other staff 2: Numbers employed (Full Time Equivalent)]],0),"")</f>
        <v>6</v>
      </c>
      <c r="OD39" s="30">
        <f>IFERROR(IF(AVERAGE(DATA[[#This Row],[Other staff 3: Current 2021/22 Minimum hourly pay rate ADJUSTED]],DATA[[#This Row],[Other staff 3: Current 2021/22 Maximum hourly pay rate ADJUSTED]])&lt;REAL_LIVING_WAGE_22_23,DATA[[#This Row],[Other staff 3: Numbers employed (Full Time Equivalent)]],0),"")</f>
        <v>0</v>
      </c>
      <c r="OE39" s="30">
        <f>SUM(DATA[[#This Row],[Registered Manager FTE earning less than RLW 23yrs 2022/23]:[Other staff 3 FTE earning less than RLW 23yrs 2022/23]])</f>
        <v>73</v>
      </c>
      <c r="OF39"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39"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39"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39"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39"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39"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26.700000000000017</v>
      </c>
      <c r="OL39"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39"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39"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0</v>
      </c>
      <c r="OO39"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2.3849999999999998</v>
      </c>
      <c r="OP39"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1.5899999999999999</v>
      </c>
      <c r="OQ39"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0.55000000000000071</v>
      </c>
      <c r="OR39"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3.1500000000000021</v>
      </c>
      <c r="OS39" s="30">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0</v>
      </c>
      <c r="OT39" s="30">
        <f>IFERROR(IF(DATA[[#This Row],[Registered manager: Numbers employed (Full Time Equivalent)]]=0,"",DATA[[#This Row],[Registered manager: Current 2021/22 Minimum hourly pay rate ADJUSTED 2]]*DATA[[#This Row],[Registered manager: Numbers employed (Full Time Equivalent)]]),"")</f>
        <v>39.42</v>
      </c>
      <c r="OU39" s="30">
        <f>IFERROR(IF(DATA[[#This Row],[Registered manager: Numbers employed (Full Time Equivalent)]]=0,"",DATA[[#This Row],[Registered manager: Current 2021/22 Maximum hourly pay rate ADJUSTED 2]]*DATA[[#This Row],[Registered manager: Numbers employed (Full Time Equivalent)]]),"")</f>
        <v>45.04</v>
      </c>
      <c r="OV39" s="30">
        <f>IFERROR(IF(DATA[[#This Row],[Registered manager: Numbers employed (Full Time Equivalent)]]=0,"",DATA[[#This Row],[Registered manager: Previous 2020/21 Minimum hourly pay rate ADJUSTED 2]]*DATA[[#This Row],[Registered manager: Numbers employed (Full Time Equivalent)]]),"")</f>
        <v>34.9</v>
      </c>
      <c r="OW39" s="30">
        <f>IFERROR(IF(DATA[[#This Row],[Registered manager: Numbers employed (Full Time Equivalent)]]=0,"",DATA[[#This Row],[Registered manager: Previous 2020/21 Maximum hourly pay rate ADJUSTED 2]]*DATA[[#This Row],[Registered manager: Numbers employed (Full Time Equivalent)]]),"")</f>
        <v>40.54</v>
      </c>
      <c r="OX39" s="30">
        <f>IFERROR(IF(DATA[[#This Row],[Deputy manager: Numbers employed (Full Time Equivalent)]]=0,"",DATA[[#This Row],[Deputy manager: Current 2021/22 Minimum hourly pay rate ADJUSTED 2]]*DATA[[#This Row],[Deputy manager: Numbers employed (Full Time Equivalent)]]),"")</f>
        <v>12.39</v>
      </c>
      <c r="OY39" s="30">
        <f>IFERROR(IF(DATA[[#This Row],[Deputy manager: Numbers employed (Full Time Equivalent)]]=0,"",DATA[[#This Row],[Deputy manager: Current 2021/22 Maximum hourly pay rate ADJUSTED 2]]*DATA[[#This Row],[Deputy manager: Numbers employed (Full Time Equivalent)]]),"")</f>
        <v>15.2</v>
      </c>
      <c r="OZ39" s="30">
        <f>IFERROR(IF(DATA[[#This Row],[Deputy manager: Numbers employed (Full Time Equivalent)]]=0,"",DATA[[#This Row],[Deputy manager: Previous 2020/21 Minimum hourly pay rate ADJUSTED 2]]*DATA[[#This Row],[Deputy manager: Numbers employed (Full Time Equivalent)]]),"")</f>
        <v>11.26</v>
      </c>
      <c r="PA39" s="30">
        <f>IFERROR(IF(DATA[[#This Row],[Deputy manager: Numbers employed (Full Time Equivalent)]]=0,"",DATA[[#This Row],[Deputy manager: Previous 2020/21 Maximum hourly pay rate ADJUSTED 2]]*DATA[[#This Row],[Deputy manager: Numbers employed (Full Time Equivalent)]]),"")</f>
        <v>14.08</v>
      </c>
      <c r="PB39" s="30">
        <f>IFERROR(IF(DATA[[#This Row],[Other manager 1: Numbers employed (Full Time Equivalent)]]=0,"",DATA[[#This Row],[Other manager 1: Current 2021/22 Minimum hourly pay rate ADJUSTED 2]]*DATA[[#This Row],[Other manager 1: Numbers employed (Full Time Equivalent)]]),"")</f>
        <v>13.51</v>
      </c>
      <c r="PC39" s="30">
        <f>IFERROR(IF(DATA[[#This Row],[Other manager 1: Numbers employed (Full Time Equivalent)]]=0,"",DATA[[#This Row],[Other manager 1: Current 2021/22 Maximum hourly pay rate ADJUSTED 2]]*DATA[[#This Row],[Other manager 1: Numbers employed (Full Time Equivalent)]]),"")</f>
        <v>16.329999999999998</v>
      </c>
      <c r="PD39" s="30">
        <f>IFERROR(IF(DATA[[#This Row],[Other manager 1: Numbers employed (Full Time Equivalent)]]=0,"",DATA[[#This Row],[Other manager 1: Previous 2020/21 Minimum hourly pay rate ADJUSTED 2]]*DATA[[#This Row],[Other manager 1: Numbers employed (Full Time Equivalent)]]),"")</f>
        <v>12.39</v>
      </c>
      <c r="PE39" s="30">
        <f>IFERROR(IF(DATA[[#This Row],[Other manager 1: Numbers employed (Full Time Equivalent)]]=0,"",DATA[[#This Row],[Other manager 1: Previous 2020/21 Maximum hourly pay rate ADJUSTED 2]]*DATA[[#This Row],[Other manager 1: Numbers employed (Full Time Equivalent)]]),"")</f>
        <v>15.2</v>
      </c>
      <c r="PF39" s="30">
        <f>IFERROR(IF(DATA[[#This Row],[Other manager 2: Numbers employed (Full Time Equivalent)]]=0,"",DATA[[#This Row],[Other manager 2: Current 2021/22 Minimum hourly pay rate ADJUSTED 2]]*DATA[[#This Row],[Other manager 2: Numbers employed (Full Time Equivalent)]]),"")</f>
        <v>12.38</v>
      </c>
      <c r="PG39" s="30">
        <f>IFERROR(IF(DATA[[#This Row],[Other manager 2: Numbers employed (Full Time Equivalent)]]=0,"",DATA[[#This Row],[Other manager 2: Current 2021/22 Maximum hourly pay rate ADJUSTED 2]]*DATA[[#This Row],[Other manager 2: Numbers employed (Full Time Equivalent)]]),"")</f>
        <v>15.2</v>
      </c>
      <c r="PH39" s="30">
        <f>IFERROR(IF(DATA[[#This Row],[Other manager 2: Numbers employed (Full Time Equivalent)]]=0,"",DATA[[#This Row],[Other manager 2: Previous 2020/21 Minimum hourly pay rate ADJUSTED 2]]*DATA[[#This Row],[Other manager 2: Numbers employed (Full Time Equivalent)]]),"")</f>
        <v>11.26</v>
      </c>
      <c r="PI39" s="30">
        <f>IFERROR(IF(DATA[[#This Row],[Other manager 2: Numbers employed (Full Time Equivalent)]]=0,"",DATA[[#This Row],[Other manager 2: Previous 2020/21 Maximum hourly pay rate ADJUSTED 2]]*DATA[[#This Row],[Other manager 2: Numbers employed (Full Time Equivalent)]]),"")</f>
        <v>14.08</v>
      </c>
      <c r="PJ39" s="30">
        <f>IFERROR(IF(DATA[[#This Row],[Other manager 3: Numbers employed (Full Time Equivalent)]]=0,"",DATA[[#This Row],[Other manager 3: Current 2021/22 Minimum hourly pay rate ADJUSTED 2]]*DATA[[#This Row],[Other manager 3: Numbers employed (Full Time Equivalent)]]),"")</f>
        <v>14.08</v>
      </c>
      <c r="PK39" s="30">
        <f>IFERROR(IF(DATA[[#This Row],[Other manager 3: Numbers employed (Full Time Equivalent)]]=0,"",DATA[[#This Row],[Other manager 3: Current 2021/22 Maximum hourly pay rate ADJUSTED 2]]*DATA[[#This Row],[Other manager 3: Numbers employed (Full Time Equivalent)]]),"")</f>
        <v>16.89</v>
      </c>
      <c r="PL39" s="30">
        <f>IFERROR(IF(DATA[[#This Row],[Other manager 3: Numbers employed (Full Time Equivalent)]]=0,"",DATA[[#This Row],[Other manager 3: Previous 2020/21 Minimum hourly pay rate ADJUSTED 2]]*DATA[[#This Row],[Other manager 3: Numbers employed (Full Time Equivalent)]]),"")</f>
        <v>12.39</v>
      </c>
      <c r="PM39" s="30">
        <f>IFERROR(IF(DATA[[#This Row],[Other manager 3: Numbers employed (Full Time Equivalent)]]=0,"",DATA[[#This Row],[Other manager 3: Previous 2020/21 Maximum hourly pay rate ADJUSTED 2]]*DATA[[#This Row],[Other manager 3: Numbers employed (Full Time Equivalent)]]),"")</f>
        <v>15.2</v>
      </c>
      <c r="PN39" s="30">
        <f>IFERROR(IF(DATA[[#This Row],[Care Assistant 1: Numbers employed (Full Time Equivalent)]]=0,"",DATA[[#This Row],[Care Assistant 1: Current 2021/22 Minimum hourly pay rate ADJUSTED 2]]*DATA[[#This Row],[Care Assistant 1: Numbers employed (Full Time Equivalent)]]),"")</f>
        <v>534.6</v>
      </c>
      <c r="PO39" s="30">
        <f>IFERROR(IF(DATA[[#This Row],[Care Assistant 1: Numbers employed (Full Time Equivalent)]]=0,"",DATA[[#This Row],[Care Assistant 1: Current 2021/22 Maximum hourly pay rate ADJUSTED 2]]*DATA[[#This Row],[Care Assistant 1: Numbers employed (Full Time Equivalent)]]),"")</f>
        <v>600</v>
      </c>
      <c r="PP39" s="30">
        <f>IFERROR(IF(DATA[[#This Row],[Care Assistant 1: Numbers employed (Full Time Equivalent)]]=0,"",DATA[[#This Row],[Care Assistant 1: Previous 2020/21 Minimum hourly pay rate ADJUSTED 2]]*DATA[[#This Row],[Care Assistant 1: Numbers employed (Full Time Equivalent)]]),"")</f>
        <v>523.20000000000005</v>
      </c>
      <c r="PQ39" s="30">
        <f>IFERROR(IF(DATA[[#This Row],[Care Assistant 1: Numbers employed (Full Time Equivalent)]]=0,"",DATA[[#This Row],[Care Assistant 1: Previous 2020/21 Maximum hourly pay rate ADJUSTED 2]]*DATA[[#This Row],[Care Assistant 1: Numbers employed (Full Time Equivalent)]]),"")</f>
        <v>585</v>
      </c>
      <c r="PR39" s="30">
        <f>IFERROR(IF(DATA[[#This Row],[Care Assistant 2: Numbers employed (Full Time Equivalent)]]=0,"",DATA[[#This Row],[Care Assistant 2: Current 2021/22 Minimum hourly pay rate ADJUSTED 2]]*DATA[[#This Row],[Care Assistant 2: Numbers employed (Full Time Equivalent)]]),"")</f>
        <v>186</v>
      </c>
      <c r="PS39" s="30">
        <f>IFERROR(IF(DATA[[#This Row],[Care Assistant 2: Numbers employed (Full Time Equivalent)]]=0,"",DATA[[#This Row],[Care Assistant 2: Current 2021/22 Maximum hourly pay rate ADJUSTED 2]]*DATA[[#This Row],[Care Assistant 2: Numbers employed (Full Time Equivalent)]]),"")</f>
        <v>210</v>
      </c>
      <c r="PT39" s="30">
        <f>IFERROR(IF(DATA[[#This Row],[Care Assistant 2: Numbers employed (Full Time Equivalent)]]=0,"",DATA[[#This Row],[Care Assistant 2: Previous 2020/21 Minimum hourly pay rate ADJUSTED 2]]*DATA[[#This Row],[Care Assistant 2: Numbers employed (Full Time Equivalent)]]),"")</f>
        <v>182</v>
      </c>
      <c r="PU39" s="30">
        <f>IFERROR(IF(DATA[[#This Row],[Care Assistant 2: Numbers employed (Full Time Equivalent)]]=0,"",DATA[[#This Row],[Care Assistant 2: Previous 2020/21 Maximum hourly pay rate ADJUSTED 2]]*DATA[[#This Row],[Care Assistant 2: Numbers employed (Full Time Equivalent)]]),"")</f>
        <v>205</v>
      </c>
      <c r="PV39" s="30" t="str">
        <f>IFERROR(IF(DATA[[#This Row],[Care Assistant 3: Numbers employed (Full Time Equivalent)]]=0,"",DATA[[#This Row],[Care Assistant 3: Current 2021/22 Minimum hourly pay rate ADJUSTED 2]]*DATA[[#This Row],[Care Assistant 3: Numbers employed (Full Time Equivalent)]]),"")</f>
        <v/>
      </c>
      <c r="PW39" s="30" t="str">
        <f>IFERROR(IF(DATA[[#This Row],[Care Assistant 3: Numbers employed (Full Time Equivalent)]]=0,"",DATA[[#This Row],[Care Assistant 3: Current 2021/22 Maximum hourly pay rate ADJUSTED 2]]*DATA[[#This Row],[Care Assistant 3: Numbers employed (Full Time Equivalent)]]),"")</f>
        <v/>
      </c>
      <c r="PX39" s="30" t="str">
        <f>IFERROR(IF(DATA[[#This Row],[Care Assistant 3: Numbers employed (Full Time Equivalent)]]=0,"",DATA[[#This Row],[Care Assistant 3: Previous 2020/21 Minimum hourly pay rate ADJUSTED 2]]*DATA[[#This Row],[Care Assistant 3: Numbers employed (Full Time Equivalent)]]),"")</f>
        <v/>
      </c>
      <c r="PY39" s="30" t="str">
        <f>IFERROR(IF(DATA[[#This Row],[Care Assistant 3: Numbers employed (Full Time Equivalent)]]=0,"",DATA[[#This Row],[Care Assistant 3: Previous 2020/21 Maximum hourly pay rate ADJUSTED 2]]*DATA[[#This Row],[Care Assistant 3: Numbers employed (Full Time Equivalent)]]),"")</f>
        <v/>
      </c>
      <c r="PZ39" s="30">
        <f>IFERROR(IF(DATA[[#This Row],[Care Assistant 4: Numbers employed (Full Time Equivalent)]]=0,"",DATA[[#This Row],[Care Assistant 4: Current 2021/22 Minimum hourly pay rate ADJUSTED 2]]*DATA[[#This Row],[Care Assistant 4: Numbers employed (Full Time Equivalent)]]),"")</f>
        <v>237.5</v>
      </c>
      <c r="QA39" s="30">
        <f>IFERROR(IF(DATA[[#This Row],[Care Assistant 4: Numbers employed (Full Time Equivalent)]]=0,"",DATA[[#This Row],[Care Assistant 4: Current 2021/22 Maximum hourly pay rate ADJUSTED 2]]*DATA[[#This Row],[Care Assistant 4: Numbers employed (Full Time Equivalent)]]),"")</f>
        <v>283.75</v>
      </c>
      <c r="QB39" s="30">
        <f>IFERROR(IF(DATA[[#This Row],[Care Assistant 4: Numbers employed (Full Time Equivalent)]]=0,"",DATA[[#This Row],[Care Assistant 4: Previous 2020/21 Minimum hourly pay rate ADJUSTED 2]]*DATA[[#This Row],[Care Assistant 4: Numbers employed (Full Time Equivalent)]]),"")</f>
        <v>233.75</v>
      </c>
      <c r="QC39" s="30">
        <f>IFERROR(IF(DATA[[#This Row],[Care Assistant 4: Numbers employed (Full Time Equivalent)]]=0,"",DATA[[#This Row],[Care Assistant 4: Previous 2020/21 Maximum hourly pay rate ADJUSTED 2]]*DATA[[#This Row],[Care Assistant 4: Numbers employed (Full Time Equivalent)]]),"")</f>
        <v>270</v>
      </c>
      <c r="QD39" s="30">
        <f>IFERROR(IF(DATA[[#This Row],[Administrative Officer 1: Numbers employed (Full Time Equivalent)]]=0,"",DATA[[#This Row],[Administrative Officer 1: Current 2021/22 Minimum hourly pay rate ADJUSTED 2]]*DATA[[#This Row],[Administrative Officer 1: Numbers employed (Full Time Equivalent)]]),"")</f>
        <v>26.73</v>
      </c>
      <c r="QE39" s="30">
        <f>IFERROR(IF(DATA[[#This Row],[Administrative Officer 1: Numbers employed (Full Time Equivalent)]]=0,"",DATA[[#This Row],[Administrative Officer 1: Current 2021/22 Maximum hourly pay rate ADJUSTED 2]]*DATA[[#This Row],[Administrative Officer 1: Numbers employed (Full Time Equivalent)]]),"")</f>
        <v>27.900000000000002</v>
      </c>
      <c r="QF39" s="30">
        <f>IFERROR(IF(DATA[[#This Row],[Administrative Officer 1: Numbers employed (Full Time Equivalent)]]=0,"",DATA[[#This Row],[Administrative Officer 1: Previous 2020/21 Minimum hourly pay rate ADJUSTED 2]]*DATA[[#This Row],[Administrative Officer 1: Numbers employed (Full Time Equivalent)]]),"")</f>
        <v>26.160000000000004</v>
      </c>
      <c r="QG39" s="30">
        <f>IFERROR(IF(DATA[[#This Row],[Administrative Officer 1: Numbers employed (Full Time Equivalent)]]=0,"",DATA[[#This Row],[Administrative Officer 1: Previous 2020/21 Maximum hourly pay rate ADJUSTED 2]]*DATA[[#This Row],[Administrative Officer 1: Numbers employed (Full Time Equivalent)]]),"")</f>
        <v>27.299999999999997</v>
      </c>
      <c r="QH39" s="30">
        <f>IFERROR(IF(DATA[[#This Row],[Administrative Officer 2: Numbers employed (Full Time Equivalent)]]=0,"",DATA[[#This Row],[Administrative Officer 2: Current 2021/22 Minimum hourly pay rate ADJUSTED 2]]*DATA[[#This Row],[Administrative Officer 2: Numbers employed (Full Time Equivalent)]]),"")</f>
        <v>17.82</v>
      </c>
      <c r="QI39" s="30">
        <f>IFERROR(IF(DATA[[#This Row],[Administrative Officer 2: Numbers employed (Full Time Equivalent)]]=0,"",DATA[[#This Row],[Administrative Officer 2: Current 2021/22 Maximum hourly pay rate ADJUSTED 2]]*DATA[[#This Row],[Administrative Officer 2: Numbers employed (Full Time Equivalent)]]),"")</f>
        <v>18.600000000000001</v>
      </c>
      <c r="QJ39" s="30">
        <f>IFERROR(IF(DATA[[#This Row],[Administrative Officer 2: Numbers employed (Full Time Equivalent)]]=0,"",DATA[[#This Row],[Administrative Officer 2: Previous 2020/21 Minimum hourly pay rate ADJUSTED 2]]*DATA[[#This Row],[Administrative Officer 2: Numbers employed (Full Time Equivalent)]]),"")</f>
        <v>17.440000000000001</v>
      </c>
      <c r="QK39" s="30">
        <f>IFERROR(IF(DATA[[#This Row],[Administrative Officer 2: Numbers employed (Full Time Equivalent)]]=0,"",DATA[[#This Row],[Administrative Officer 2: Previous 2020/21 Maximum hourly pay rate ADJUSTED 2]]*DATA[[#This Row],[Administrative Officer 2: Numbers employed (Full Time Equivalent)]]),"")</f>
        <v>18.2</v>
      </c>
      <c r="QL39" s="30">
        <f>IFERROR(IF(DATA[[#This Row],[Administrative Officer 3: Numbers employed (Full Time Equivalent)]]=0,"",DATA[[#This Row],[Administrative Officer 3: Current 2021/22 Minimum hourly pay rate ADJUSTED 2]]*DATA[[#This Row],[Administrative Officer 3: Numbers employed (Full Time Equivalent)]]),"")</f>
        <v>8.6</v>
      </c>
      <c r="QM39" s="30">
        <f>IFERROR(IF(DATA[[#This Row],[Administrative Officer 3: Numbers employed (Full Time Equivalent)]]=0,"",DATA[[#This Row],[Administrative Officer 3: Current 2021/22 Maximum hourly pay rate ADJUSTED 2]]*DATA[[#This Row],[Administrative Officer 3: Numbers employed (Full Time Equivalent)]]),"")</f>
        <v>16.72</v>
      </c>
      <c r="QN39" s="30">
        <f>IFERROR(IF(DATA[[#This Row],[Administrative Officer 3: Numbers employed (Full Time Equivalent)]]=0,"",DATA[[#This Row],[Administrative Officer 3: Previous 2020/21 Minimum hourly pay rate ADJUSTED 2]]*DATA[[#This Row],[Administrative Officer 3: Numbers employed (Full Time Equivalent)]]),"")</f>
        <v>8.3000000000000007</v>
      </c>
      <c r="QO39" s="30">
        <f>IFERROR(IF(DATA[[#This Row],[Administrative Officer 3: Numbers employed (Full Time Equivalent)]]=0,"",DATA[[#This Row],[Administrative Officer 3: Previous 2020/21 Maximum hourly pay rate ADJUSTED 2]]*DATA[[#This Row],[Administrative Officer 3: Numbers employed (Full Time Equivalent)]]),"")</f>
        <v>16.399999999999999</v>
      </c>
      <c r="QP39" s="28">
        <f>IFERROR(IF(DATA[[#This Row],[Other staff 1: Numbers employed (Full Time Equivalent)]]=0,"",DATA[[#This Row],[Other staff 1: Current 2021/22 Minimum hourly pay rate ADJUSTED 2]]*DATA[[#This Row],[Other staff 1: Numbers employed (Full Time Equivalent)]]),"")</f>
        <v>18.5</v>
      </c>
      <c r="QQ39" s="28">
        <f>IFERROR(IF(DATA[[#This Row],[Other staff 1: Numbers employed (Full Time Equivalent)]]=0,"",DATA[[#This Row],[Other staff 1: Current 2021/22 Maximum hourly pay rate ADJUSTED 2]]*DATA[[#This Row],[Other staff 1: Numbers employed (Full Time Equivalent)]]),"")</f>
        <v>20</v>
      </c>
      <c r="QR39" s="28">
        <f>IFERROR(IF(DATA[[#This Row],[Other staff 1: Numbers employed (Full Time Equivalent)]]=0,"",DATA[[#This Row],[Other staff 1: Previous 2020/21 Minimum hourly pay rate ADJUSTED 2]]*DATA[[#This Row],[Other staff 1: Numbers employed (Full Time Equivalent)]]),"")</f>
        <v>18.2</v>
      </c>
      <c r="QS39" s="28">
        <f>IFERROR(IF(DATA[[#This Row],[Other staff 1: Numbers employed (Full Time Equivalent)]]=0,"",DATA[[#This Row],[Other staff 1: Previous 2020/21 Maximum hourly pay rate ADJUSTED 2]]*DATA[[#This Row],[Other staff 1: Numbers employed (Full Time Equivalent)]]),"")</f>
        <v>19.5</v>
      </c>
      <c r="QT39" s="28">
        <f>IFERROR(IF(DATA[[#This Row],[Other staff 2: Numbers employed (Full Time Equivalent)]]=0,"",DATA[[#This Row],[Other staff 2: Current 2021/22 Minimum hourly pay rate ADJUSTED 2]]*DATA[[#This Row],[Other staff 2: Numbers employed (Full Time Equivalent)]]),"")</f>
        <v>54.599999999999994</v>
      </c>
      <c r="QU39" s="28">
        <f>IFERROR(IF(DATA[[#This Row],[Other staff 2: Numbers employed (Full Time Equivalent)]]=0,"",DATA[[#This Row],[Other staff 2: Current 2021/22 Maximum hourly pay rate ADJUSTED 2]]*DATA[[#This Row],[Other staff 2: Numbers employed (Full Time Equivalent)]]),"")</f>
        <v>57.900000000000006</v>
      </c>
      <c r="QV39" s="28">
        <f>IFERROR(IF(DATA[[#This Row],[Other staff 2: Numbers employed (Full Time Equivalent)]]=0,"",DATA[[#This Row],[Other staff 2: Previous 2020/21 Minimum hourly pay rate ADJUSTED 2]]*DATA[[#This Row],[Other staff 2: Numbers employed (Full Time Equivalent)]]),"")</f>
        <v>54</v>
      </c>
      <c r="QW39" s="28">
        <f>IFERROR(IF(DATA[[#This Row],[Other staff 2: Numbers employed (Full Time Equivalent)]]=0,"",DATA[[#This Row],[Other staff 2: Previous 2020/21 Maximum hourly pay rate ADJUSTED 2]]*DATA[[#This Row],[Other staff 2: Numbers employed (Full Time Equivalent)]]),"")</f>
        <v>56.400000000000006</v>
      </c>
      <c r="QX39" s="28" t="str">
        <f>IFERROR(IF(DATA[[#This Row],[Other staff 3: Numbers employed (Full Time Equivalent)]]=0,"",DATA[[#This Row],[Other staff 3: Current 2021/22 Minimum hourly pay rate ADJUSTED 2]]*DATA[[#This Row],[Other staff 3: Numbers employed (Full Time Equivalent)]]),"")</f>
        <v/>
      </c>
      <c r="QY39" s="28" t="str">
        <f>IFERROR(IF(DATA[[#This Row],[Other staff 3: Numbers employed (Full Time Equivalent)]]=0,"",DATA[[#This Row],[Other staff 3: Current 2021/22 Maximum hourly pay rate ADJUSTED 2]]*DATA[[#This Row],[Other staff 3: Numbers employed (Full Time Equivalent)]]),"")</f>
        <v/>
      </c>
      <c r="QZ39" s="28" t="str">
        <f>IFERROR(IF(DATA[[#This Row],[Other staff 3: Numbers employed (Full Time Equivalent)]]=0,"",DATA[[#This Row],[Other staff 3: Previous 2020/21 Minimum hourly pay rate ADJUSTED 2]]*DATA[[#This Row],[Other staff 3: Numbers employed (Full Time Equivalent)]]),"")</f>
        <v/>
      </c>
      <c r="RA39" s="28" t="str">
        <f>IFERROR(IF(DATA[[#This Row],[Other staff 3: Numbers employed (Full Time Equivalent)]]=0,"",DATA[[#This Row],[Other staff 3: Previous 2020/21 Maximum hourly pay rate ADJUSTED 2]]*DATA[[#This Row],[Other staff 3: Numbers employed (Full Time Equivalent)]]),"")</f>
        <v/>
      </c>
      <c r="RB39"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2</v>
      </c>
      <c r="RC39"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39"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39"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39"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1</v>
      </c>
      <c r="RG39"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60</v>
      </c>
      <c r="RH39"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20</v>
      </c>
      <c r="RI39"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39"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25</v>
      </c>
      <c r="RK39"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3</v>
      </c>
      <c r="RL39"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2</v>
      </c>
      <c r="RM39"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2</v>
      </c>
      <c r="RN39"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2</v>
      </c>
      <c r="RO39"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6</v>
      </c>
      <c r="RP39"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0" spans="7:484" x14ac:dyDescent="0.25">
      <c r="G40" s="2">
        <v>34</v>
      </c>
      <c r="H40" s="2">
        <v>15</v>
      </c>
      <c r="R40" s="2">
        <v>16</v>
      </c>
      <c r="S40" s="2">
        <v>16</v>
      </c>
      <c r="T40" s="2">
        <v>16</v>
      </c>
      <c r="U40" s="2">
        <v>16</v>
      </c>
      <c r="V40" s="2">
        <v>1</v>
      </c>
      <c r="W40" s="2">
        <v>0</v>
      </c>
      <c r="X40" s="2">
        <v>0</v>
      </c>
      <c r="Y40" s="2">
        <v>0</v>
      </c>
      <c r="Z40" s="2">
        <v>0</v>
      </c>
      <c r="AA40" s="2">
        <v>0</v>
      </c>
      <c r="AB40" s="2" t="s">
        <v>315</v>
      </c>
      <c r="AC40" s="2">
        <v>0</v>
      </c>
      <c r="AD40" s="2">
        <v>0</v>
      </c>
      <c r="AE40" s="2">
        <v>0</v>
      </c>
      <c r="AF40" s="2">
        <v>0</v>
      </c>
      <c r="AG40" s="2">
        <v>0</v>
      </c>
      <c r="AH40" s="2" t="s">
        <v>315</v>
      </c>
      <c r="AI40" s="2">
        <v>0</v>
      </c>
      <c r="AJ40" s="2">
        <v>0</v>
      </c>
      <c r="AK40" s="2">
        <v>0</v>
      </c>
      <c r="AL40" s="2">
        <v>0</v>
      </c>
      <c r="AM40" s="2">
        <v>0</v>
      </c>
      <c r="AN40" s="2" t="s">
        <v>315</v>
      </c>
      <c r="AO40" s="2">
        <v>0</v>
      </c>
      <c r="AP40" s="2">
        <v>0</v>
      </c>
      <c r="AQ40" s="2">
        <v>0</v>
      </c>
      <c r="AR40" s="2">
        <v>0</v>
      </c>
      <c r="AS40" s="2">
        <v>0</v>
      </c>
      <c r="AT40" s="2" t="s">
        <v>316</v>
      </c>
      <c r="AU40" s="2">
        <v>8.91</v>
      </c>
      <c r="AV40" s="2">
        <v>9.41</v>
      </c>
      <c r="AW40" s="2">
        <v>8.7200000000000006</v>
      </c>
      <c r="AX40" s="2">
        <v>9.1199999999999992</v>
      </c>
      <c r="AY40" s="2">
        <v>0</v>
      </c>
      <c r="AZ40" s="2" t="s">
        <v>316</v>
      </c>
      <c r="BA40" s="2">
        <v>0</v>
      </c>
      <c r="BB40" s="2">
        <v>0</v>
      </c>
      <c r="BC40" s="2">
        <v>0</v>
      </c>
      <c r="BD40" s="2">
        <v>0</v>
      </c>
      <c r="BE40" s="2">
        <v>0</v>
      </c>
      <c r="BF40" s="2" t="s">
        <v>316</v>
      </c>
      <c r="BG40" s="2">
        <v>0</v>
      </c>
      <c r="BH40" s="2">
        <v>0</v>
      </c>
      <c r="BI40" s="2">
        <v>0</v>
      </c>
      <c r="BJ40" s="2">
        <v>0</v>
      </c>
      <c r="BK40" s="2">
        <v>0</v>
      </c>
      <c r="BL40" s="2" t="s">
        <v>316</v>
      </c>
      <c r="BM40" s="2">
        <v>0</v>
      </c>
      <c r="BN40" s="2">
        <v>0</v>
      </c>
      <c r="BO40" s="2">
        <v>0</v>
      </c>
      <c r="BP40" s="2">
        <v>0</v>
      </c>
      <c r="BQ40" s="2">
        <v>0</v>
      </c>
      <c r="BR40" s="2" t="s">
        <v>317</v>
      </c>
      <c r="BS40" s="2">
        <v>9.5</v>
      </c>
      <c r="BT40" s="2">
        <v>9.5</v>
      </c>
      <c r="BU40" s="2">
        <v>9.5</v>
      </c>
      <c r="BV40" s="2">
        <v>9.5</v>
      </c>
      <c r="BW40" s="2">
        <v>1</v>
      </c>
      <c r="BX40" s="2" t="s">
        <v>317</v>
      </c>
      <c r="BY40" s="2">
        <v>0</v>
      </c>
      <c r="BZ40" s="2">
        <v>0</v>
      </c>
      <c r="CA40" s="2">
        <v>0</v>
      </c>
      <c r="CB40" s="2">
        <v>0</v>
      </c>
      <c r="CC40" s="2">
        <v>0</v>
      </c>
      <c r="CD40" s="2" t="s">
        <v>317</v>
      </c>
      <c r="CE40" s="2">
        <v>0</v>
      </c>
      <c r="CF40" s="2">
        <v>0</v>
      </c>
      <c r="CG40" s="2">
        <v>0</v>
      </c>
      <c r="CH40" s="2">
        <v>0</v>
      </c>
      <c r="CI40" s="2">
        <v>0</v>
      </c>
      <c r="CJ40" s="2" t="s">
        <v>318</v>
      </c>
      <c r="CK40" s="2">
        <v>10</v>
      </c>
      <c r="CL40" s="2">
        <v>10</v>
      </c>
      <c r="CM40" s="2">
        <v>9.5</v>
      </c>
      <c r="CN40" s="2">
        <v>9.5</v>
      </c>
      <c r="CO40" s="2">
        <v>0</v>
      </c>
      <c r="CP40" s="2" t="s">
        <v>318</v>
      </c>
      <c r="CQ40" s="2">
        <v>0</v>
      </c>
      <c r="CR40" s="2">
        <v>0</v>
      </c>
      <c r="CS40" s="2">
        <v>0</v>
      </c>
      <c r="CT40" s="2">
        <v>0</v>
      </c>
      <c r="CU40" s="2">
        <v>1</v>
      </c>
      <c r="CV40" s="2" t="s">
        <v>318</v>
      </c>
      <c r="CW40" s="2">
        <v>0</v>
      </c>
      <c r="CX40" s="2">
        <v>0</v>
      </c>
      <c r="CY40" s="2">
        <v>0</v>
      </c>
      <c r="CZ40" s="2">
        <v>0</v>
      </c>
      <c r="DA40" s="2">
        <v>0</v>
      </c>
      <c r="DB40" s="2"/>
      <c r="DC40" s="2">
        <v>0</v>
      </c>
      <c r="DD40" s="2">
        <v>0</v>
      </c>
      <c r="DE40" s="2">
        <v>0</v>
      </c>
      <c r="DF40" s="2">
        <v>0</v>
      </c>
      <c r="DG40" s="2">
        <v>162.15</v>
      </c>
      <c r="DH40" s="2">
        <v>286.05</v>
      </c>
      <c r="DI40" s="2">
        <v>0</v>
      </c>
      <c r="DJ40" s="2">
        <v>0</v>
      </c>
      <c r="DK40" s="2">
        <v>0</v>
      </c>
      <c r="DL40" s="2">
        <v>0</v>
      </c>
      <c r="DM40" s="2">
        <v>0</v>
      </c>
      <c r="DN40" s="2">
        <v>0</v>
      </c>
      <c r="DO40" s="2">
        <v>15.27</v>
      </c>
      <c r="DP40" s="2">
        <v>17.5</v>
      </c>
      <c r="DQ40" s="2">
        <v>15.5</v>
      </c>
      <c r="DR40" s="18">
        <v>43405</v>
      </c>
      <c r="DS40" s="18">
        <v>43769</v>
      </c>
      <c r="DT40" s="2">
        <v>20936.14</v>
      </c>
      <c r="DU40" s="2">
        <v>0</v>
      </c>
      <c r="DV40" s="2">
        <v>117609</v>
      </c>
      <c r="DW40" s="2">
        <v>0</v>
      </c>
      <c r="DX40" s="2">
        <v>0</v>
      </c>
      <c r="DY40" s="2">
        <v>0</v>
      </c>
      <c r="DZ40" s="2">
        <v>576</v>
      </c>
      <c r="EA40" s="2">
        <v>0</v>
      </c>
      <c r="EB40" s="2">
        <v>5750</v>
      </c>
      <c r="EC40" s="2">
        <v>1987</v>
      </c>
      <c r="ED40" s="2">
        <v>5750</v>
      </c>
      <c r="EE40" s="2">
        <v>3571</v>
      </c>
      <c r="EF40" s="2">
        <v>6410</v>
      </c>
      <c r="EG40" s="2">
        <v>6526</v>
      </c>
      <c r="EH40" s="2" t="s">
        <v>324</v>
      </c>
      <c r="EI40" s="2">
        <v>0</v>
      </c>
      <c r="EJ40" s="2" t="s">
        <v>324</v>
      </c>
      <c r="EK40" s="2">
        <v>0</v>
      </c>
      <c r="EL40" s="2">
        <v>970</v>
      </c>
      <c r="EM40" s="2">
        <v>0</v>
      </c>
      <c r="EN40" s="2">
        <v>3652</v>
      </c>
      <c r="EO40" s="2">
        <v>4374</v>
      </c>
      <c r="EP40" s="2">
        <v>950</v>
      </c>
      <c r="EQ40" s="2">
        <v>3400</v>
      </c>
      <c r="ER40" s="2">
        <v>0</v>
      </c>
      <c r="ES40" s="2">
        <v>0</v>
      </c>
      <c r="ET40" s="2" t="s">
        <v>324</v>
      </c>
      <c r="EU40" s="2">
        <v>0</v>
      </c>
      <c r="EV40" s="2" t="s">
        <v>324</v>
      </c>
      <c r="EW40" s="2">
        <v>0</v>
      </c>
      <c r="EX40" s="2">
        <v>0</v>
      </c>
      <c r="EY40" s="2">
        <v>0</v>
      </c>
      <c r="EZ40" s="2" t="s">
        <v>326</v>
      </c>
      <c r="FA40" s="2">
        <v>0</v>
      </c>
      <c r="FB40" s="2" t="s">
        <v>326</v>
      </c>
      <c r="FC40" s="2">
        <v>0</v>
      </c>
      <c r="FD40" s="2"/>
      <c r="FE40" s="2">
        <v>0</v>
      </c>
      <c r="FF40" s="2">
        <v>0</v>
      </c>
      <c r="FG40" s="2"/>
      <c r="FH40" s="19">
        <v>44480.62431712963</v>
      </c>
      <c r="FI40" s="2" t="s">
        <v>345</v>
      </c>
      <c r="FJ40" s="2">
        <f>SUM(DATA[[#This Row],[Number of Home support clients:]],DATA[[#This Row],[Number of supported living clients:]])</f>
        <v>15</v>
      </c>
      <c r="FK40"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40"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16</v>
      </c>
      <c r="FM40"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16</v>
      </c>
      <c r="FN40"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16</v>
      </c>
      <c r="FO40"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16</v>
      </c>
      <c r="FP40"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40"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40"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40"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40"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40"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40"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40"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40"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0"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0"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0"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0"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0"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0"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0"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0"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40"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9.41</v>
      </c>
      <c r="GH40"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40"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9.1199999999999992</v>
      </c>
      <c r="GJ40"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40"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40"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40"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40"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40"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40"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40"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40"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0"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0"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0"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0"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9.5</v>
      </c>
      <c r="GW40"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9.5</v>
      </c>
      <c r="GX40"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9.5</v>
      </c>
      <c r="GY40"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9.5</v>
      </c>
      <c r="GZ40"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40"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40"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40"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40"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0"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0"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0"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0"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10</v>
      </c>
      <c r="HI40"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10</v>
      </c>
      <c r="HJ40"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9.5</v>
      </c>
      <c r="HK40"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9.5</v>
      </c>
      <c r="HL40"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40"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40"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40"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40"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0"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0"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0"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0"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16</v>
      </c>
      <c r="HU40"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16</v>
      </c>
      <c r="HV40"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16</v>
      </c>
      <c r="HW40"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16</v>
      </c>
      <c r="HX40"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40"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40"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40"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40"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40"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40"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40"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40"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0"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0"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0"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0"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0"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0"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0"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0"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40"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9.41</v>
      </c>
      <c r="IP40"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40"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9.1199999999999992</v>
      </c>
      <c r="IR40"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40"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40"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40"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40"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40"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40"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40"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40"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0"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0"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0"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0"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9.5</v>
      </c>
      <c r="JE40"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9.5</v>
      </c>
      <c r="JF40"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9.5</v>
      </c>
      <c r="JG40"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9.5</v>
      </c>
      <c r="JH40"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40"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40"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40"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40"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0"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0"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0"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0"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10</v>
      </c>
      <c r="JQ40"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10</v>
      </c>
      <c r="JR40"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9.5</v>
      </c>
      <c r="JS40"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9.5</v>
      </c>
      <c r="JT40"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40"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40"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40"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40"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0"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0"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0"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0"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v>
      </c>
      <c r="KC40" s="21">
        <f>SUM(DATA[[#This Row],[Care Assistant 1: Numbers employed (Full Time Equivalent)]],DATA[[#This Row],[Care Assistant 2: Numbers employed (Full Time Equivalent)]],DATA[[#This Row],[Care Assistant 3: Numbers employed (Full Time Equivalent)]],DATA[[#This Row],[Care Assistant 4: Numbers employed (Full Time Equivalent)]])</f>
        <v>0</v>
      </c>
      <c r="KD40" s="21">
        <f>SUM(DATA[[#This Row],[Administrative Officer 1: Numbers employed (Full Time Equivalent)]],DATA[[#This Row],[Administrative Officer 2: Numbers employed (Full Time Equivalent)]])</f>
        <v>1</v>
      </c>
      <c r="KE40" s="21">
        <f>SUM(DATA[[#This Row],[Other staff 1: Numbers employed (Full Time Equivalent)]],DATA[[#This Row],[Other staff 2: Numbers employed (Full Time Equivalent)]],DATA[[#This Row],[Other staff 3: Numbers employed (Full Time Equivalent)]])</f>
        <v>1</v>
      </c>
      <c r="KF40" s="21">
        <f>SUM(DATA[[#This Row],[Total FTE Management Employees]:[Total FTE Other Employees]])</f>
        <v>3</v>
      </c>
      <c r="KG40" s="21" t="str">
        <f>IF(SUM(DATA[[#This Row],[Home Support service split percentage (Expenditure):]],DATA[[#This Row],[Supported Living service split percentage (Expenditure):]])&gt;0, IF(DATA[[#This Row],[Home Support service split percentage (Expenditure):]]&gt;0.5,"Home Support","Supported Living"), "Unknown")</f>
        <v>Unknown</v>
      </c>
      <c r="KH40" s="21">
        <f>SUM(DATA[[#This Row],[Home Support: Birmingham City Council]:[Home Support: Self-funded]])</f>
        <v>448.20000000000005</v>
      </c>
      <c r="KI40" s="21">
        <f>SUM(DATA[[#This Row],[Supported Living: Birmingham City Council]:[Supported Living: Self-funded]])</f>
        <v>0</v>
      </c>
      <c r="KJ40"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0"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0"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0"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0" s="21" t="b">
        <f>SUM(DATA[[#This Row],[Number of hours of care charged for in last full accounting year]:[Corporate Overheads: Other  - please specify (category) 1]])&gt;0</f>
        <v>1</v>
      </c>
      <c r="KO40" s="21">
        <f>SUM(DATA[[#This Row],[Total annual expenditure: Management staff]:[Total annual expenditure: Training and development]])</f>
        <v>123935</v>
      </c>
      <c r="KP40" s="21">
        <f>SUM(DATA[[#This Row],[Recruitment &amp; advertising (including DBS checks)]:[Non-Staffing Direct Cost: Other  - please specify (amount) 2]])</f>
        <v>24244</v>
      </c>
      <c r="KQ40" s="21">
        <f>SUM(DATA[[#This Row],[Insurance ]:[Indirect costs: Other 2 - please specify (amount)]])</f>
        <v>13346</v>
      </c>
      <c r="KR40" s="21">
        <f>SUM(DATA[[#This Row],[Central / Regional Management]],DATA[[#This Row],[Support Services (finance / HR / Payroll / legal etc.)]],DATA[[#This Row],[Corporate Overheads: Other  - please specify (amount) 1]],DATA[[#This Row],[Corporate Overheads: Other  - please specify (amount) 2]])</f>
        <v>0</v>
      </c>
      <c r="KS40"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40"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5.6175111553514645</v>
      </c>
      <c r="KU40"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40"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40"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40" s="30">
        <f>IF(OR(NOT(DATA[[#This Row],[Total annual expenditure: Travel Cost]]&gt;0),NOT(DATA[[#This Row],[Number of hours of care charged for in last full accounting year]]&gt;0)),0,DATA[[#This Row],[Total annual expenditure: Travel Cost]]/DATA[[#This Row],[Number of hours of care charged for in last full accounting year]])</f>
        <v>2.7512234824566516E-2</v>
      </c>
      <c r="KY40"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40"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0.27464470527996088</v>
      </c>
      <c r="LA40"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9.49076572854404E-2</v>
      </c>
      <c r="LB40"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0.27464470527996088</v>
      </c>
      <c r="LC40" s="30">
        <f>IF(OR(NOT(DATA[[#This Row],[Care consumables &amp; uniforms]]&gt;0),NOT(DATA[[#This Row],[Number of hours of care charged for in last full accounting year]]&gt;0)),0,DATA[[#This Row],[Care consumables &amp; uniforms]]/DATA[[#This Row],[Number of hours of care charged for in last full accounting year]])</f>
        <v>0.1705663030529983</v>
      </c>
      <c r="LD40" s="30">
        <f>IF(OR(NOT(DATA[[#This Row],[Electronic call monitoring]]&gt;0),NOT(DATA[[#This Row],[Number of hours of care charged for in last full accounting year]]&gt;0)),0,DATA[[#This Row],[Electronic call monitoring]]/DATA[[#This Row],[Number of hours of care charged for in last full accounting year]])</f>
        <v>0.30616914101644332</v>
      </c>
      <c r="LE40" s="30">
        <f>IF(OR(NOT(DATA[[#This Row],[IT Equipment &amp; Telephoney]]&gt;0),NOT(DATA[[#This Row],[Number of hours of care charged for in last full accounting year]]&gt;0)),0,DATA[[#This Row],[IT Equipment &amp; Telephoney]]/DATA[[#This Row],[Number of hours of care charged for in last full accounting year]])</f>
        <v>0.31170979941861299</v>
      </c>
      <c r="LF40"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40"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40" s="30">
        <f>IF(OR(NOT(DATA[[#This Row],[Insurance ]]&gt;0),NOT(DATA[[#This Row],[Number of hours of care charged for in last full accounting year]]&gt;0)),0,DATA[[#This Row],[Insurance ]]/DATA[[#This Row],[Number of hours of care charged for in last full accounting year]])</f>
        <v>4.6331367673315138E-2</v>
      </c>
      <c r="LI40"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40" s="30">
        <f>IF(OR(NOT(DATA[[#This Row],[Repairs and maintenance]]&gt;0),NOT(DATA[[#This Row],[Number of hours of care charged for in last full accounting year]]&gt;0)),0,DATA[[#This Row],[Repairs and maintenance]]/DATA[[#This Row],[Number of hours of care charged for in last full accounting year]])</f>
        <v>0.17443521107520299</v>
      </c>
      <c r="LK40"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0.20892103319905198</v>
      </c>
      <c r="LL40" s="30">
        <f>IF(OR(NOT(DATA[[#This Row],[Registration &amp; Inspection fees ]]&gt;0),NOT(DATA[[#This Row],[Number of hours of care charged for in last full accounting year]]&gt;0)),0,DATA[[#This Row],[Registration &amp; Inspection fees ]]/DATA[[#This Row],[Number of hours of care charged for in last full accounting year]])</f>
        <v>4.5376081741906583E-2</v>
      </c>
      <c r="LM40" s="30">
        <f>IF(OR(NOT(DATA[[#This Row],[Subscriptions]]&gt;0),NOT(DATA[[#This Row],[Number of hours of care charged for in last full accounting year]]&gt;0)),0,DATA[[#This Row],[Subscriptions]]/DATA[[#This Row],[Number of hours of care charged for in last full accounting year]])</f>
        <v>0.16239860833945513</v>
      </c>
      <c r="LN40" s="30">
        <f>IF(OR(NOT(DATA[[#This Row],[Cost of finance]]&gt;0),NOT(DATA[[#This Row],[Number of hours of care charged for in last full accounting year]]&gt;0)),0,DATA[[#This Row],[Cost of finance]]/DATA[[#This Row],[Number of hours of care charged for in last full accounting year]])</f>
        <v>0</v>
      </c>
      <c r="LO40" s="30">
        <f>IF(OR(NOT(DATA[[#This Row],[Other non-staff current expenses]]&gt;0),NOT(DATA[[#This Row],[Number of hours of care charged for in last full accounting year]]&gt;0)),0,DATA[[#This Row],[Other non-staff current expenses]]/DATA[[#This Row],[Number of hours of care charged for in last full accounting year]])</f>
        <v>0</v>
      </c>
      <c r="LP40"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40"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0" s="30">
        <f>IF(OR(NOT(DATA[[#This Row],[Central / Regional Management]]&gt;0),NOT(DATA[[#This Row],[Number of hours of care charged for in last full accounting year]]&gt;0)),0,DATA[[#This Row],[Central / Regional Management]]/DATA[[#This Row],[Number of hours of care charged for in last full accounting year]])</f>
        <v>0</v>
      </c>
      <c r="LS40"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40"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40"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0" s="30">
        <f>SUM(DATA[[#This Row],[Management staff HOURLY RATE]:[Corporate Overheads: Other  - please specify (amount) 2 HOURLY RATE]])</f>
        <v>7.7151280035383794</v>
      </c>
      <c r="LW40" s="30" t="str">
        <f>IF(OR(NOT(DATA[[#This Row],[Net Operating Profit]]&gt;0),NOT(DATA[[#This Row],[Number of hours of care charged for in last full accounting year]]&gt;0)),"",DATA[[#This Row],[Net Operating Profit]]/DATA[[#This Row],[Number of hours of care charged for in last full accounting year]])</f>
        <v/>
      </c>
      <c r="LX40" s="30">
        <f>IF(OR(NOT(DATA[[#This Row],[Return on Capital employed]]&gt;0),NOT(DATA[[#This Row],[Number of hours of care charged for in last full accounting year]]&gt;0)),0,DATA[[#This Row],[Return on Capital employed]]/DATA[[#This Row],[Number of hours of care charged for in last full accounting year]])</f>
        <v>0</v>
      </c>
      <c r="LY40" s="31">
        <v>34</v>
      </c>
      <c r="LZ40" s="30" t="s">
        <v>345</v>
      </c>
      <c r="MA40" s="30" t="b">
        <f>DATA[[#This Row],[Number of Home support clients:]]&gt;0</f>
        <v>1</v>
      </c>
      <c r="MB40" s="30" t="b">
        <f>DATA[[#This Row],[Number of supported living clients:]]&gt;0</f>
        <v>0</v>
      </c>
      <c r="MC40" s="30" t="b">
        <f>DATA[[#This Row],[Total Home Support Hours]]&gt;0</f>
        <v>1</v>
      </c>
      <c r="MD40" s="30" t="b">
        <f>DATA[[#This Row],[Total Supported Living Hours]]&gt;0</f>
        <v>0</v>
      </c>
      <c r="ME40" s="30" t="b">
        <f>DATA[[#This Row],[Home Support service split percentage (Expenditure):]]&gt;0.5</f>
        <v>0</v>
      </c>
      <c r="MF40" s="30" t="b">
        <f>DATA[[#This Row],[Agency staff HOURLY RATE]]=0</f>
        <v>1</v>
      </c>
      <c r="MG40" s="30">
        <f>IFERROR(IF(AVERAGE(DATA[[#This Row],[Registered manager: Current 2021/22 Minimum hourly pay rate ADJUSTED]],DATA[[#This Row],[Registered manager: Current 2021/22 Maximum hourly pay rate ADJUSTED]])&lt;LIVING_WAGE_22_23,DATA[[#This Row],[Registered manager: Numbers employed (Full Time Equivalent)]],0),"")</f>
        <v>0</v>
      </c>
      <c r="MH40" s="30" t="str">
        <f>IFERROR(IF(AVERAGE(DATA[[#This Row],[Deputy manager: Current 2021/22 Minimum hourly pay rate ADJUSTED]],DATA[[#This Row],[Deputy manager: Current 2021/22 Maximum hourly pay rate ADJUSTED]])&lt;LIVING_WAGE_22_23,DATA[[#This Row],[Deputy manager: Numbers employed (Full Time Equivalent)]],0),"")</f>
        <v/>
      </c>
      <c r="MI40" s="30" t="str">
        <f>IFERROR(IF(AVERAGE(DATA[[#This Row],[Other manager 1: Current 2021/22 Minimum hourly pay rate ADJUSTED]],DATA[[#This Row],[Other manager 1: Current 2021/22 Maximum hourly pay rate ADJUSTED]])&lt;LIVING_WAGE_22_23,DATA[[#This Row],[Other manager 1: Numbers employed (Full Time Equivalent)]],0),"")</f>
        <v/>
      </c>
      <c r="MJ40" s="30" t="str">
        <f>IFERROR(IF(AVERAGE(DATA[[#This Row],[Other manager 2: Current 2021/22 Minimum hourly pay rate ADJUSTED]],DATA[[#This Row],[Other manager 2: Current 2021/22 Maximum hourly pay rate ADJUSTED]])&lt;LIVING_WAGE_22_23,DATA[[#This Row],[Other manager 2: Numbers employed (Full Time Equivalent)]],0),"")</f>
        <v/>
      </c>
      <c r="MK40" s="30" t="str">
        <f>IFERROR(IF(AVERAGE(DATA[[#This Row],[Other manager 3: Current 2021/22 Minimum hourly pay rate ADJUSTED]],DATA[[#This Row],[Other manager 3: Current 2021/22 Maximum hourly pay rate ADJUSTED]])&lt;LIVING_WAGE_22_23,DATA[[#This Row],[Other manager 3: Numbers employed (Full Time Equivalent)]],0),"")</f>
        <v/>
      </c>
      <c r="ML40" s="30">
        <f>IFERROR(IF(AVERAGE(DATA[[#This Row],[Care Assistant 1: Current 2021/22 Minimum hourly pay rate ADJUSTED]],DATA[[#This Row],[Care Assistant 1: Current 2021/22 Maximum hourly pay rate ADJUSTED]])&lt;LIVING_WAGE_22_23,DATA[[#This Row],[Care Assistant 1: Numbers employed (Full Time Equivalent)]],0),"")</f>
        <v>0</v>
      </c>
      <c r="MM40" s="30" t="str">
        <f>IFERROR(IF(AVERAGE(DATA[[#This Row],[Care Assistant 2: Current 2021/22 Minimum hourly pay rate ADJUSTED]],DATA[[#This Row],[Care Assistant 2: Current 2021/22 Maximum hourly pay rate ADJUSTED]])&lt;LIVING_WAGE_22_23,DATA[[#This Row],[Care Assistant 2: Numbers employed (Full Time Equivalent)]],0),"")</f>
        <v/>
      </c>
      <c r="MN40" s="30" t="str">
        <f>IFERROR(IF(AVERAGE(DATA[[#This Row],[Care Assistant 3: Current 2021/22 Minimum hourly pay rate ADJUSTED]],DATA[[#This Row],[Care Assistant 3: Current 2021/22 Maximum hourly pay rate ADJUSTED]])&lt;LIVING_WAGE_22_23,DATA[[#This Row],[Care Assistant 3: Numbers employed (Full Time Equivalent)]],0),"")</f>
        <v/>
      </c>
      <c r="MO40" s="30" t="str">
        <f>IFERROR(IF(AVERAGE(DATA[[#This Row],[Care Assistant 4: Current 2021/22 Minimum hourly pay rate ADJUSTED]],DATA[[#This Row],[Care Assistant 4: Current 2021/22 Maximum hourly pay rate ADJUSTED]])&lt;LIVING_WAGE_22_23,DATA[[#This Row],[Care Assistant 4: Numbers employed (Full Time Equivalent)]],0),"")</f>
        <v/>
      </c>
      <c r="MP40"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40"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40" s="30">
        <f>IFERROR(IF(AVERAGE(DATA[[#This Row],[Other staff 1: Current 2021/22 Minimum hourly pay rate ADJUSTED]],DATA[[#This Row],[Other staff 1: Current 2021/22 Maximum hourly pay rate ADJUSTED]])&lt;LIVING_WAGE_22_23,DATA[[#This Row],[Other staff 1: Numbers employed (Full Time Equivalent)]],0),"")</f>
        <v>0</v>
      </c>
      <c r="MS40" s="30" t="str">
        <f>IFERROR(IF(AVERAGE(DATA[[#This Row],[Other staff 2: Current 2021/22 Minimum hourly pay rate ADJUSTED]],DATA[[#This Row],[Other staff 2: Current 2021/22 Maximum hourly pay rate ADJUSTED]])&lt;LIVING_WAGE_22_23,DATA[[#This Row],[Other staff 2: Numbers employed (Full Time Equivalent)]],0),"")</f>
        <v/>
      </c>
      <c r="MT40" s="30" t="str">
        <f>IFERROR(IF(AVERAGE(DATA[[#This Row],[Other staff 3: Current 2021/22 Minimum hourly pay rate ADJUSTED]],DATA[[#This Row],[Other staff 3: Current 2021/22 Maximum hourly pay rate ADJUSTED]])&lt;LIVING_WAGE_22_23,DATA[[#This Row],[Other staff 3: Numbers employed (Full Time Equivalent)]],0),"")</f>
        <v/>
      </c>
      <c r="MU40" s="30">
        <f>SUM(DATA[[#This Row],[Registered Manager FTE earning less than NLW 23yrs 2022/23]:[Other staff 3 FTE earning less than NLW 23yrs 2022/23]])</f>
        <v>0</v>
      </c>
      <c r="MV40"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40"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40"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40"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0"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0"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40"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40"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40"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0"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40"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40"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40"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40"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0" s="30" t="b">
        <v>1</v>
      </c>
      <c r="NK40" s="30" t="b">
        <v>0</v>
      </c>
      <c r="NL40" s="30" t="s">
        <v>973</v>
      </c>
      <c r="NM40" s="30">
        <f>SUM(DATA[[#This Row],[Management staff HOURLY RATE]:[Training and development HOURLY RATE]])</f>
        <v>5.9196680954559922</v>
      </c>
      <c r="NN40" s="30">
        <f>SUM(DATA[[#This Row],[Recruitment &amp; advertising (including DBS checks) HOURLY RATE]:[Non-Staffing Direct Cost: Other  - please specify (amount) 2 HOURLY RATE]])</f>
        <v>1.1579976060534558</v>
      </c>
      <c r="NO40" s="30">
        <f>SUM(DATA[[#This Row],[Insurance  HOURLY RATE]:[Indirect costs: Other  - please specify (amount) 2 HOURLY RATE]])</f>
        <v>0.63746230202893184</v>
      </c>
      <c r="NP40" s="30">
        <f>SUM(DATA[[#This Row],[Central / Regional Management HOURLY RATE]:[Corporate Overheads: Other  - please specify (amount) 2 HOURLY RATE]])</f>
        <v>0</v>
      </c>
      <c r="NQ40"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40" s="30" t="str">
        <f>IFERROR(IF(AVERAGE(DATA[[#This Row],[Deputy manager: Current 2021/22 Minimum hourly pay rate ADJUSTED]],DATA[[#This Row],[Deputy manager: Current 2021/22 Maximum hourly pay rate ADJUSTED]])&lt;REAL_LIVING_WAGE_22_23,DATA[[#This Row],[Deputy manager: Numbers employed (Full Time Equivalent)]],0),"")</f>
        <v/>
      </c>
      <c r="NS40" s="30" t="str">
        <f>IFERROR(IF(AVERAGE(DATA[[#This Row],[Other manager 1: Current 2021/22 Minimum hourly pay rate ADJUSTED]],DATA[[#This Row],[Other manager 1: Current 2021/22 Maximum hourly pay rate ADJUSTED]])&lt;REAL_LIVING_WAGE_22_23,DATA[[#This Row],[Other manager 1: Numbers employed (Full Time Equivalent)]],0),"")</f>
        <v/>
      </c>
      <c r="NT40" s="30" t="str">
        <f>IFERROR(IF(AVERAGE(DATA[[#This Row],[Other manager 2: Current 2021/22 Minimum hourly pay rate ADJUSTED]],DATA[[#This Row],[Other manager 2: Current 2021/22 Maximum hourly pay rate ADJUSTED]])&lt;REAL_LIVING_WAGE_22_23,DATA[[#This Row],[Other manager 2: Numbers employed (Full Time Equivalent)]],0),"")</f>
        <v/>
      </c>
      <c r="NU40" s="30" t="str">
        <f>IFERROR(IF(AVERAGE(DATA[[#This Row],[Other manager 3: Current 2021/22 Minimum hourly pay rate ADJUSTED]],DATA[[#This Row],[Other manager 3: Current 2021/22 Maximum hourly pay rate ADJUSTED]])&lt;REAL_LIVING_WAGE_22_23,DATA[[#This Row],[Other manager 3: Numbers employed (Full Time Equivalent)]],0),"")</f>
        <v/>
      </c>
      <c r="NV40" s="30">
        <f>IFERROR(IF(AVERAGE(DATA[[#This Row],[Care Assistant 1: Current 2021/22 Minimum hourly pay rate ADJUSTED]],DATA[[#This Row],[Care Assistant 1: Current 2021/22 Maximum hourly pay rate ADJUSTED]])&lt;REAL_LIVING_WAGE_22_23,DATA[[#This Row],[Care Assistant 1: Numbers employed (Full Time Equivalent)]],0),"")</f>
        <v>0</v>
      </c>
      <c r="NW40"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40"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40"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0"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40"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40" s="30">
        <f>IFERROR(IF(AVERAGE(DATA[[#This Row],[Other staff 1: Current 2021/22 Minimum hourly pay rate ADJUSTED]],DATA[[#This Row],[Other staff 1: Current 2021/22 Maximum hourly pay rate ADJUSTED]])&lt;REAL_LIVING_WAGE_22_23,DATA[[#This Row],[Other staff 1: Numbers employed (Full Time Equivalent)]],0),"")</f>
        <v>0</v>
      </c>
      <c r="OC40" s="30" t="str">
        <f>IFERROR(IF(AVERAGE(DATA[[#This Row],[Other staff 2: Current 2021/22 Minimum hourly pay rate ADJUSTED]],DATA[[#This Row],[Other staff 2: Current 2021/22 Maximum hourly pay rate ADJUSTED]])&lt;REAL_LIVING_WAGE_22_23,DATA[[#This Row],[Other staff 2: Numbers employed (Full Time Equivalent)]],0),"")</f>
        <v/>
      </c>
      <c r="OD40" s="30" t="str">
        <f>IFERROR(IF(AVERAGE(DATA[[#This Row],[Other staff 3: Current 2021/22 Minimum hourly pay rate ADJUSTED]],DATA[[#This Row],[Other staff 3: Current 2021/22 Maximum hourly pay rate ADJUSTED]])&lt;REAL_LIVING_WAGE_22_23,DATA[[#This Row],[Other staff 3: Numbers employed (Full Time Equivalent)]],0),"")</f>
        <v/>
      </c>
      <c r="OE40" s="30">
        <f>SUM(DATA[[#This Row],[Registered Manager FTE earning less than RLW 23yrs 2022/23]:[Other staff 3 FTE earning less than RLW 23yrs 2022/23]])</f>
        <v>1</v>
      </c>
      <c r="OF40"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40"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40"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40"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0"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0"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40"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40"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40"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0"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0.40000000000000036</v>
      </c>
      <c r="OP40"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40"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40"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40"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0" s="30">
        <f>IFERROR(IF(DATA[[#This Row],[Registered manager: Numbers employed (Full Time Equivalent)]]=0,"",DATA[[#This Row],[Registered manager: Current 2021/22 Minimum hourly pay rate ADJUSTED 2]]*DATA[[#This Row],[Registered manager: Numbers employed (Full Time Equivalent)]]),"")</f>
        <v>16</v>
      </c>
      <c r="OU40" s="30">
        <f>IFERROR(IF(DATA[[#This Row],[Registered manager: Numbers employed (Full Time Equivalent)]]=0,"",DATA[[#This Row],[Registered manager: Current 2021/22 Maximum hourly pay rate ADJUSTED 2]]*DATA[[#This Row],[Registered manager: Numbers employed (Full Time Equivalent)]]),"")</f>
        <v>16</v>
      </c>
      <c r="OV40" s="30">
        <f>IFERROR(IF(DATA[[#This Row],[Registered manager: Numbers employed (Full Time Equivalent)]]=0,"",DATA[[#This Row],[Registered manager: Previous 2020/21 Minimum hourly pay rate ADJUSTED 2]]*DATA[[#This Row],[Registered manager: Numbers employed (Full Time Equivalent)]]),"")</f>
        <v>16</v>
      </c>
      <c r="OW40" s="30">
        <f>IFERROR(IF(DATA[[#This Row],[Registered manager: Numbers employed (Full Time Equivalent)]]=0,"",DATA[[#This Row],[Registered manager: Previous 2020/21 Maximum hourly pay rate ADJUSTED 2]]*DATA[[#This Row],[Registered manager: Numbers employed (Full Time Equivalent)]]),"")</f>
        <v>16</v>
      </c>
      <c r="OX40" s="30" t="str">
        <f>IFERROR(IF(DATA[[#This Row],[Deputy manager: Numbers employed (Full Time Equivalent)]]=0,"",DATA[[#This Row],[Deputy manager: Current 2021/22 Minimum hourly pay rate ADJUSTED 2]]*DATA[[#This Row],[Deputy manager: Numbers employed (Full Time Equivalent)]]),"")</f>
        <v/>
      </c>
      <c r="OY40" s="30" t="str">
        <f>IFERROR(IF(DATA[[#This Row],[Deputy manager: Numbers employed (Full Time Equivalent)]]=0,"",DATA[[#This Row],[Deputy manager: Current 2021/22 Maximum hourly pay rate ADJUSTED 2]]*DATA[[#This Row],[Deputy manager: Numbers employed (Full Time Equivalent)]]),"")</f>
        <v/>
      </c>
      <c r="OZ40" s="30" t="str">
        <f>IFERROR(IF(DATA[[#This Row],[Deputy manager: Numbers employed (Full Time Equivalent)]]=0,"",DATA[[#This Row],[Deputy manager: Previous 2020/21 Minimum hourly pay rate ADJUSTED 2]]*DATA[[#This Row],[Deputy manager: Numbers employed (Full Time Equivalent)]]),"")</f>
        <v/>
      </c>
      <c r="PA40" s="30" t="str">
        <f>IFERROR(IF(DATA[[#This Row],[Deputy manager: Numbers employed (Full Time Equivalent)]]=0,"",DATA[[#This Row],[Deputy manager: Previous 2020/21 Maximum hourly pay rate ADJUSTED 2]]*DATA[[#This Row],[Deputy manager: Numbers employed (Full Time Equivalent)]]),"")</f>
        <v/>
      </c>
      <c r="PB40" s="30" t="str">
        <f>IFERROR(IF(DATA[[#This Row],[Other manager 1: Numbers employed (Full Time Equivalent)]]=0,"",DATA[[#This Row],[Other manager 1: Current 2021/22 Minimum hourly pay rate ADJUSTED 2]]*DATA[[#This Row],[Other manager 1: Numbers employed (Full Time Equivalent)]]),"")</f>
        <v/>
      </c>
      <c r="PC40" s="30" t="str">
        <f>IFERROR(IF(DATA[[#This Row],[Other manager 1: Numbers employed (Full Time Equivalent)]]=0,"",DATA[[#This Row],[Other manager 1: Current 2021/22 Maximum hourly pay rate ADJUSTED 2]]*DATA[[#This Row],[Other manager 1: Numbers employed (Full Time Equivalent)]]),"")</f>
        <v/>
      </c>
      <c r="PD40" s="30" t="str">
        <f>IFERROR(IF(DATA[[#This Row],[Other manager 1: Numbers employed (Full Time Equivalent)]]=0,"",DATA[[#This Row],[Other manager 1: Previous 2020/21 Minimum hourly pay rate ADJUSTED 2]]*DATA[[#This Row],[Other manager 1: Numbers employed (Full Time Equivalent)]]),"")</f>
        <v/>
      </c>
      <c r="PE40" s="30" t="str">
        <f>IFERROR(IF(DATA[[#This Row],[Other manager 1: Numbers employed (Full Time Equivalent)]]=0,"",DATA[[#This Row],[Other manager 1: Previous 2020/21 Maximum hourly pay rate ADJUSTED 2]]*DATA[[#This Row],[Other manager 1: Numbers employed (Full Time Equivalent)]]),"")</f>
        <v/>
      </c>
      <c r="PF40" s="30" t="str">
        <f>IFERROR(IF(DATA[[#This Row],[Other manager 2: Numbers employed (Full Time Equivalent)]]=0,"",DATA[[#This Row],[Other manager 2: Current 2021/22 Minimum hourly pay rate ADJUSTED 2]]*DATA[[#This Row],[Other manager 2: Numbers employed (Full Time Equivalent)]]),"")</f>
        <v/>
      </c>
      <c r="PG40" s="30" t="str">
        <f>IFERROR(IF(DATA[[#This Row],[Other manager 2: Numbers employed (Full Time Equivalent)]]=0,"",DATA[[#This Row],[Other manager 2: Current 2021/22 Maximum hourly pay rate ADJUSTED 2]]*DATA[[#This Row],[Other manager 2: Numbers employed (Full Time Equivalent)]]),"")</f>
        <v/>
      </c>
      <c r="PH40" s="30" t="str">
        <f>IFERROR(IF(DATA[[#This Row],[Other manager 2: Numbers employed (Full Time Equivalent)]]=0,"",DATA[[#This Row],[Other manager 2: Previous 2020/21 Minimum hourly pay rate ADJUSTED 2]]*DATA[[#This Row],[Other manager 2: Numbers employed (Full Time Equivalent)]]),"")</f>
        <v/>
      </c>
      <c r="PI40" s="30" t="str">
        <f>IFERROR(IF(DATA[[#This Row],[Other manager 2: Numbers employed (Full Time Equivalent)]]=0,"",DATA[[#This Row],[Other manager 2: Previous 2020/21 Maximum hourly pay rate ADJUSTED 2]]*DATA[[#This Row],[Other manager 2: Numbers employed (Full Time Equivalent)]]),"")</f>
        <v/>
      </c>
      <c r="PJ40" s="30" t="str">
        <f>IFERROR(IF(DATA[[#This Row],[Other manager 3: Numbers employed (Full Time Equivalent)]]=0,"",DATA[[#This Row],[Other manager 3: Current 2021/22 Minimum hourly pay rate ADJUSTED 2]]*DATA[[#This Row],[Other manager 3: Numbers employed (Full Time Equivalent)]]),"")</f>
        <v/>
      </c>
      <c r="PK40" s="30" t="str">
        <f>IFERROR(IF(DATA[[#This Row],[Other manager 3: Numbers employed (Full Time Equivalent)]]=0,"",DATA[[#This Row],[Other manager 3: Current 2021/22 Maximum hourly pay rate ADJUSTED 2]]*DATA[[#This Row],[Other manager 3: Numbers employed (Full Time Equivalent)]]),"")</f>
        <v/>
      </c>
      <c r="PL40" s="30" t="str">
        <f>IFERROR(IF(DATA[[#This Row],[Other manager 3: Numbers employed (Full Time Equivalent)]]=0,"",DATA[[#This Row],[Other manager 3: Previous 2020/21 Minimum hourly pay rate ADJUSTED 2]]*DATA[[#This Row],[Other manager 3: Numbers employed (Full Time Equivalent)]]),"")</f>
        <v/>
      </c>
      <c r="PM40" s="30" t="str">
        <f>IFERROR(IF(DATA[[#This Row],[Other manager 3: Numbers employed (Full Time Equivalent)]]=0,"",DATA[[#This Row],[Other manager 3: Previous 2020/21 Maximum hourly pay rate ADJUSTED 2]]*DATA[[#This Row],[Other manager 3: Numbers employed (Full Time Equivalent)]]),"")</f>
        <v/>
      </c>
      <c r="PN40" s="30" t="str">
        <f>IFERROR(IF(DATA[[#This Row],[Care Assistant 1: Numbers employed (Full Time Equivalent)]]=0,"",DATA[[#This Row],[Care Assistant 1: Current 2021/22 Minimum hourly pay rate ADJUSTED 2]]*DATA[[#This Row],[Care Assistant 1: Numbers employed (Full Time Equivalent)]]),"")</f>
        <v/>
      </c>
      <c r="PO40" s="30" t="str">
        <f>IFERROR(IF(DATA[[#This Row],[Care Assistant 1: Numbers employed (Full Time Equivalent)]]=0,"",DATA[[#This Row],[Care Assistant 1: Current 2021/22 Maximum hourly pay rate ADJUSTED 2]]*DATA[[#This Row],[Care Assistant 1: Numbers employed (Full Time Equivalent)]]),"")</f>
        <v/>
      </c>
      <c r="PP40" s="30" t="str">
        <f>IFERROR(IF(DATA[[#This Row],[Care Assistant 1: Numbers employed (Full Time Equivalent)]]=0,"",DATA[[#This Row],[Care Assistant 1: Previous 2020/21 Minimum hourly pay rate ADJUSTED 2]]*DATA[[#This Row],[Care Assistant 1: Numbers employed (Full Time Equivalent)]]),"")</f>
        <v/>
      </c>
      <c r="PQ40" s="30" t="str">
        <f>IFERROR(IF(DATA[[#This Row],[Care Assistant 1: Numbers employed (Full Time Equivalent)]]=0,"",DATA[[#This Row],[Care Assistant 1: Previous 2020/21 Maximum hourly pay rate ADJUSTED 2]]*DATA[[#This Row],[Care Assistant 1: Numbers employed (Full Time Equivalent)]]),"")</f>
        <v/>
      </c>
      <c r="PR40" s="30" t="str">
        <f>IFERROR(IF(DATA[[#This Row],[Care Assistant 2: Numbers employed (Full Time Equivalent)]]=0,"",DATA[[#This Row],[Care Assistant 2: Current 2021/22 Minimum hourly pay rate ADJUSTED 2]]*DATA[[#This Row],[Care Assistant 2: Numbers employed (Full Time Equivalent)]]),"")</f>
        <v/>
      </c>
      <c r="PS40" s="30" t="str">
        <f>IFERROR(IF(DATA[[#This Row],[Care Assistant 2: Numbers employed (Full Time Equivalent)]]=0,"",DATA[[#This Row],[Care Assistant 2: Current 2021/22 Maximum hourly pay rate ADJUSTED 2]]*DATA[[#This Row],[Care Assistant 2: Numbers employed (Full Time Equivalent)]]),"")</f>
        <v/>
      </c>
      <c r="PT40" s="30" t="str">
        <f>IFERROR(IF(DATA[[#This Row],[Care Assistant 2: Numbers employed (Full Time Equivalent)]]=0,"",DATA[[#This Row],[Care Assistant 2: Previous 2020/21 Minimum hourly pay rate ADJUSTED 2]]*DATA[[#This Row],[Care Assistant 2: Numbers employed (Full Time Equivalent)]]),"")</f>
        <v/>
      </c>
      <c r="PU40" s="30" t="str">
        <f>IFERROR(IF(DATA[[#This Row],[Care Assistant 2: Numbers employed (Full Time Equivalent)]]=0,"",DATA[[#This Row],[Care Assistant 2: Previous 2020/21 Maximum hourly pay rate ADJUSTED 2]]*DATA[[#This Row],[Care Assistant 2: Numbers employed (Full Time Equivalent)]]),"")</f>
        <v/>
      </c>
      <c r="PV40" s="30" t="str">
        <f>IFERROR(IF(DATA[[#This Row],[Care Assistant 3: Numbers employed (Full Time Equivalent)]]=0,"",DATA[[#This Row],[Care Assistant 3: Current 2021/22 Minimum hourly pay rate ADJUSTED 2]]*DATA[[#This Row],[Care Assistant 3: Numbers employed (Full Time Equivalent)]]),"")</f>
        <v/>
      </c>
      <c r="PW40" s="30" t="str">
        <f>IFERROR(IF(DATA[[#This Row],[Care Assistant 3: Numbers employed (Full Time Equivalent)]]=0,"",DATA[[#This Row],[Care Assistant 3: Current 2021/22 Maximum hourly pay rate ADJUSTED 2]]*DATA[[#This Row],[Care Assistant 3: Numbers employed (Full Time Equivalent)]]),"")</f>
        <v/>
      </c>
      <c r="PX40" s="30" t="str">
        <f>IFERROR(IF(DATA[[#This Row],[Care Assistant 3: Numbers employed (Full Time Equivalent)]]=0,"",DATA[[#This Row],[Care Assistant 3: Previous 2020/21 Minimum hourly pay rate ADJUSTED 2]]*DATA[[#This Row],[Care Assistant 3: Numbers employed (Full Time Equivalent)]]),"")</f>
        <v/>
      </c>
      <c r="PY40" s="30" t="str">
        <f>IFERROR(IF(DATA[[#This Row],[Care Assistant 3: Numbers employed (Full Time Equivalent)]]=0,"",DATA[[#This Row],[Care Assistant 3: Previous 2020/21 Maximum hourly pay rate ADJUSTED 2]]*DATA[[#This Row],[Care Assistant 3: Numbers employed (Full Time Equivalent)]]),"")</f>
        <v/>
      </c>
      <c r="PZ40" s="30" t="str">
        <f>IFERROR(IF(DATA[[#This Row],[Care Assistant 4: Numbers employed (Full Time Equivalent)]]=0,"",DATA[[#This Row],[Care Assistant 4: Current 2021/22 Minimum hourly pay rate ADJUSTED 2]]*DATA[[#This Row],[Care Assistant 4: Numbers employed (Full Time Equivalent)]]),"")</f>
        <v/>
      </c>
      <c r="QA40" s="30" t="str">
        <f>IFERROR(IF(DATA[[#This Row],[Care Assistant 4: Numbers employed (Full Time Equivalent)]]=0,"",DATA[[#This Row],[Care Assistant 4: Current 2021/22 Maximum hourly pay rate ADJUSTED 2]]*DATA[[#This Row],[Care Assistant 4: Numbers employed (Full Time Equivalent)]]),"")</f>
        <v/>
      </c>
      <c r="QB40" s="30" t="str">
        <f>IFERROR(IF(DATA[[#This Row],[Care Assistant 4: Numbers employed (Full Time Equivalent)]]=0,"",DATA[[#This Row],[Care Assistant 4: Previous 2020/21 Minimum hourly pay rate ADJUSTED 2]]*DATA[[#This Row],[Care Assistant 4: Numbers employed (Full Time Equivalent)]]),"")</f>
        <v/>
      </c>
      <c r="QC40" s="30" t="str">
        <f>IFERROR(IF(DATA[[#This Row],[Care Assistant 4: Numbers employed (Full Time Equivalent)]]=0,"",DATA[[#This Row],[Care Assistant 4: Previous 2020/21 Maximum hourly pay rate ADJUSTED 2]]*DATA[[#This Row],[Care Assistant 4: Numbers employed (Full Time Equivalent)]]),"")</f>
        <v/>
      </c>
      <c r="QD40" s="30">
        <f>IFERROR(IF(DATA[[#This Row],[Administrative Officer 1: Numbers employed (Full Time Equivalent)]]=0,"",DATA[[#This Row],[Administrative Officer 1: Current 2021/22 Minimum hourly pay rate ADJUSTED 2]]*DATA[[#This Row],[Administrative Officer 1: Numbers employed (Full Time Equivalent)]]),"")</f>
        <v>9.5</v>
      </c>
      <c r="QE40" s="30">
        <f>IFERROR(IF(DATA[[#This Row],[Administrative Officer 1: Numbers employed (Full Time Equivalent)]]=0,"",DATA[[#This Row],[Administrative Officer 1: Current 2021/22 Maximum hourly pay rate ADJUSTED 2]]*DATA[[#This Row],[Administrative Officer 1: Numbers employed (Full Time Equivalent)]]),"")</f>
        <v>9.5</v>
      </c>
      <c r="QF40" s="30">
        <f>IFERROR(IF(DATA[[#This Row],[Administrative Officer 1: Numbers employed (Full Time Equivalent)]]=0,"",DATA[[#This Row],[Administrative Officer 1: Previous 2020/21 Minimum hourly pay rate ADJUSTED 2]]*DATA[[#This Row],[Administrative Officer 1: Numbers employed (Full Time Equivalent)]]),"")</f>
        <v>9.5</v>
      </c>
      <c r="QG40" s="30">
        <f>IFERROR(IF(DATA[[#This Row],[Administrative Officer 1: Numbers employed (Full Time Equivalent)]]=0,"",DATA[[#This Row],[Administrative Officer 1: Previous 2020/21 Maximum hourly pay rate ADJUSTED 2]]*DATA[[#This Row],[Administrative Officer 1: Numbers employed (Full Time Equivalent)]]),"")</f>
        <v>9.5</v>
      </c>
      <c r="QH40" s="30" t="str">
        <f>IFERROR(IF(DATA[[#This Row],[Administrative Officer 2: Numbers employed (Full Time Equivalent)]]=0,"",DATA[[#This Row],[Administrative Officer 2: Current 2021/22 Minimum hourly pay rate ADJUSTED 2]]*DATA[[#This Row],[Administrative Officer 2: Numbers employed (Full Time Equivalent)]]),"")</f>
        <v/>
      </c>
      <c r="QI40" s="30" t="str">
        <f>IFERROR(IF(DATA[[#This Row],[Administrative Officer 2: Numbers employed (Full Time Equivalent)]]=0,"",DATA[[#This Row],[Administrative Officer 2: Current 2021/22 Maximum hourly pay rate ADJUSTED 2]]*DATA[[#This Row],[Administrative Officer 2: Numbers employed (Full Time Equivalent)]]),"")</f>
        <v/>
      </c>
      <c r="QJ40" s="30" t="str">
        <f>IFERROR(IF(DATA[[#This Row],[Administrative Officer 2: Numbers employed (Full Time Equivalent)]]=0,"",DATA[[#This Row],[Administrative Officer 2: Previous 2020/21 Minimum hourly pay rate ADJUSTED 2]]*DATA[[#This Row],[Administrative Officer 2: Numbers employed (Full Time Equivalent)]]),"")</f>
        <v/>
      </c>
      <c r="QK40" s="30" t="str">
        <f>IFERROR(IF(DATA[[#This Row],[Administrative Officer 2: Numbers employed (Full Time Equivalent)]]=0,"",DATA[[#This Row],[Administrative Officer 2: Previous 2020/21 Maximum hourly pay rate ADJUSTED 2]]*DATA[[#This Row],[Administrative Officer 2: Numbers employed (Full Time Equivalent)]]),"")</f>
        <v/>
      </c>
      <c r="QL40" s="30" t="str">
        <f>IFERROR(IF(DATA[[#This Row],[Administrative Officer 3: Numbers employed (Full Time Equivalent)]]=0,"",DATA[[#This Row],[Administrative Officer 3: Current 2021/22 Minimum hourly pay rate ADJUSTED 2]]*DATA[[#This Row],[Administrative Officer 3: Numbers employed (Full Time Equivalent)]]),"")</f>
        <v/>
      </c>
      <c r="QM40" s="30" t="str">
        <f>IFERROR(IF(DATA[[#This Row],[Administrative Officer 3: Numbers employed (Full Time Equivalent)]]=0,"",DATA[[#This Row],[Administrative Officer 3: Current 2021/22 Maximum hourly pay rate ADJUSTED 2]]*DATA[[#This Row],[Administrative Officer 3: Numbers employed (Full Time Equivalent)]]),"")</f>
        <v/>
      </c>
      <c r="QN40" s="30" t="str">
        <f>IFERROR(IF(DATA[[#This Row],[Administrative Officer 3: Numbers employed (Full Time Equivalent)]]=0,"",DATA[[#This Row],[Administrative Officer 3: Previous 2020/21 Minimum hourly pay rate ADJUSTED 2]]*DATA[[#This Row],[Administrative Officer 3: Numbers employed (Full Time Equivalent)]]),"")</f>
        <v/>
      </c>
      <c r="QO40" s="30" t="str">
        <f>IFERROR(IF(DATA[[#This Row],[Administrative Officer 3: Numbers employed (Full Time Equivalent)]]=0,"",DATA[[#This Row],[Administrative Officer 3: Previous 2020/21 Maximum hourly pay rate ADJUSTED 2]]*DATA[[#This Row],[Administrative Officer 3: Numbers employed (Full Time Equivalent)]]),"")</f>
        <v/>
      </c>
      <c r="QP40" s="28" t="str">
        <f>IFERROR(IF(DATA[[#This Row],[Other staff 1: Numbers employed (Full Time Equivalent)]]=0,"",DATA[[#This Row],[Other staff 1: Current 2021/22 Minimum hourly pay rate ADJUSTED 2]]*DATA[[#This Row],[Other staff 1: Numbers employed (Full Time Equivalent)]]),"")</f>
        <v/>
      </c>
      <c r="QQ40" s="28" t="str">
        <f>IFERROR(IF(DATA[[#This Row],[Other staff 1: Numbers employed (Full Time Equivalent)]]=0,"",DATA[[#This Row],[Other staff 1: Current 2021/22 Maximum hourly pay rate ADJUSTED 2]]*DATA[[#This Row],[Other staff 1: Numbers employed (Full Time Equivalent)]]),"")</f>
        <v/>
      </c>
      <c r="QR40" s="28" t="str">
        <f>IFERROR(IF(DATA[[#This Row],[Other staff 1: Numbers employed (Full Time Equivalent)]]=0,"",DATA[[#This Row],[Other staff 1: Previous 2020/21 Minimum hourly pay rate ADJUSTED 2]]*DATA[[#This Row],[Other staff 1: Numbers employed (Full Time Equivalent)]]),"")</f>
        <v/>
      </c>
      <c r="QS40" s="28" t="str">
        <f>IFERROR(IF(DATA[[#This Row],[Other staff 1: Numbers employed (Full Time Equivalent)]]=0,"",DATA[[#This Row],[Other staff 1: Previous 2020/21 Maximum hourly pay rate ADJUSTED 2]]*DATA[[#This Row],[Other staff 1: Numbers employed (Full Time Equivalent)]]),"")</f>
        <v/>
      </c>
      <c r="QT40" s="28" t="str">
        <f>IFERROR(IF(DATA[[#This Row],[Other staff 2: Numbers employed (Full Time Equivalent)]]=0,"",DATA[[#This Row],[Other staff 2: Current 2021/22 Minimum hourly pay rate ADJUSTED 2]]*DATA[[#This Row],[Other staff 2: Numbers employed (Full Time Equivalent)]]),"")</f>
        <v/>
      </c>
      <c r="QU40" s="28" t="str">
        <f>IFERROR(IF(DATA[[#This Row],[Other staff 2: Numbers employed (Full Time Equivalent)]]=0,"",DATA[[#This Row],[Other staff 2: Current 2021/22 Maximum hourly pay rate ADJUSTED 2]]*DATA[[#This Row],[Other staff 2: Numbers employed (Full Time Equivalent)]]),"")</f>
        <v/>
      </c>
      <c r="QV40" s="28" t="str">
        <f>IFERROR(IF(DATA[[#This Row],[Other staff 2: Numbers employed (Full Time Equivalent)]]=0,"",DATA[[#This Row],[Other staff 2: Previous 2020/21 Minimum hourly pay rate ADJUSTED 2]]*DATA[[#This Row],[Other staff 2: Numbers employed (Full Time Equivalent)]]),"")</f>
        <v/>
      </c>
      <c r="QW40" s="28" t="str">
        <f>IFERROR(IF(DATA[[#This Row],[Other staff 2: Numbers employed (Full Time Equivalent)]]=0,"",DATA[[#This Row],[Other staff 2: Previous 2020/21 Maximum hourly pay rate ADJUSTED 2]]*DATA[[#This Row],[Other staff 2: Numbers employed (Full Time Equivalent)]]),"")</f>
        <v/>
      </c>
      <c r="QX40" s="28" t="str">
        <f>IFERROR(IF(DATA[[#This Row],[Other staff 3: Numbers employed (Full Time Equivalent)]]=0,"",DATA[[#This Row],[Other staff 3: Current 2021/22 Minimum hourly pay rate ADJUSTED 2]]*DATA[[#This Row],[Other staff 3: Numbers employed (Full Time Equivalent)]]),"")</f>
        <v/>
      </c>
      <c r="QY40" s="28" t="str">
        <f>IFERROR(IF(DATA[[#This Row],[Other staff 3: Numbers employed (Full Time Equivalent)]]=0,"",DATA[[#This Row],[Other staff 3: Current 2021/22 Maximum hourly pay rate ADJUSTED 2]]*DATA[[#This Row],[Other staff 3: Numbers employed (Full Time Equivalent)]]),"")</f>
        <v/>
      </c>
      <c r="QZ40" s="28" t="str">
        <f>IFERROR(IF(DATA[[#This Row],[Other staff 3: Numbers employed (Full Time Equivalent)]]=0,"",DATA[[#This Row],[Other staff 3: Previous 2020/21 Minimum hourly pay rate ADJUSTED 2]]*DATA[[#This Row],[Other staff 3: Numbers employed (Full Time Equivalent)]]),"")</f>
        <v/>
      </c>
      <c r="RA40" s="28" t="str">
        <f>IFERROR(IF(DATA[[#This Row],[Other staff 3: Numbers employed (Full Time Equivalent)]]=0,"",DATA[[#This Row],[Other staff 3: Previous 2020/21 Maximum hourly pay rate ADJUSTED 2]]*DATA[[#This Row],[Other staff 3: Numbers employed (Full Time Equivalent)]]),"")</f>
        <v/>
      </c>
      <c r="RB40"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40"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40"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40"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0"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0"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0</v>
      </c>
      <c r="RH40"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40"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40"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0"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40"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40"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0"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40"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40"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1" spans="7:484" x14ac:dyDescent="0.25">
      <c r="G41" s="2">
        <v>35</v>
      </c>
      <c r="H41" s="2">
        <v>61</v>
      </c>
      <c r="I41" s="2">
        <v>0</v>
      </c>
      <c r="J41" s="2">
        <v>1</v>
      </c>
      <c r="L41" s="2" t="s">
        <v>240</v>
      </c>
      <c r="M41" s="2" t="s">
        <v>240</v>
      </c>
      <c r="R41" s="2">
        <v>11.795</v>
      </c>
      <c r="S41" s="2">
        <v>13.33</v>
      </c>
      <c r="T41" s="2">
        <v>10</v>
      </c>
      <c r="U41" s="2">
        <v>11</v>
      </c>
      <c r="V41" s="2">
        <v>1</v>
      </c>
      <c r="W41" s="2">
        <v>10</v>
      </c>
      <c r="X41" s="2">
        <v>11</v>
      </c>
      <c r="Y41" s="2">
        <v>8.75</v>
      </c>
      <c r="Z41" s="2">
        <v>10</v>
      </c>
      <c r="AA41" s="2">
        <v>1</v>
      </c>
      <c r="AB41" s="2" t="s">
        <v>315</v>
      </c>
      <c r="AC41" s="2">
        <v>8.91</v>
      </c>
      <c r="AD41" s="2">
        <v>9</v>
      </c>
      <c r="AE41" s="2">
        <v>8.7200000000000006</v>
      </c>
      <c r="AF41" s="2">
        <v>9</v>
      </c>
      <c r="AG41" s="2">
        <v>1</v>
      </c>
      <c r="AH41" s="2" t="s">
        <v>315</v>
      </c>
      <c r="AI41" s="2">
        <v>0</v>
      </c>
      <c r="AJ41" s="2">
        <v>0</v>
      </c>
      <c r="AK41" s="2">
        <v>0</v>
      </c>
      <c r="AL41" s="2">
        <v>0</v>
      </c>
      <c r="AM41" s="2">
        <v>0</v>
      </c>
      <c r="AN41" s="2" t="s">
        <v>315</v>
      </c>
      <c r="AO41" s="2">
        <v>0</v>
      </c>
      <c r="AP41" s="2">
        <v>0</v>
      </c>
      <c r="AQ41" s="2">
        <v>0</v>
      </c>
      <c r="AR41" s="2">
        <v>0</v>
      </c>
      <c r="AS41" s="2">
        <v>0</v>
      </c>
      <c r="AT41" s="2" t="s">
        <v>316</v>
      </c>
      <c r="AU41" s="2">
        <v>8.91</v>
      </c>
      <c r="AV41" s="2">
        <v>8.91</v>
      </c>
      <c r="AW41" s="2">
        <v>8.7200000000000006</v>
      </c>
      <c r="AX41" s="2">
        <v>8.8800000000000008</v>
      </c>
      <c r="AY41" s="2">
        <v>29</v>
      </c>
      <c r="AZ41" s="2" t="s">
        <v>316</v>
      </c>
      <c r="BA41" s="2">
        <v>8.91</v>
      </c>
      <c r="BB41" s="2">
        <v>9.2200000000000006</v>
      </c>
      <c r="BC41" s="2">
        <v>8.7200000000000006</v>
      </c>
      <c r="BD41" s="2">
        <v>9</v>
      </c>
      <c r="BE41" s="2">
        <v>11</v>
      </c>
      <c r="BF41" s="2" t="s">
        <v>316</v>
      </c>
      <c r="BG41" s="2">
        <v>0</v>
      </c>
      <c r="BH41" s="2">
        <v>0</v>
      </c>
      <c r="BI41" s="2">
        <v>0</v>
      </c>
      <c r="BJ41" s="2">
        <v>0</v>
      </c>
      <c r="BK41" s="2">
        <v>0</v>
      </c>
      <c r="BL41" s="2" t="s">
        <v>316</v>
      </c>
      <c r="BM41" s="2">
        <v>0</v>
      </c>
      <c r="BN41" s="2">
        <v>0</v>
      </c>
      <c r="BO41" s="2">
        <v>0</v>
      </c>
      <c r="BP41" s="2">
        <v>0</v>
      </c>
      <c r="BQ41" s="2">
        <v>0</v>
      </c>
      <c r="BR41" s="2" t="s">
        <v>317</v>
      </c>
      <c r="BS41" s="2">
        <v>9</v>
      </c>
      <c r="BT41" s="2">
        <v>10</v>
      </c>
      <c r="BU41" s="2">
        <v>8.75</v>
      </c>
      <c r="BV41" s="2">
        <v>9</v>
      </c>
      <c r="BW41" s="2">
        <v>1</v>
      </c>
      <c r="BX41" s="2" t="s">
        <v>317</v>
      </c>
      <c r="BY41" s="2">
        <v>0</v>
      </c>
      <c r="BZ41" s="2">
        <v>0</v>
      </c>
      <c r="CA41" s="2">
        <v>0</v>
      </c>
      <c r="CB41" s="2">
        <v>0</v>
      </c>
      <c r="CC41" s="2">
        <v>0</v>
      </c>
      <c r="CD41" s="2" t="s">
        <v>317</v>
      </c>
      <c r="CE41" s="2">
        <v>0</v>
      </c>
      <c r="CF41" s="2">
        <v>0</v>
      </c>
      <c r="CG41" s="2">
        <v>0</v>
      </c>
      <c r="CH41" s="2">
        <v>0</v>
      </c>
      <c r="CI41" s="2">
        <v>0</v>
      </c>
      <c r="CJ41" s="2" t="s">
        <v>318</v>
      </c>
      <c r="CK41" s="2">
        <v>0</v>
      </c>
      <c r="CL41" s="2">
        <v>0</v>
      </c>
      <c r="CM41" s="2">
        <v>0</v>
      </c>
      <c r="CN41" s="2">
        <v>0</v>
      </c>
      <c r="CO41" s="2">
        <v>0</v>
      </c>
      <c r="CP41" s="2" t="s">
        <v>318</v>
      </c>
      <c r="CQ41" s="2">
        <v>0</v>
      </c>
      <c r="CR41" s="2">
        <v>0</v>
      </c>
      <c r="CS41" s="2">
        <v>0</v>
      </c>
      <c r="CT41" s="2">
        <v>0</v>
      </c>
      <c r="CU41" s="2">
        <v>0</v>
      </c>
      <c r="CV41" s="2" t="s">
        <v>318</v>
      </c>
      <c r="CW41" s="2">
        <v>0</v>
      </c>
      <c r="CX41" s="2">
        <v>0</v>
      </c>
      <c r="CY41" s="2">
        <v>0</v>
      </c>
      <c r="CZ41" s="2">
        <v>0</v>
      </c>
      <c r="DA41" s="2">
        <v>0</v>
      </c>
      <c r="DB41" s="2">
        <v>0.03</v>
      </c>
      <c r="DC41" s="2">
        <v>92</v>
      </c>
      <c r="DD41" s="2">
        <v>0</v>
      </c>
      <c r="DE41" s="2">
        <v>421</v>
      </c>
      <c r="DF41" s="2">
        <v>0</v>
      </c>
      <c r="DG41" s="2">
        <v>375</v>
      </c>
      <c r="DH41" s="2">
        <v>15</v>
      </c>
      <c r="DI41" s="2">
        <v>0</v>
      </c>
      <c r="DJ41" s="2">
        <v>0</v>
      </c>
      <c r="DK41" s="2">
        <v>0</v>
      </c>
      <c r="DL41" s="2">
        <v>0</v>
      </c>
      <c r="DM41" s="2">
        <v>0</v>
      </c>
      <c r="DN41" s="2">
        <v>0</v>
      </c>
      <c r="DO41" s="2">
        <v>12.25</v>
      </c>
      <c r="DP41" s="2">
        <v>14</v>
      </c>
      <c r="DQ41" s="2">
        <v>14.5</v>
      </c>
      <c r="DR41" s="18">
        <v>43831</v>
      </c>
      <c r="DS41" s="18">
        <v>44196</v>
      </c>
      <c r="DT41" s="2">
        <v>34907.449999999997</v>
      </c>
      <c r="DU41" s="2">
        <v>50436.22</v>
      </c>
      <c r="DV41" s="2">
        <v>341678.77</v>
      </c>
      <c r="DW41" s="2">
        <v>0</v>
      </c>
      <c r="DX41" s="2">
        <v>0</v>
      </c>
      <c r="DY41" s="2">
        <v>0</v>
      </c>
      <c r="DZ41" s="2">
        <v>0</v>
      </c>
      <c r="EA41" s="2">
        <v>0</v>
      </c>
      <c r="EB41" s="2">
        <v>0</v>
      </c>
      <c r="EC41" s="2">
        <v>820</v>
      </c>
      <c r="ED41" s="2">
        <v>474.98</v>
      </c>
      <c r="EE41" s="2">
        <v>3194.1</v>
      </c>
      <c r="EF41" s="2">
        <v>4200</v>
      </c>
      <c r="EG41" s="2">
        <v>500</v>
      </c>
      <c r="EH41" s="2" t="s">
        <v>324</v>
      </c>
      <c r="EI41" s="2">
        <v>0</v>
      </c>
      <c r="EJ41" s="2" t="s">
        <v>324</v>
      </c>
      <c r="EK41" s="2">
        <v>0</v>
      </c>
      <c r="EL41" s="2">
        <v>2500</v>
      </c>
      <c r="EM41" s="2">
        <v>4200</v>
      </c>
      <c r="EN41" s="2">
        <v>1980</v>
      </c>
      <c r="EO41" s="2">
        <v>18000</v>
      </c>
      <c r="EP41" s="2">
        <v>2953</v>
      </c>
      <c r="EQ41" s="2">
        <v>80</v>
      </c>
      <c r="ER41" s="2">
        <v>500</v>
      </c>
      <c r="ES41" s="2">
        <v>0</v>
      </c>
      <c r="ET41" s="2" t="s">
        <v>324</v>
      </c>
      <c r="EU41" s="2">
        <v>0</v>
      </c>
      <c r="EV41" s="2" t="s">
        <v>324</v>
      </c>
      <c r="EW41" s="2">
        <v>0</v>
      </c>
      <c r="EX41" s="2">
        <v>6000</v>
      </c>
      <c r="EY41" s="2">
        <v>8920</v>
      </c>
      <c r="EZ41" s="2" t="s">
        <v>326</v>
      </c>
      <c r="FA41" s="2">
        <v>0</v>
      </c>
      <c r="FB41" s="2" t="s">
        <v>326</v>
      </c>
      <c r="FC41" s="2">
        <v>0</v>
      </c>
      <c r="FD41" s="2">
        <v>10931.93</v>
      </c>
      <c r="FE41" s="2">
        <v>0</v>
      </c>
      <c r="FF41" s="2">
        <v>0</v>
      </c>
      <c r="FG41" s="2"/>
      <c r="FH41" s="19">
        <v>44480.624351851853</v>
      </c>
      <c r="FI41" s="2" t="s">
        <v>345</v>
      </c>
      <c r="FJ41" s="2">
        <f>SUM(DATA[[#This Row],[Number of Home support clients:]],DATA[[#This Row],[Number of supported living clients:]])</f>
        <v>61</v>
      </c>
      <c r="FK41"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61-70</v>
      </c>
      <c r="FL41"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11.795</v>
      </c>
      <c r="FM41"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13.33</v>
      </c>
      <c r="FN41"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10</v>
      </c>
      <c r="FO41"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11</v>
      </c>
      <c r="FP41"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10</v>
      </c>
      <c r="FQ41"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11</v>
      </c>
      <c r="FR41"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8.75</v>
      </c>
      <c r="FS41"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10</v>
      </c>
      <c r="FT41"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8.91</v>
      </c>
      <c r="FU41"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9</v>
      </c>
      <c r="FV41"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8.7200000000000006</v>
      </c>
      <c r="FW41"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9</v>
      </c>
      <c r="FX41"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1"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1"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1"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1"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1"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1"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1"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1"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41"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41"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41"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8.8800000000000008</v>
      </c>
      <c r="GJ41"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8.91</v>
      </c>
      <c r="GK41"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9.2200000000000006</v>
      </c>
      <c r="GL41"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8.7200000000000006</v>
      </c>
      <c r="GM41"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v>
      </c>
      <c r="GN41"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41"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41"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41"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41"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1"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1"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1"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1"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v>
      </c>
      <c r="GW41"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v>
      </c>
      <c r="GX41"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8.75</v>
      </c>
      <c r="GY41"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v>
      </c>
      <c r="GZ41"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41"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41"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41"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41"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1"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1"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1"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1"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41"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41"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41"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41"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41"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41"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41"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41"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1"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1"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1"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1"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11.795</v>
      </c>
      <c r="HU41"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13.33</v>
      </c>
      <c r="HV41"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10</v>
      </c>
      <c r="HW41"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11</v>
      </c>
      <c r="HX41"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10</v>
      </c>
      <c r="HY41"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11</v>
      </c>
      <c r="HZ41"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8.75</v>
      </c>
      <c r="IA41"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10</v>
      </c>
      <c r="IB41"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8.91</v>
      </c>
      <c r="IC41"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9</v>
      </c>
      <c r="ID41"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8.7200000000000006</v>
      </c>
      <c r="IE41"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9</v>
      </c>
      <c r="IF41"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1"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1"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1"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1"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1"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1"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1"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1"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41"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41"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41"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8.8800000000000008</v>
      </c>
      <c r="IR41"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8.91</v>
      </c>
      <c r="IS41"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9.2200000000000006</v>
      </c>
      <c r="IT41"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8.7200000000000006</v>
      </c>
      <c r="IU41"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v>
      </c>
      <c r="IV41"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41"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41"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41"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41"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1"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1"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1"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1"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v>
      </c>
      <c r="JE41"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v>
      </c>
      <c r="JF41"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8.75</v>
      </c>
      <c r="JG41"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v>
      </c>
      <c r="JH41"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41"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41"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41"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41"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1"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1"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1"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1"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41"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41"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41"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41"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41"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41"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41"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41"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1"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1"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1"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1"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41" s="21">
        <f>SUM(DATA[[#This Row],[Care Assistant 1: Numbers employed (Full Time Equivalent)]],DATA[[#This Row],[Care Assistant 2: Numbers employed (Full Time Equivalent)]],DATA[[#This Row],[Care Assistant 3: Numbers employed (Full Time Equivalent)]],DATA[[#This Row],[Care Assistant 4: Numbers employed (Full Time Equivalent)]])</f>
        <v>40</v>
      </c>
      <c r="KD41" s="21">
        <f>SUM(DATA[[#This Row],[Administrative Officer 1: Numbers employed (Full Time Equivalent)]],DATA[[#This Row],[Administrative Officer 2: Numbers employed (Full Time Equivalent)]])</f>
        <v>1</v>
      </c>
      <c r="KE41" s="21">
        <f>SUM(DATA[[#This Row],[Other staff 1: Numbers employed (Full Time Equivalent)]],DATA[[#This Row],[Other staff 2: Numbers employed (Full Time Equivalent)]],DATA[[#This Row],[Other staff 3: Numbers employed (Full Time Equivalent)]])</f>
        <v>0</v>
      </c>
      <c r="KF41" s="21">
        <f>SUM(DATA[[#This Row],[Total FTE Management Employees]:[Total FTE Other Employees]])</f>
        <v>44</v>
      </c>
      <c r="KG41" s="21" t="str">
        <f>IF(SUM(DATA[[#This Row],[Home Support service split percentage (Expenditure):]],DATA[[#This Row],[Supported Living service split percentage (Expenditure):]])&gt;0, IF(DATA[[#This Row],[Home Support service split percentage (Expenditure):]]&gt;0.5,"Home Support","Supported Living"), "Unknown")</f>
        <v>Home Support</v>
      </c>
      <c r="KH41" s="21">
        <f>SUM(DATA[[#This Row],[Home Support: Birmingham City Council]:[Home Support: Self-funded]])</f>
        <v>903</v>
      </c>
      <c r="KI41" s="21">
        <f>SUM(DATA[[#This Row],[Supported Living: Birmingham City Council]:[Supported Living: Self-funded]])</f>
        <v>0</v>
      </c>
      <c r="KJ41"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1"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1"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1"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1" s="21" t="b">
        <f>SUM(DATA[[#This Row],[Number of hours of care charged for in last full accounting year]:[Corporate Overheads: Other  - please specify (category) 1]])&gt;0</f>
        <v>1</v>
      </c>
      <c r="KO41" s="21">
        <f>SUM(DATA[[#This Row],[Total annual expenditure: Management staff]:[Total annual expenditure: Training and development]])</f>
        <v>392114.99</v>
      </c>
      <c r="KP41" s="21">
        <f>SUM(DATA[[#This Row],[Recruitment &amp; advertising (including DBS checks)]:[Non-Staffing Direct Cost: Other  - please specify (amount) 2]])</f>
        <v>9189.08</v>
      </c>
      <c r="KQ41" s="21">
        <f>SUM(DATA[[#This Row],[Insurance ]:[Indirect costs: Other 2 - please specify (amount)]])</f>
        <v>30213</v>
      </c>
      <c r="KR41" s="21">
        <f>SUM(DATA[[#This Row],[Central / Regional Management]],DATA[[#This Row],[Support Services (finance / HR / Payroll / legal etc.)]],DATA[[#This Row],[Corporate Overheads: Other  - please specify (amount) 1]],DATA[[#This Row],[Corporate Overheads: Other  - please specify (amount) 2]])</f>
        <v>14920</v>
      </c>
      <c r="KS41"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1.4448554678156098</v>
      </c>
      <c r="KT41"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9.7881331921982291</v>
      </c>
      <c r="KU41"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41"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41"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41"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41"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41"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41"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2.3490687517994012E-2</v>
      </c>
      <c r="LB41"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1.3606837508898531E-2</v>
      </c>
      <c r="LC41" s="30">
        <f>IF(OR(NOT(DATA[[#This Row],[Care consumables &amp; uniforms]]&gt;0),NOT(DATA[[#This Row],[Number of hours of care charged for in last full accounting year]]&gt;0)),0,DATA[[#This Row],[Care consumables &amp; uniforms]]/DATA[[#This Row],[Number of hours of care charged for in last full accounting year]])</f>
        <v>9.1501957318566668E-2</v>
      </c>
      <c r="LD41" s="30">
        <f>IF(OR(NOT(DATA[[#This Row],[Electronic call monitoring]]&gt;0),NOT(DATA[[#This Row],[Number of hours of care charged for in last full accounting year]]&gt;0)),0,DATA[[#This Row],[Electronic call monitoring]]/DATA[[#This Row],[Number of hours of care charged for in last full accounting year]])</f>
        <v>0.12031815557996933</v>
      </c>
      <c r="LE41" s="30">
        <f>IF(OR(NOT(DATA[[#This Row],[IT Equipment &amp; Telephoney]]&gt;0),NOT(DATA[[#This Row],[Number of hours of care charged for in last full accounting year]]&gt;0)),0,DATA[[#This Row],[IT Equipment &amp; Telephoney]]/DATA[[#This Row],[Number of hours of care charged for in last full accounting year]])</f>
        <v>1.4323589949996348E-2</v>
      </c>
      <c r="LF41"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41"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41" s="30">
        <f>IF(OR(NOT(DATA[[#This Row],[Insurance ]]&gt;0),NOT(DATA[[#This Row],[Number of hours of care charged for in last full accounting year]]&gt;0)),0,DATA[[#This Row],[Insurance ]]/DATA[[#This Row],[Number of hours of care charged for in last full accounting year]])</f>
        <v>7.1617949749981744E-2</v>
      </c>
      <c r="LI41"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0.12031815557996933</v>
      </c>
      <c r="LJ41" s="30">
        <f>IF(OR(NOT(DATA[[#This Row],[Repairs and maintenance]]&gt;0),NOT(DATA[[#This Row],[Number of hours of care charged for in last full accounting year]]&gt;0)),0,DATA[[#This Row],[Repairs and maintenance]]/DATA[[#This Row],[Number of hours of care charged for in last full accounting year]])</f>
        <v>5.6721416201985543E-2</v>
      </c>
      <c r="LK41"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0.51564923819986852</v>
      </c>
      <c r="LL41" s="30">
        <f>IF(OR(NOT(DATA[[#This Row],[Registration &amp; Inspection fees ]]&gt;0),NOT(DATA[[#This Row],[Number of hours of care charged for in last full accounting year]]&gt;0)),0,DATA[[#This Row],[Registration &amp; Inspection fees ]]/DATA[[#This Row],[Number of hours of care charged for in last full accounting year]])</f>
        <v>8.4595122244678439E-2</v>
      </c>
      <c r="LM41" s="30">
        <f>IF(OR(NOT(DATA[[#This Row],[Subscriptions]]&gt;0),NOT(DATA[[#This Row],[Number of hours of care charged for in last full accounting year]]&gt;0)),0,DATA[[#This Row],[Subscriptions]]/DATA[[#This Row],[Number of hours of care charged for in last full accounting year]])</f>
        <v>2.2917743919994159E-3</v>
      </c>
      <c r="LN41" s="30">
        <f>IF(OR(NOT(DATA[[#This Row],[Cost of finance]]&gt;0),NOT(DATA[[#This Row],[Number of hours of care charged for in last full accounting year]]&gt;0)),0,DATA[[#This Row],[Cost of finance]]/DATA[[#This Row],[Number of hours of care charged for in last full accounting year]])</f>
        <v>1.4323589949996348E-2</v>
      </c>
      <c r="LO41" s="30">
        <f>IF(OR(NOT(DATA[[#This Row],[Other non-staff current expenses]]&gt;0),NOT(DATA[[#This Row],[Number of hours of care charged for in last full accounting year]]&gt;0)),0,DATA[[#This Row],[Other non-staff current expenses]]/DATA[[#This Row],[Number of hours of care charged for in last full accounting year]])</f>
        <v>0</v>
      </c>
      <c r="LP41"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41"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1" s="30">
        <f>IF(OR(NOT(DATA[[#This Row],[Central / Regional Management]]&gt;0),NOT(DATA[[#This Row],[Number of hours of care charged for in last full accounting year]]&gt;0)),0,DATA[[#This Row],[Central / Regional Management]]/DATA[[#This Row],[Number of hours of care charged for in last full accounting year]])</f>
        <v>0.17188307939995617</v>
      </c>
      <c r="LS41"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0.25553284470793486</v>
      </c>
      <c r="LT41"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41"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1" s="30">
        <f>SUM(DATA[[#This Row],[Management staff HOURLY RATE]:[Corporate Overheads: Other  - please specify (amount) 2 HOURLY RATE]])</f>
        <v>12.789163058315632</v>
      </c>
      <c r="LW41" s="30">
        <f>IF(OR(NOT(DATA[[#This Row],[Net Operating Profit]]&gt;0),NOT(DATA[[#This Row],[Number of hours of care charged for in last full accounting year]]&gt;0)),"",DATA[[#This Row],[Net Operating Profit]]/DATA[[#This Row],[Number of hours of care charged for in last full accounting year]])</f>
        <v>0.31316896536412719</v>
      </c>
      <c r="LX41" s="30">
        <f>IF(OR(NOT(DATA[[#This Row],[Return on Capital employed]]&gt;0),NOT(DATA[[#This Row],[Number of hours of care charged for in last full accounting year]]&gt;0)),0,DATA[[#This Row],[Return on Capital employed]]/DATA[[#This Row],[Number of hours of care charged for in last full accounting year]])</f>
        <v>0</v>
      </c>
      <c r="LY41" s="31">
        <v>35</v>
      </c>
      <c r="LZ41" s="30" t="s">
        <v>345</v>
      </c>
      <c r="MA41" s="30" t="b">
        <f>DATA[[#This Row],[Number of Home support clients:]]&gt;0</f>
        <v>1</v>
      </c>
      <c r="MB41" s="30" t="b">
        <f>DATA[[#This Row],[Number of supported living clients:]]&gt;0</f>
        <v>0</v>
      </c>
      <c r="MC41" s="30" t="b">
        <f>DATA[[#This Row],[Total Home Support Hours]]&gt;0</f>
        <v>1</v>
      </c>
      <c r="MD41" s="30" t="b">
        <f>DATA[[#This Row],[Total Supported Living Hours]]&gt;0</f>
        <v>0</v>
      </c>
      <c r="ME41" s="30" t="b">
        <f>DATA[[#This Row],[Home Support service split percentage (Expenditure):]]&gt;0.5</f>
        <v>1</v>
      </c>
      <c r="MF41" s="30" t="b">
        <f>DATA[[#This Row],[Agency staff HOURLY RATE]]=0</f>
        <v>1</v>
      </c>
      <c r="MG41" s="30">
        <f>IFERROR(IF(AVERAGE(DATA[[#This Row],[Registered manager: Current 2021/22 Minimum hourly pay rate ADJUSTED]],DATA[[#This Row],[Registered manager: Current 2021/22 Maximum hourly pay rate ADJUSTED]])&lt;LIVING_WAGE_22_23,DATA[[#This Row],[Registered manager: Numbers employed (Full Time Equivalent)]],0),"")</f>
        <v>0</v>
      </c>
      <c r="MH41" s="30">
        <f>IFERROR(IF(AVERAGE(DATA[[#This Row],[Deputy manager: Current 2021/22 Minimum hourly pay rate ADJUSTED]],DATA[[#This Row],[Deputy manager: Current 2021/22 Maximum hourly pay rate ADJUSTED]])&lt;LIVING_WAGE_22_23,DATA[[#This Row],[Deputy manager: Numbers employed (Full Time Equivalent)]],0),"")</f>
        <v>0</v>
      </c>
      <c r="MI41" s="30">
        <f>IFERROR(IF(AVERAGE(DATA[[#This Row],[Other manager 1: Current 2021/22 Minimum hourly pay rate ADJUSTED]],DATA[[#This Row],[Other manager 1: Current 2021/22 Maximum hourly pay rate ADJUSTED]])&lt;LIVING_WAGE_22_23,DATA[[#This Row],[Other manager 1: Numbers employed (Full Time Equivalent)]],0),"")</f>
        <v>1</v>
      </c>
      <c r="MJ41" s="30" t="str">
        <f>IFERROR(IF(AVERAGE(DATA[[#This Row],[Other manager 2: Current 2021/22 Minimum hourly pay rate ADJUSTED]],DATA[[#This Row],[Other manager 2: Current 2021/22 Maximum hourly pay rate ADJUSTED]])&lt;LIVING_WAGE_22_23,DATA[[#This Row],[Other manager 2: Numbers employed (Full Time Equivalent)]],0),"")</f>
        <v/>
      </c>
      <c r="MK41" s="30" t="str">
        <f>IFERROR(IF(AVERAGE(DATA[[#This Row],[Other manager 3: Current 2021/22 Minimum hourly pay rate ADJUSTED]],DATA[[#This Row],[Other manager 3: Current 2021/22 Maximum hourly pay rate ADJUSTED]])&lt;LIVING_WAGE_22_23,DATA[[#This Row],[Other manager 3: Numbers employed (Full Time Equivalent)]],0),"")</f>
        <v/>
      </c>
      <c r="ML41" s="30">
        <f>IFERROR(IF(AVERAGE(DATA[[#This Row],[Care Assistant 1: Current 2021/22 Minimum hourly pay rate ADJUSTED]],DATA[[#This Row],[Care Assistant 1: Current 2021/22 Maximum hourly pay rate ADJUSTED]])&lt;LIVING_WAGE_22_23,DATA[[#This Row],[Care Assistant 1: Numbers employed (Full Time Equivalent)]],0),"")</f>
        <v>29</v>
      </c>
      <c r="MM41" s="30">
        <f>IFERROR(IF(AVERAGE(DATA[[#This Row],[Care Assistant 2: Current 2021/22 Minimum hourly pay rate ADJUSTED]],DATA[[#This Row],[Care Assistant 2: Current 2021/22 Maximum hourly pay rate ADJUSTED]])&lt;LIVING_WAGE_22_23,DATA[[#This Row],[Care Assistant 2: Numbers employed (Full Time Equivalent)]],0),"")</f>
        <v>11</v>
      </c>
      <c r="MN41" s="30" t="str">
        <f>IFERROR(IF(AVERAGE(DATA[[#This Row],[Care Assistant 3: Current 2021/22 Minimum hourly pay rate ADJUSTED]],DATA[[#This Row],[Care Assistant 3: Current 2021/22 Maximum hourly pay rate ADJUSTED]])&lt;LIVING_WAGE_22_23,DATA[[#This Row],[Care Assistant 3: Numbers employed (Full Time Equivalent)]],0),"")</f>
        <v/>
      </c>
      <c r="MO41" s="30" t="str">
        <f>IFERROR(IF(AVERAGE(DATA[[#This Row],[Care Assistant 4: Current 2021/22 Minimum hourly pay rate ADJUSTED]],DATA[[#This Row],[Care Assistant 4: Current 2021/22 Maximum hourly pay rate ADJUSTED]])&lt;LIVING_WAGE_22_23,DATA[[#This Row],[Care Assistant 4: Numbers employed (Full Time Equivalent)]],0),"")</f>
        <v/>
      </c>
      <c r="MP41"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41"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41" s="30" t="str">
        <f>IFERROR(IF(AVERAGE(DATA[[#This Row],[Other staff 1: Current 2021/22 Minimum hourly pay rate ADJUSTED]],DATA[[#This Row],[Other staff 1: Current 2021/22 Maximum hourly pay rate ADJUSTED]])&lt;LIVING_WAGE_22_23,DATA[[#This Row],[Other staff 1: Numbers employed (Full Time Equivalent)]],0),"")</f>
        <v/>
      </c>
      <c r="MS41" s="30" t="str">
        <f>IFERROR(IF(AVERAGE(DATA[[#This Row],[Other staff 2: Current 2021/22 Minimum hourly pay rate ADJUSTED]],DATA[[#This Row],[Other staff 2: Current 2021/22 Maximum hourly pay rate ADJUSTED]])&lt;LIVING_WAGE_22_23,DATA[[#This Row],[Other staff 2: Numbers employed (Full Time Equivalent)]],0),"")</f>
        <v/>
      </c>
      <c r="MT41" s="30" t="str">
        <f>IFERROR(IF(AVERAGE(DATA[[#This Row],[Other staff 3: Current 2021/22 Minimum hourly pay rate ADJUSTED]],DATA[[#This Row],[Other staff 3: Current 2021/22 Maximum hourly pay rate ADJUSTED]])&lt;LIVING_WAGE_22_23,DATA[[#This Row],[Other staff 3: Numbers employed (Full Time Equivalent)]],0),"")</f>
        <v/>
      </c>
      <c r="MU41" s="30">
        <f>SUM(DATA[[#This Row],[Registered Manager FTE earning less than NLW 23yrs 2022/23]:[Other staff 3 FTE earning less than NLW 23yrs 2022/23]])</f>
        <v>41</v>
      </c>
      <c r="MV41"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41"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41"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0.54499999999999993</v>
      </c>
      <c r="MY41"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1"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1"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17.109999999999996</v>
      </c>
      <c r="NB41"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4.7849999999999859</v>
      </c>
      <c r="NC41"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41"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1"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41"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41"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41"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41"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1" s="30" t="b">
        <v>1</v>
      </c>
      <c r="NK41" s="30" t="b">
        <v>1</v>
      </c>
      <c r="NL41" s="30" t="s">
        <v>505</v>
      </c>
      <c r="NM41" s="30">
        <f>SUM(DATA[[#This Row],[Management staff HOURLY RATE]:[Training and development HOURLY RATE]])</f>
        <v>11.232988660013838</v>
      </c>
      <c r="NN41" s="30">
        <f>SUM(DATA[[#This Row],[Recruitment &amp; advertising (including DBS checks) HOURLY RATE]:[Non-Staffing Direct Cost: Other  - please specify (amount) 2 HOURLY RATE]])</f>
        <v>0.26324122787542487</v>
      </c>
      <c r="NO41" s="30">
        <f>SUM(DATA[[#This Row],[Insurance  HOURLY RATE]:[Indirect costs: Other  - please specify (amount) 2 HOURLY RATE]])</f>
        <v>0.86551724631847948</v>
      </c>
      <c r="NP41" s="30">
        <f>SUM(DATA[[#This Row],[Central / Regional Management HOURLY RATE]:[Corporate Overheads: Other  - please specify (amount) 2 HOURLY RATE]])</f>
        <v>0.42741592410789103</v>
      </c>
      <c r="NQ41"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41" s="30">
        <f>IFERROR(IF(AVERAGE(DATA[[#This Row],[Deputy manager: Current 2021/22 Minimum hourly pay rate ADJUSTED]],DATA[[#This Row],[Deputy manager: Current 2021/22 Maximum hourly pay rate ADJUSTED]])&lt;REAL_LIVING_WAGE_22_23,DATA[[#This Row],[Deputy manager: Numbers employed (Full Time Equivalent)]],0),"")</f>
        <v>0</v>
      </c>
      <c r="NS41" s="30">
        <f>IFERROR(IF(AVERAGE(DATA[[#This Row],[Other manager 1: Current 2021/22 Minimum hourly pay rate ADJUSTED]],DATA[[#This Row],[Other manager 1: Current 2021/22 Maximum hourly pay rate ADJUSTED]])&lt;REAL_LIVING_WAGE_22_23,DATA[[#This Row],[Other manager 1: Numbers employed (Full Time Equivalent)]],0),"")</f>
        <v>1</v>
      </c>
      <c r="NT41" s="30" t="str">
        <f>IFERROR(IF(AVERAGE(DATA[[#This Row],[Other manager 2: Current 2021/22 Minimum hourly pay rate ADJUSTED]],DATA[[#This Row],[Other manager 2: Current 2021/22 Maximum hourly pay rate ADJUSTED]])&lt;REAL_LIVING_WAGE_22_23,DATA[[#This Row],[Other manager 2: Numbers employed (Full Time Equivalent)]],0),"")</f>
        <v/>
      </c>
      <c r="NU41" s="30" t="str">
        <f>IFERROR(IF(AVERAGE(DATA[[#This Row],[Other manager 3: Current 2021/22 Minimum hourly pay rate ADJUSTED]],DATA[[#This Row],[Other manager 3: Current 2021/22 Maximum hourly pay rate ADJUSTED]])&lt;REAL_LIVING_WAGE_22_23,DATA[[#This Row],[Other manager 3: Numbers employed (Full Time Equivalent)]],0),"")</f>
        <v/>
      </c>
      <c r="NV41" s="30">
        <f>IFERROR(IF(AVERAGE(DATA[[#This Row],[Care Assistant 1: Current 2021/22 Minimum hourly pay rate ADJUSTED]],DATA[[#This Row],[Care Assistant 1: Current 2021/22 Maximum hourly pay rate ADJUSTED]])&lt;REAL_LIVING_WAGE_22_23,DATA[[#This Row],[Care Assistant 1: Numbers employed (Full Time Equivalent)]],0),"")</f>
        <v>29</v>
      </c>
      <c r="NW41" s="30">
        <f>IFERROR(IF(AVERAGE(DATA[[#This Row],[Care Assistant 2: Current 2021/22 Minimum hourly pay rate ADJUSTED]],DATA[[#This Row],[Care Assistant 2: Current 2021/22 Maximum hourly pay rate ADJUSTED]])&lt;REAL_LIVING_WAGE_22_23,DATA[[#This Row],[Care Assistant 2: Numbers employed (Full Time Equivalent)]],0),"")</f>
        <v>11</v>
      </c>
      <c r="NX41"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41"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1"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41"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41" s="30" t="str">
        <f>IFERROR(IF(AVERAGE(DATA[[#This Row],[Other staff 1: Current 2021/22 Minimum hourly pay rate ADJUSTED]],DATA[[#This Row],[Other staff 1: Current 2021/22 Maximum hourly pay rate ADJUSTED]])&lt;REAL_LIVING_WAGE_22_23,DATA[[#This Row],[Other staff 1: Numbers employed (Full Time Equivalent)]],0),"")</f>
        <v/>
      </c>
      <c r="OC41" s="30" t="str">
        <f>IFERROR(IF(AVERAGE(DATA[[#This Row],[Other staff 2: Current 2021/22 Minimum hourly pay rate ADJUSTED]],DATA[[#This Row],[Other staff 2: Current 2021/22 Maximum hourly pay rate ADJUSTED]])&lt;REAL_LIVING_WAGE_22_23,DATA[[#This Row],[Other staff 2: Numbers employed (Full Time Equivalent)]],0),"")</f>
        <v/>
      </c>
      <c r="OD41" s="30" t="str">
        <f>IFERROR(IF(AVERAGE(DATA[[#This Row],[Other staff 3: Current 2021/22 Minimum hourly pay rate ADJUSTED]],DATA[[#This Row],[Other staff 3: Current 2021/22 Maximum hourly pay rate ADJUSTED]])&lt;REAL_LIVING_WAGE_22_23,DATA[[#This Row],[Other staff 3: Numbers employed (Full Time Equivalent)]],0),"")</f>
        <v/>
      </c>
      <c r="OE41" s="30">
        <f>SUM(DATA[[#This Row],[Registered Manager FTE earning less than RLW 23yrs 2022/23]:[Other staff 3 FTE earning less than RLW 23yrs 2022/23]])</f>
        <v>42</v>
      </c>
      <c r="OF41"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41"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41"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0.94500000000000028</v>
      </c>
      <c r="OI41"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1"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1"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28.710000000000008</v>
      </c>
      <c r="OL41"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9.1849999999999898</v>
      </c>
      <c r="OM41"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41"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1"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0.40000000000000036</v>
      </c>
      <c r="OP41"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41"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41"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41"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1" s="30">
        <f>IFERROR(IF(DATA[[#This Row],[Registered manager: Numbers employed (Full Time Equivalent)]]=0,"",DATA[[#This Row],[Registered manager: Current 2021/22 Minimum hourly pay rate ADJUSTED 2]]*DATA[[#This Row],[Registered manager: Numbers employed (Full Time Equivalent)]]),"")</f>
        <v>11.795</v>
      </c>
      <c r="OU41" s="30">
        <f>IFERROR(IF(DATA[[#This Row],[Registered manager: Numbers employed (Full Time Equivalent)]]=0,"",DATA[[#This Row],[Registered manager: Current 2021/22 Maximum hourly pay rate ADJUSTED 2]]*DATA[[#This Row],[Registered manager: Numbers employed (Full Time Equivalent)]]),"")</f>
        <v>13.33</v>
      </c>
      <c r="OV41" s="30">
        <f>IFERROR(IF(DATA[[#This Row],[Registered manager: Numbers employed (Full Time Equivalent)]]=0,"",DATA[[#This Row],[Registered manager: Previous 2020/21 Minimum hourly pay rate ADJUSTED 2]]*DATA[[#This Row],[Registered manager: Numbers employed (Full Time Equivalent)]]),"")</f>
        <v>10</v>
      </c>
      <c r="OW41" s="30">
        <f>IFERROR(IF(DATA[[#This Row],[Registered manager: Numbers employed (Full Time Equivalent)]]=0,"",DATA[[#This Row],[Registered manager: Previous 2020/21 Maximum hourly pay rate ADJUSTED 2]]*DATA[[#This Row],[Registered manager: Numbers employed (Full Time Equivalent)]]),"")</f>
        <v>11</v>
      </c>
      <c r="OX41" s="30">
        <f>IFERROR(IF(DATA[[#This Row],[Deputy manager: Numbers employed (Full Time Equivalent)]]=0,"",DATA[[#This Row],[Deputy manager: Current 2021/22 Minimum hourly pay rate ADJUSTED 2]]*DATA[[#This Row],[Deputy manager: Numbers employed (Full Time Equivalent)]]),"")</f>
        <v>10</v>
      </c>
      <c r="OY41" s="30">
        <f>IFERROR(IF(DATA[[#This Row],[Deputy manager: Numbers employed (Full Time Equivalent)]]=0,"",DATA[[#This Row],[Deputy manager: Current 2021/22 Maximum hourly pay rate ADJUSTED 2]]*DATA[[#This Row],[Deputy manager: Numbers employed (Full Time Equivalent)]]),"")</f>
        <v>11</v>
      </c>
      <c r="OZ41" s="30">
        <f>IFERROR(IF(DATA[[#This Row],[Deputy manager: Numbers employed (Full Time Equivalent)]]=0,"",DATA[[#This Row],[Deputy manager: Previous 2020/21 Minimum hourly pay rate ADJUSTED 2]]*DATA[[#This Row],[Deputy manager: Numbers employed (Full Time Equivalent)]]),"")</f>
        <v>8.75</v>
      </c>
      <c r="PA41" s="30">
        <f>IFERROR(IF(DATA[[#This Row],[Deputy manager: Numbers employed (Full Time Equivalent)]]=0,"",DATA[[#This Row],[Deputy manager: Previous 2020/21 Maximum hourly pay rate ADJUSTED 2]]*DATA[[#This Row],[Deputy manager: Numbers employed (Full Time Equivalent)]]),"")</f>
        <v>10</v>
      </c>
      <c r="PB41" s="30">
        <f>IFERROR(IF(DATA[[#This Row],[Other manager 1: Numbers employed (Full Time Equivalent)]]=0,"",DATA[[#This Row],[Other manager 1: Current 2021/22 Minimum hourly pay rate ADJUSTED 2]]*DATA[[#This Row],[Other manager 1: Numbers employed (Full Time Equivalent)]]),"")</f>
        <v>8.91</v>
      </c>
      <c r="PC41" s="30">
        <f>IFERROR(IF(DATA[[#This Row],[Other manager 1: Numbers employed (Full Time Equivalent)]]=0,"",DATA[[#This Row],[Other manager 1: Current 2021/22 Maximum hourly pay rate ADJUSTED 2]]*DATA[[#This Row],[Other manager 1: Numbers employed (Full Time Equivalent)]]),"")</f>
        <v>9</v>
      </c>
      <c r="PD41" s="30">
        <f>IFERROR(IF(DATA[[#This Row],[Other manager 1: Numbers employed (Full Time Equivalent)]]=0,"",DATA[[#This Row],[Other manager 1: Previous 2020/21 Minimum hourly pay rate ADJUSTED 2]]*DATA[[#This Row],[Other manager 1: Numbers employed (Full Time Equivalent)]]),"")</f>
        <v>8.7200000000000006</v>
      </c>
      <c r="PE41" s="30">
        <f>IFERROR(IF(DATA[[#This Row],[Other manager 1: Numbers employed (Full Time Equivalent)]]=0,"",DATA[[#This Row],[Other manager 1: Previous 2020/21 Maximum hourly pay rate ADJUSTED 2]]*DATA[[#This Row],[Other manager 1: Numbers employed (Full Time Equivalent)]]),"")</f>
        <v>9</v>
      </c>
      <c r="PF41" s="30" t="str">
        <f>IFERROR(IF(DATA[[#This Row],[Other manager 2: Numbers employed (Full Time Equivalent)]]=0,"",DATA[[#This Row],[Other manager 2: Current 2021/22 Minimum hourly pay rate ADJUSTED 2]]*DATA[[#This Row],[Other manager 2: Numbers employed (Full Time Equivalent)]]),"")</f>
        <v/>
      </c>
      <c r="PG41" s="30" t="str">
        <f>IFERROR(IF(DATA[[#This Row],[Other manager 2: Numbers employed (Full Time Equivalent)]]=0,"",DATA[[#This Row],[Other manager 2: Current 2021/22 Maximum hourly pay rate ADJUSTED 2]]*DATA[[#This Row],[Other manager 2: Numbers employed (Full Time Equivalent)]]),"")</f>
        <v/>
      </c>
      <c r="PH41" s="30" t="str">
        <f>IFERROR(IF(DATA[[#This Row],[Other manager 2: Numbers employed (Full Time Equivalent)]]=0,"",DATA[[#This Row],[Other manager 2: Previous 2020/21 Minimum hourly pay rate ADJUSTED 2]]*DATA[[#This Row],[Other manager 2: Numbers employed (Full Time Equivalent)]]),"")</f>
        <v/>
      </c>
      <c r="PI41" s="30" t="str">
        <f>IFERROR(IF(DATA[[#This Row],[Other manager 2: Numbers employed (Full Time Equivalent)]]=0,"",DATA[[#This Row],[Other manager 2: Previous 2020/21 Maximum hourly pay rate ADJUSTED 2]]*DATA[[#This Row],[Other manager 2: Numbers employed (Full Time Equivalent)]]),"")</f>
        <v/>
      </c>
      <c r="PJ41" s="30" t="str">
        <f>IFERROR(IF(DATA[[#This Row],[Other manager 3: Numbers employed (Full Time Equivalent)]]=0,"",DATA[[#This Row],[Other manager 3: Current 2021/22 Minimum hourly pay rate ADJUSTED 2]]*DATA[[#This Row],[Other manager 3: Numbers employed (Full Time Equivalent)]]),"")</f>
        <v/>
      </c>
      <c r="PK41" s="30" t="str">
        <f>IFERROR(IF(DATA[[#This Row],[Other manager 3: Numbers employed (Full Time Equivalent)]]=0,"",DATA[[#This Row],[Other manager 3: Current 2021/22 Maximum hourly pay rate ADJUSTED 2]]*DATA[[#This Row],[Other manager 3: Numbers employed (Full Time Equivalent)]]),"")</f>
        <v/>
      </c>
      <c r="PL41" s="30" t="str">
        <f>IFERROR(IF(DATA[[#This Row],[Other manager 3: Numbers employed (Full Time Equivalent)]]=0,"",DATA[[#This Row],[Other manager 3: Previous 2020/21 Minimum hourly pay rate ADJUSTED 2]]*DATA[[#This Row],[Other manager 3: Numbers employed (Full Time Equivalent)]]),"")</f>
        <v/>
      </c>
      <c r="PM41" s="30" t="str">
        <f>IFERROR(IF(DATA[[#This Row],[Other manager 3: Numbers employed (Full Time Equivalent)]]=0,"",DATA[[#This Row],[Other manager 3: Previous 2020/21 Maximum hourly pay rate ADJUSTED 2]]*DATA[[#This Row],[Other manager 3: Numbers employed (Full Time Equivalent)]]),"")</f>
        <v/>
      </c>
      <c r="PN41" s="30">
        <f>IFERROR(IF(DATA[[#This Row],[Care Assistant 1: Numbers employed (Full Time Equivalent)]]=0,"",DATA[[#This Row],[Care Assistant 1: Current 2021/22 Minimum hourly pay rate ADJUSTED 2]]*DATA[[#This Row],[Care Assistant 1: Numbers employed (Full Time Equivalent)]]),"")</f>
        <v>258.39</v>
      </c>
      <c r="PO41" s="30">
        <f>IFERROR(IF(DATA[[#This Row],[Care Assistant 1: Numbers employed (Full Time Equivalent)]]=0,"",DATA[[#This Row],[Care Assistant 1: Current 2021/22 Maximum hourly pay rate ADJUSTED 2]]*DATA[[#This Row],[Care Assistant 1: Numbers employed (Full Time Equivalent)]]),"")</f>
        <v>258.39</v>
      </c>
      <c r="PP41" s="30">
        <f>IFERROR(IF(DATA[[#This Row],[Care Assistant 1: Numbers employed (Full Time Equivalent)]]=0,"",DATA[[#This Row],[Care Assistant 1: Previous 2020/21 Minimum hourly pay rate ADJUSTED 2]]*DATA[[#This Row],[Care Assistant 1: Numbers employed (Full Time Equivalent)]]),"")</f>
        <v>252.88000000000002</v>
      </c>
      <c r="PQ41" s="30">
        <f>IFERROR(IF(DATA[[#This Row],[Care Assistant 1: Numbers employed (Full Time Equivalent)]]=0,"",DATA[[#This Row],[Care Assistant 1: Previous 2020/21 Maximum hourly pay rate ADJUSTED 2]]*DATA[[#This Row],[Care Assistant 1: Numbers employed (Full Time Equivalent)]]),"")</f>
        <v>257.52000000000004</v>
      </c>
      <c r="PR41" s="30">
        <f>IFERROR(IF(DATA[[#This Row],[Care Assistant 2: Numbers employed (Full Time Equivalent)]]=0,"",DATA[[#This Row],[Care Assistant 2: Current 2021/22 Minimum hourly pay rate ADJUSTED 2]]*DATA[[#This Row],[Care Assistant 2: Numbers employed (Full Time Equivalent)]]),"")</f>
        <v>98.01</v>
      </c>
      <c r="PS41" s="30">
        <f>IFERROR(IF(DATA[[#This Row],[Care Assistant 2: Numbers employed (Full Time Equivalent)]]=0,"",DATA[[#This Row],[Care Assistant 2: Current 2021/22 Maximum hourly pay rate ADJUSTED 2]]*DATA[[#This Row],[Care Assistant 2: Numbers employed (Full Time Equivalent)]]),"")</f>
        <v>101.42</v>
      </c>
      <c r="PT41" s="30">
        <f>IFERROR(IF(DATA[[#This Row],[Care Assistant 2: Numbers employed (Full Time Equivalent)]]=0,"",DATA[[#This Row],[Care Assistant 2: Previous 2020/21 Minimum hourly pay rate ADJUSTED 2]]*DATA[[#This Row],[Care Assistant 2: Numbers employed (Full Time Equivalent)]]),"")</f>
        <v>95.92</v>
      </c>
      <c r="PU41" s="30">
        <f>IFERROR(IF(DATA[[#This Row],[Care Assistant 2: Numbers employed (Full Time Equivalent)]]=0,"",DATA[[#This Row],[Care Assistant 2: Previous 2020/21 Maximum hourly pay rate ADJUSTED 2]]*DATA[[#This Row],[Care Assistant 2: Numbers employed (Full Time Equivalent)]]),"")</f>
        <v>99</v>
      </c>
      <c r="PV41" s="30" t="str">
        <f>IFERROR(IF(DATA[[#This Row],[Care Assistant 3: Numbers employed (Full Time Equivalent)]]=0,"",DATA[[#This Row],[Care Assistant 3: Current 2021/22 Minimum hourly pay rate ADJUSTED 2]]*DATA[[#This Row],[Care Assistant 3: Numbers employed (Full Time Equivalent)]]),"")</f>
        <v/>
      </c>
      <c r="PW41" s="30" t="str">
        <f>IFERROR(IF(DATA[[#This Row],[Care Assistant 3: Numbers employed (Full Time Equivalent)]]=0,"",DATA[[#This Row],[Care Assistant 3: Current 2021/22 Maximum hourly pay rate ADJUSTED 2]]*DATA[[#This Row],[Care Assistant 3: Numbers employed (Full Time Equivalent)]]),"")</f>
        <v/>
      </c>
      <c r="PX41" s="30" t="str">
        <f>IFERROR(IF(DATA[[#This Row],[Care Assistant 3: Numbers employed (Full Time Equivalent)]]=0,"",DATA[[#This Row],[Care Assistant 3: Previous 2020/21 Minimum hourly pay rate ADJUSTED 2]]*DATA[[#This Row],[Care Assistant 3: Numbers employed (Full Time Equivalent)]]),"")</f>
        <v/>
      </c>
      <c r="PY41" s="30" t="str">
        <f>IFERROR(IF(DATA[[#This Row],[Care Assistant 3: Numbers employed (Full Time Equivalent)]]=0,"",DATA[[#This Row],[Care Assistant 3: Previous 2020/21 Maximum hourly pay rate ADJUSTED 2]]*DATA[[#This Row],[Care Assistant 3: Numbers employed (Full Time Equivalent)]]),"")</f>
        <v/>
      </c>
      <c r="PZ41" s="30" t="str">
        <f>IFERROR(IF(DATA[[#This Row],[Care Assistant 4: Numbers employed (Full Time Equivalent)]]=0,"",DATA[[#This Row],[Care Assistant 4: Current 2021/22 Minimum hourly pay rate ADJUSTED 2]]*DATA[[#This Row],[Care Assistant 4: Numbers employed (Full Time Equivalent)]]),"")</f>
        <v/>
      </c>
      <c r="QA41" s="30" t="str">
        <f>IFERROR(IF(DATA[[#This Row],[Care Assistant 4: Numbers employed (Full Time Equivalent)]]=0,"",DATA[[#This Row],[Care Assistant 4: Current 2021/22 Maximum hourly pay rate ADJUSTED 2]]*DATA[[#This Row],[Care Assistant 4: Numbers employed (Full Time Equivalent)]]),"")</f>
        <v/>
      </c>
      <c r="QB41" s="30" t="str">
        <f>IFERROR(IF(DATA[[#This Row],[Care Assistant 4: Numbers employed (Full Time Equivalent)]]=0,"",DATA[[#This Row],[Care Assistant 4: Previous 2020/21 Minimum hourly pay rate ADJUSTED 2]]*DATA[[#This Row],[Care Assistant 4: Numbers employed (Full Time Equivalent)]]),"")</f>
        <v/>
      </c>
      <c r="QC41" s="30" t="str">
        <f>IFERROR(IF(DATA[[#This Row],[Care Assistant 4: Numbers employed (Full Time Equivalent)]]=0,"",DATA[[#This Row],[Care Assistant 4: Previous 2020/21 Maximum hourly pay rate ADJUSTED 2]]*DATA[[#This Row],[Care Assistant 4: Numbers employed (Full Time Equivalent)]]),"")</f>
        <v/>
      </c>
      <c r="QD41" s="30">
        <f>IFERROR(IF(DATA[[#This Row],[Administrative Officer 1: Numbers employed (Full Time Equivalent)]]=0,"",DATA[[#This Row],[Administrative Officer 1: Current 2021/22 Minimum hourly pay rate ADJUSTED 2]]*DATA[[#This Row],[Administrative Officer 1: Numbers employed (Full Time Equivalent)]]),"")</f>
        <v>9</v>
      </c>
      <c r="QE41" s="30">
        <f>IFERROR(IF(DATA[[#This Row],[Administrative Officer 1: Numbers employed (Full Time Equivalent)]]=0,"",DATA[[#This Row],[Administrative Officer 1: Current 2021/22 Maximum hourly pay rate ADJUSTED 2]]*DATA[[#This Row],[Administrative Officer 1: Numbers employed (Full Time Equivalent)]]),"")</f>
        <v>10</v>
      </c>
      <c r="QF41" s="30">
        <f>IFERROR(IF(DATA[[#This Row],[Administrative Officer 1: Numbers employed (Full Time Equivalent)]]=0,"",DATA[[#This Row],[Administrative Officer 1: Previous 2020/21 Minimum hourly pay rate ADJUSTED 2]]*DATA[[#This Row],[Administrative Officer 1: Numbers employed (Full Time Equivalent)]]),"")</f>
        <v>8.75</v>
      </c>
      <c r="QG41" s="30">
        <f>IFERROR(IF(DATA[[#This Row],[Administrative Officer 1: Numbers employed (Full Time Equivalent)]]=0,"",DATA[[#This Row],[Administrative Officer 1: Previous 2020/21 Maximum hourly pay rate ADJUSTED 2]]*DATA[[#This Row],[Administrative Officer 1: Numbers employed (Full Time Equivalent)]]),"")</f>
        <v>9</v>
      </c>
      <c r="QH41" s="30" t="str">
        <f>IFERROR(IF(DATA[[#This Row],[Administrative Officer 2: Numbers employed (Full Time Equivalent)]]=0,"",DATA[[#This Row],[Administrative Officer 2: Current 2021/22 Minimum hourly pay rate ADJUSTED 2]]*DATA[[#This Row],[Administrative Officer 2: Numbers employed (Full Time Equivalent)]]),"")</f>
        <v/>
      </c>
      <c r="QI41" s="30" t="str">
        <f>IFERROR(IF(DATA[[#This Row],[Administrative Officer 2: Numbers employed (Full Time Equivalent)]]=0,"",DATA[[#This Row],[Administrative Officer 2: Current 2021/22 Maximum hourly pay rate ADJUSTED 2]]*DATA[[#This Row],[Administrative Officer 2: Numbers employed (Full Time Equivalent)]]),"")</f>
        <v/>
      </c>
      <c r="QJ41" s="30" t="str">
        <f>IFERROR(IF(DATA[[#This Row],[Administrative Officer 2: Numbers employed (Full Time Equivalent)]]=0,"",DATA[[#This Row],[Administrative Officer 2: Previous 2020/21 Minimum hourly pay rate ADJUSTED 2]]*DATA[[#This Row],[Administrative Officer 2: Numbers employed (Full Time Equivalent)]]),"")</f>
        <v/>
      </c>
      <c r="QK41" s="30" t="str">
        <f>IFERROR(IF(DATA[[#This Row],[Administrative Officer 2: Numbers employed (Full Time Equivalent)]]=0,"",DATA[[#This Row],[Administrative Officer 2: Previous 2020/21 Maximum hourly pay rate ADJUSTED 2]]*DATA[[#This Row],[Administrative Officer 2: Numbers employed (Full Time Equivalent)]]),"")</f>
        <v/>
      </c>
      <c r="QL41" s="30" t="str">
        <f>IFERROR(IF(DATA[[#This Row],[Administrative Officer 3: Numbers employed (Full Time Equivalent)]]=0,"",DATA[[#This Row],[Administrative Officer 3: Current 2021/22 Minimum hourly pay rate ADJUSTED 2]]*DATA[[#This Row],[Administrative Officer 3: Numbers employed (Full Time Equivalent)]]),"")</f>
        <v/>
      </c>
      <c r="QM41" s="30" t="str">
        <f>IFERROR(IF(DATA[[#This Row],[Administrative Officer 3: Numbers employed (Full Time Equivalent)]]=0,"",DATA[[#This Row],[Administrative Officer 3: Current 2021/22 Maximum hourly pay rate ADJUSTED 2]]*DATA[[#This Row],[Administrative Officer 3: Numbers employed (Full Time Equivalent)]]),"")</f>
        <v/>
      </c>
      <c r="QN41" s="30" t="str">
        <f>IFERROR(IF(DATA[[#This Row],[Administrative Officer 3: Numbers employed (Full Time Equivalent)]]=0,"",DATA[[#This Row],[Administrative Officer 3: Previous 2020/21 Minimum hourly pay rate ADJUSTED 2]]*DATA[[#This Row],[Administrative Officer 3: Numbers employed (Full Time Equivalent)]]),"")</f>
        <v/>
      </c>
      <c r="QO41" s="30" t="str">
        <f>IFERROR(IF(DATA[[#This Row],[Administrative Officer 3: Numbers employed (Full Time Equivalent)]]=0,"",DATA[[#This Row],[Administrative Officer 3: Previous 2020/21 Maximum hourly pay rate ADJUSTED 2]]*DATA[[#This Row],[Administrative Officer 3: Numbers employed (Full Time Equivalent)]]),"")</f>
        <v/>
      </c>
      <c r="QP41" s="28" t="str">
        <f>IFERROR(IF(DATA[[#This Row],[Other staff 1: Numbers employed (Full Time Equivalent)]]=0,"",DATA[[#This Row],[Other staff 1: Current 2021/22 Minimum hourly pay rate ADJUSTED 2]]*DATA[[#This Row],[Other staff 1: Numbers employed (Full Time Equivalent)]]),"")</f>
        <v/>
      </c>
      <c r="QQ41" s="28" t="str">
        <f>IFERROR(IF(DATA[[#This Row],[Other staff 1: Numbers employed (Full Time Equivalent)]]=0,"",DATA[[#This Row],[Other staff 1: Current 2021/22 Maximum hourly pay rate ADJUSTED 2]]*DATA[[#This Row],[Other staff 1: Numbers employed (Full Time Equivalent)]]),"")</f>
        <v/>
      </c>
      <c r="QR41" s="28" t="str">
        <f>IFERROR(IF(DATA[[#This Row],[Other staff 1: Numbers employed (Full Time Equivalent)]]=0,"",DATA[[#This Row],[Other staff 1: Previous 2020/21 Minimum hourly pay rate ADJUSTED 2]]*DATA[[#This Row],[Other staff 1: Numbers employed (Full Time Equivalent)]]),"")</f>
        <v/>
      </c>
      <c r="QS41" s="28" t="str">
        <f>IFERROR(IF(DATA[[#This Row],[Other staff 1: Numbers employed (Full Time Equivalent)]]=0,"",DATA[[#This Row],[Other staff 1: Previous 2020/21 Maximum hourly pay rate ADJUSTED 2]]*DATA[[#This Row],[Other staff 1: Numbers employed (Full Time Equivalent)]]),"")</f>
        <v/>
      </c>
      <c r="QT41" s="28" t="str">
        <f>IFERROR(IF(DATA[[#This Row],[Other staff 2: Numbers employed (Full Time Equivalent)]]=0,"",DATA[[#This Row],[Other staff 2: Current 2021/22 Minimum hourly pay rate ADJUSTED 2]]*DATA[[#This Row],[Other staff 2: Numbers employed (Full Time Equivalent)]]),"")</f>
        <v/>
      </c>
      <c r="QU41" s="28" t="str">
        <f>IFERROR(IF(DATA[[#This Row],[Other staff 2: Numbers employed (Full Time Equivalent)]]=0,"",DATA[[#This Row],[Other staff 2: Current 2021/22 Maximum hourly pay rate ADJUSTED 2]]*DATA[[#This Row],[Other staff 2: Numbers employed (Full Time Equivalent)]]),"")</f>
        <v/>
      </c>
      <c r="QV41" s="28" t="str">
        <f>IFERROR(IF(DATA[[#This Row],[Other staff 2: Numbers employed (Full Time Equivalent)]]=0,"",DATA[[#This Row],[Other staff 2: Previous 2020/21 Minimum hourly pay rate ADJUSTED 2]]*DATA[[#This Row],[Other staff 2: Numbers employed (Full Time Equivalent)]]),"")</f>
        <v/>
      </c>
      <c r="QW41" s="28" t="str">
        <f>IFERROR(IF(DATA[[#This Row],[Other staff 2: Numbers employed (Full Time Equivalent)]]=0,"",DATA[[#This Row],[Other staff 2: Previous 2020/21 Maximum hourly pay rate ADJUSTED 2]]*DATA[[#This Row],[Other staff 2: Numbers employed (Full Time Equivalent)]]),"")</f>
        <v/>
      </c>
      <c r="QX41" s="28" t="str">
        <f>IFERROR(IF(DATA[[#This Row],[Other staff 3: Numbers employed (Full Time Equivalent)]]=0,"",DATA[[#This Row],[Other staff 3: Current 2021/22 Minimum hourly pay rate ADJUSTED 2]]*DATA[[#This Row],[Other staff 3: Numbers employed (Full Time Equivalent)]]),"")</f>
        <v/>
      </c>
      <c r="QY41" s="28" t="str">
        <f>IFERROR(IF(DATA[[#This Row],[Other staff 3: Numbers employed (Full Time Equivalent)]]=0,"",DATA[[#This Row],[Other staff 3: Current 2021/22 Maximum hourly pay rate ADJUSTED 2]]*DATA[[#This Row],[Other staff 3: Numbers employed (Full Time Equivalent)]]),"")</f>
        <v/>
      </c>
      <c r="QZ41" s="28" t="str">
        <f>IFERROR(IF(DATA[[#This Row],[Other staff 3: Numbers employed (Full Time Equivalent)]]=0,"",DATA[[#This Row],[Other staff 3: Previous 2020/21 Minimum hourly pay rate ADJUSTED 2]]*DATA[[#This Row],[Other staff 3: Numbers employed (Full Time Equivalent)]]),"")</f>
        <v/>
      </c>
      <c r="RA41" s="28" t="str">
        <f>IFERROR(IF(DATA[[#This Row],[Other staff 3: Numbers employed (Full Time Equivalent)]]=0,"",DATA[[#This Row],[Other staff 3: Previous 2020/21 Maximum hourly pay rate ADJUSTED 2]]*DATA[[#This Row],[Other staff 3: Numbers employed (Full Time Equivalent)]]),"")</f>
        <v/>
      </c>
      <c r="RB41"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41"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41"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41"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1"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1"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29</v>
      </c>
      <c r="RH41"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11</v>
      </c>
      <c r="RI41"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41"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1"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41"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41"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1"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41"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41"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2" spans="7:484" x14ac:dyDescent="0.25">
      <c r="G42" s="2">
        <v>36</v>
      </c>
      <c r="H42" s="2">
        <v>20</v>
      </c>
      <c r="J42" s="2">
        <v>1</v>
      </c>
      <c r="R42" s="2">
        <v>13.332800000000001</v>
      </c>
      <c r="S42" s="2">
        <v>16.265599999999999</v>
      </c>
      <c r="T42" s="2">
        <v>12.82</v>
      </c>
      <c r="U42" s="2">
        <v>15.64</v>
      </c>
      <c r="V42" s="2">
        <v>1</v>
      </c>
      <c r="W42" s="2">
        <v>11.4712</v>
      </c>
      <c r="X42" s="2">
        <v>15.1944</v>
      </c>
      <c r="Y42" s="2">
        <v>11.03</v>
      </c>
      <c r="Z42" s="2">
        <v>14.61</v>
      </c>
      <c r="AA42" s="2">
        <v>1</v>
      </c>
      <c r="AB42" s="2" t="s">
        <v>315</v>
      </c>
      <c r="AC42" s="2">
        <v>10.4</v>
      </c>
      <c r="AD42" s="2">
        <v>14.144</v>
      </c>
      <c r="AE42" s="2">
        <v>10</v>
      </c>
      <c r="AF42" s="2">
        <v>13.6</v>
      </c>
      <c r="AG42" s="2">
        <v>1</v>
      </c>
      <c r="AH42" s="2" t="s">
        <v>315</v>
      </c>
      <c r="AI42" s="2">
        <v>0</v>
      </c>
      <c r="AJ42" s="2">
        <v>0</v>
      </c>
      <c r="AK42" s="2">
        <v>0</v>
      </c>
      <c r="AL42" s="2">
        <v>0</v>
      </c>
      <c r="AM42" s="2">
        <v>0</v>
      </c>
      <c r="AN42" s="2" t="s">
        <v>315</v>
      </c>
      <c r="AO42" s="2">
        <v>0</v>
      </c>
      <c r="AP42" s="2">
        <v>0</v>
      </c>
      <c r="AQ42" s="2">
        <v>0</v>
      </c>
      <c r="AR42" s="2">
        <v>0</v>
      </c>
      <c r="AS42" s="2">
        <v>0</v>
      </c>
      <c r="AT42" s="2" t="s">
        <v>316</v>
      </c>
      <c r="AU42" s="2">
        <v>0</v>
      </c>
      <c r="AV42" s="2">
        <v>0</v>
      </c>
      <c r="AW42" s="2">
        <v>0</v>
      </c>
      <c r="AX42" s="2">
        <v>0</v>
      </c>
      <c r="AY42" s="2">
        <v>0</v>
      </c>
      <c r="AZ42" s="2" t="s">
        <v>316</v>
      </c>
      <c r="BA42" s="2">
        <v>0</v>
      </c>
      <c r="BB42" s="2">
        <v>0</v>
      </c>
      <c r="BC42" s="2">
        <v>0</v>
      </c>
      <c r="BD42" s="2">
        <v>0</v>
      </c>
      <c r="BE42" s="2">
        <v>0</v>
      </c>
      <c r="BF42" s="2" t="s">
        <v>316</v>
      </c>
      <c r="BG42" s="2">
        <v>0</v>
      </c>
      <c r="BH42" s="2">
        <v>0</v>
      </c>
      <c r="BI42" s="2">
        <v>0</v>
      </c>
      <c r="BJ42" s="2">
        <v>0</v>
      </c>
      <c r="BK42" s="2">
        <v>0</v>
      </c>
      <c r="BL42" s="2" t="s">
        <v>316</v>
      </c>
      <c r="BM42" s="2">
        <v>0</v>
      </c>
      <c r="BN42" s="2">
        <v>0</v>
      </c>
      <c r="BO42" s="2">
        <v>0</v>
      </c>
      <c r="BP42" s="2">
        <v>0</v>
      </c>
      <c r="BQ42" s="2">
        <v>0</v>
      </c>
      <c r="BR42" s="2" t="s">
        <v>317</v>
      </c>
      <c r="BS42" s="2">
        <v>8.2680000000000007</v>
      </c>
      <c r="BT42" s="2">
        <v>9.8696000000000002</v>
      </c>
      <c r="BU42" s="2">
        <v>7.95</v>
      </c>
      <c r="BV42" s="2">
        <v>9.49</v>
      </c>
      <c r="BW42" s="2">
        <v>1</v>
      </c>
      <c r="BX42" s="2" t="s">
        <v>317</v>
      </c>
      <c r="BY42" s="2">
        <v>4.4720000000000004</v>
      </c>
      <c r="BZ42" s="2">
        <v>8.2680000000000007</v>
      </c>
      <c r="CA42" s="2">
        <v>4.3</v>
      </c>
      <c r="CB42" s="2">
        <v>7.95</v>
      </c>
      <c r="CC42" s="2">
        <v>2</v>
      </c>
      <c r="CD42" s="2" t="s">
        <v>317</v>
      </c>
      <c r="CE42" s="2">
        <v>0</v>
      </c>
      <c r="CF42" s="2">
        <v>0</v>
      </c>
      <c r="CG42" s="2">
        <v>0</v>
      </c>
      <c r="CH42" s="2">
        <v>0</v>
      </c>
      <c r="CI42" s="2">
        <v>0</v>
      </c>
      <c r="CJ42" s="2" t="s">
        <v>318</v>
      </c>
      <c r="CK42" s="2">
        <v>0</v>
      </c>
      <c r="CL42" s="2">
        <v>0</v>
      </c>
      <c r="CM42" s="2">
        <v>0</v>
      </c>
      <c r="CN42" s="2">
        <v>0</v>
      </c>
      <c r="CO42" s="2">
        <v>0</v>
      </c>
      <c r="CP42" s="2" t="s">
        <v>318</v>
      </c>
      <c r="CQ42" s="2">
        <v>0</v>
      </c>
      <c r="CR42" s="2">
        <v>0</v>
      </c>
      <c r="CS42" s="2">
        <v>0</v>
      </c>
      <c r="CT42" s="2">
        <v>0</v>
      </c>
      <c r="CU42" s="2">
        <v>0</v>
      </c>
      <c r="CV42" s="2" t="s">
        <v>318</v>
      </c>
      <c r="CW42" s="2">
        <v>0</v>
      </c>
      <c r="CX42" s="2">
        <v>0</v>
      </c>
      <c r="CY42" s="2">
        <v>0</v>
      </c>
      <c r="CZ42" s="2">
        <v>0</v>
      </c>
      <c r="DA42" s="2">
        <v>0</v>
      </c>
      <c r="DB42" s="2">
        <v>0.03</v>
      </c>
      <c r="DC42" s="2">
        <v>0</v>
      </c>
      <c r="DD42" s="2">
        <v>0</v>
      </c>
      <c r="DE42" s="2">
        <v>0</v>
      </c>
      <c r="DF42" s="2">
        <v>0</v>
      </c>
      <c r="DG42" s="2">
        <v>199</v>
      </c>
      <c r="DH42" s="2">
        <v>117</v>
      </c>
      <c r="DI42" s="2">
        <v>0</v>
      </c>
      <c r="DJ42" s="2">
        <v>0</v>
      </c>
      <c r="DK42" s="2">
        <v>0</v>
      </c>
      <c r="DL42" s="2">
        <v>0</v>
      </c>
      <c r="DM42" s="2">
        <v>0</v>
      </c>
      <c r="DN42" s="2">
        <v>0</v>
      </c>
      <c r="DO42" s="2">
        <v>15.1</v>
      </c>
      <c r="DP42" s="2">
        <v>14.65</v>
      </c>
      <c r="DQ42" s="2">
        <v>15.27</v>
      </c>
      <c r="DR42" s="18">
        <v>43922</v>
      </c>
      <c r="DS42" s="18">
        <v>44286</v>
      </c>
      <c r="DT42" s="2">
        <v>15460</v>
      </c>
      <c r="DU42" s="2">
        <v>32900</v>
      </c>
      <c r="DV42" s="2">
        <v>152171</v>
      </c>
      <c r="DW42" s="2">
        <v>20550</v>
      </c>
      <c r="DX42" s="2">
        <v>10571</v>
      </c>
      <c r="DY42" s="2">
        <v>0</v>
      </c>
      <c r="DZ42" s="2">
        <v>5239</v>
      </c>
      <c r="EA42" s="2">
        <v>1864</v>
      </c>
      <c r="EB42" s="2">
        <v>1124</v>
      </c>
      <c r="EC42" s="2">
        <v>1260</v>
      </c>
      <c r="ED42" s="2">
        <v>3683</v>
      </c>
      <c r="EE42" s="2">
        <v>3816</v>
      </c>
      <c r="EF42" s="2">
        <v>3408</v>
      </c>
      <c r="EG42" s="2">
        <v>5353</v>
      </c>
      <c r="EH42" s="2" t="s">
        <v>324</v>
      </c>
      <c r="EI42" s="2">
        <v>0</v>
      </c>
      <c r="EJ42" s="2" t="s">
        <v>324</v>
      </c>
      <c r="EK42" s="2">
        <v>0</v>
      </c>
      <c r="EL42" s="2">
        <v>1383</v>
      </c>
      <c r="EM42" s="2">
        <v>7982</v>
      </c>
      <c r="EN42" s="2">
        <v>1750</v>
      </c>
      <c r="EO42" s="2">
        <v>7950</v>
      </c>
      <c r="EP42" s="2">
        <v>1271</v>
      </c>
      <c r="EQ42" s="2">
        <v>750</v>
      </c>
      <c r="ER42" s="2">
        <v>0</v>
      </c>
      <c r="ES42" s="2">
        <v>0</v>
      </c>
      <c r="ET42" s="2" t="s">
        <v>324</v>
      </c>
      <c r="EU42" s="2">
        <v>0</v>
      </c>
      <c r="EV42" s="2" t="s">
        <v>324</v>
      </c>
      <c r="EW42" s="2">
        <v>0</v>
      </c>
      <c r="EX42" s="2">
        <v>0</v>
      </c>
      <c r="EY42" s="2">
        <v>0</v>
      </c>
      <c r="EZ42" s="2" t="s">
        <v>326</v>
      </c>
      <c r="FA42" s="2">
        <v>0</v>
      </c>
      <c r="FB42" s="2" t="s">
        <v>326</v>
      </c>
      <c r="FC42" s="2">
        <v>0</v>
      </c>
      <c r="FD42" s="2"/>
      <c r="FE42" s="2">
        <v>0</v>
      </c>
      <c r="FF42" s="2">
        <v>0</v>
      </c>
      <c r="FG42" s="2"/>
      <c r="FH42" s="19">
        <v>44480.624374999999</v>
      </c>
      <c r="FI42" s="2" t="s">
        <v>345</v>
      </c>
      <c r="FJ42" s="2">
        <f>SUM(DATA[[#This Row],[Number of Home support clients:]],DATA[[#This Row],[Number of supported living clients:]])</f>
        <v>20</v>
      </c>
      <c r="FK42"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42"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13.332800000000001</v>
      </c>
      <c r="FM42"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16.265599999999999</v>
      </c>
      <c r="FN42"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12.82</v>
      </c>
      <c r="FO42"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15.64</v>
      </c>
      <c r="FP42"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11.4712</v>
      </c>
      <c r="FQ42"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15.1944</v>
      </c>
      <c r="FR42"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11.03</v>
      </c>
      <c r="FS42"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14.61</v>
      </c>
      <c r="FT42"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10.4</v>
      </c>
      <c r="FU42"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14.144</v>
      </c>
      <c r="FV42"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10</v>
      </c>
      <c r="FW42"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13.6</v>
      </c>
      <c r="FX42"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2"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2"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2"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2"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2"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2"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2"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2" s="2" t="str">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
      </c>
      <c r="GG42" s="2" t="str">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
      </c>
      <c r="GH42"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42"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42"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42"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42"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42"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42"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42"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42"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42"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42"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2"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2"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2"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2"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8.2680000000000007</v>
      </c>
      <c r="GW42"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9.8696000000000002</v>
      </c>
      <c r="GX42"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7.95</v>
      </c>
      <c r="GY42"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9.49</v>
      </c>
      <c r="GZ42"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4.4720000000000004</v>
      </c>
      <c r="HA42"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8.2680000000000007</v>
      </c>
      <c r="HB42"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4.3</v>
      </c>
      <c r="HC42"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7.95</v>
      </c>
      <c r="HD42"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2"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2"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2"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2"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42"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42"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42"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42"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42"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42"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42"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42"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2"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2"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2"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2"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13.332800000000001</v>
      </c>
      <c r="HU42"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16.265599999999999</v>
      </c>
      <c r="HV42"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12.82</v>
      </c>
      <c r="HW42"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15.64</v>
      </c>
      <c r="HX42"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11.4712</v>
      </c>
      <c r="HY42"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15.1944</v>
      </c>
      <c r="HZ42"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11.03</v>
      </c>
      <c r="IA42"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14.61</v>
      </c>
      <c r="IB42"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10.4</v>
      </c>
      <c r="IC42"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14.144</v>
      </c>
      <c r="ID42"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10</v>
      </c>
      <c r="IE42"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13.6</v>
      </c>
      <c r="IF42"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2"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2"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2"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2"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2"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2"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2"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2" s="2" t="str">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
      </c>
      <c r="IO42" s="2" t="str">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
      </c>
      <c r="IP42" s="2" t="str">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
      </c>
      <c r="IQ42" s="2" t="str">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
      </c>
      <c r="IR42"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42"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42"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42"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42"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42"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42"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42"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42"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2"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2"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2"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2"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8.2680000000000007</v>
      </c>
      <c r="JE42"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9.8696000000000002</v>
      </c>
      <c r="JF42"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7.95</v>
      </c>
      <c r="JG42"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9.49</v>
      </c>
      <c r="JH42"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4.4720000000000004</v>
      </c>
      <c r="JI42"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8.2680000000000007</v>
      </c>
      <c r="JJ42"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4.3</v>
      </c>
      <c r="JK42"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7.95</v>
      </c>
      <c r="JL42"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2"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2"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2"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2"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42"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42"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42"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42"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42"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42"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42"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42"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2"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2"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2"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2"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42" s="21">
        <f>SUM(DATA[[#This Row],[Care Assistant 1: Numbers employed (Full Time Equivalent)]],DATA[[#This Row],[Care Assistant 2: Numbers employed (Full Time Equivalent)]],DATA[[#This Row],[Care Assistant 3: Numbers employed (Full Time Equivalent)]],DATA[[#This Row],[Care Assistant 4: Numbers employed (Full Time Equivalent)]])</f>
        <v>0</v>
      </c>
      <c r="KD42" s="21">
        <f>SUM(DATA[[#This Row],[Administrative Officer 1: Numbers employed (Full Time Equivalent)]],DATA[[#This Row],[Administrative Officer 2: Numbers employed (Full Time Equivalent)]])</f>
        <v>3</v>
      </c>
      <c r="KE42" s="21">
        <f>SUM(DATA[[#This Row],[Other staff 1: Numbers employed (Full Time Equivalent)]],DATA[[#This Row],[Other staff 2: Numbers employed (Full Time Equivalent)]],DATA[[#This Row],[Other staff 3: Numbers employed (Full Time Equivalent)]])</f>
        <v>0</v>
      </c>
      <c r="KF42" s="21">
        <f>SUM(DATA[[#This Row],[Total FTE Management Employees]:[Total FTE Other Employees]])</f>
        <v>6</v>
      </c>
      <c r="KG42" s="21" t="str">
        <f>IF(SUM(DATA[[#This Row],[Home Support service split percentage (Expenditure):]],DATA[[#This Row],[Supported Living service split percentage (Expenditure):]])&gt;0, IF(DATA[[#This Row],[Home Support service split percentage (Expenditure):]]&gt;0.5,"Home Support","Supported Living"), "Unknown")</f>
        <v>Home Support</v>
      </c>
      <c r="KH42" s="21">
        <f>SUM(DATA[[#This Row],[Home Support: Birmingham City Council]:[Home Support: Self-funded]])</f>
        <v>316</v>
      </c>
      <c r="KI42" s="21">
        <f>SUM(DATA[[#This Row],[Supported Living: Birmingham City Council]:[Supported Living: Self-funded]])</f>
        <v>0</v>
      </c>
      <c r="KJ42"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2"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2"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2"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2" s="21" t="b">
        <f>SUM(DATA[[#This Row],[Number of hours of care charged for in last full accounting year]:[Corporate Overheads: Other  - please specify (category) 1]])&gt;0</f>
        <v>1</v>
      </c>
      <c r="KO42" s="21">
        <f>SUM(DATA[[#This Row],[Total annual expenditure: Management staff]:[Total annual expenditure: Training and development]])</f>
        <v>224419</v>
      </c>
      <c r="KP42" s="21">
        <f>SUM(DATA[[#This Row],[Recruitment &amp; advertising (including DBS checks)]:[Non-Staffing Direct Cost: Other  - please specify (amount) 2]])</f>
        <v>17520</v>
      </c>
      <c r="KQ42" s="21">
        <f>SUM(DATA[[#This Row],[Insurance ]:[Indirect costs: Other 2 - please specify (amount)]])</f>
        <v>21086</v>
      </c>
      <c r="KR42" s="21">
        <f>SUM(DATA[[#This Row],[Central / Regional Management]],DATA[[#This Row],[Support Services (finance / HR / Payroll / legal etc.)]],DATA[[#This Row],[Corporate Overheads: Other  - please specify (amount) 1]],DATA[[#This Row],[Corporate Overheads: Other  - please specify (amount) 2]])</f>
        <v>0</v>
      </c>
      <c r="KS42"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2.1280724450194048</v>
      </c>
      <c r="KT42"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9.8428848641655886</v>
      </c>
      <c r="KU42"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1.3292367399741267</v>
      </c>
      <c r="KV42" s="30">
        <f>IF(OR(NOT(DATA[[#This Row],[Total annual expenditure: Other staff]]&gt;0),NOT(DATA[[#This Row],[Number of hours of care charged for in last full accounting year]]&gt;0)),0,DATA[[#This Row],[Total annual expenditure: Other staff]]/DATA[[#This Row],[Number of hours of care charged for in last full accounting year]])</f>
        <v>0.68376455368693401</v>
      </c>
      <c r="KW42"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42" s="30">
        <f>IF(OR(NOT(DATA[[#This Row],[Total annual expenditure: Travel Cost]]&gt;0),NOT(DATA[[#This Row],[Number of hours of care charged for in last full accounting year]]&gt;0)),0,DATA[[#This Row],[Total annual expenditure: Travel Cost]]/DATA[[#This Row],[Number of hours of care charged for in last full accounting year]])</f>
        <v>0.33887451487710218</v>
      </c>
      <c r="KY42" s="30">
        <f>IF(OR(NOT(DATA[[#This Row],[Total annual expenditure: Travel Time]]&gt;0),NOT(DATA[[#This Row],[Number of hours of care charged for in last full accounting year]]&gt;0)),0,DATA[[#This Row],[Total annual expenditure: Travel Time]]/DATA[[#This Row],[Number of hours of care charged for in last full accounting year]])</f>
        <v>0.12056921086675292</v>
      </c>
      <c r="KZ42"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7.2703751617076331E-2</v>
      </c>
      <c r="LA42"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8.1500646830530404E-2</v>
      </c>
      <c r="LB42"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0.23822768434670116</v>
      </c>
      <c r="LC42" s="30">
        <f>IF(OR(NOT(DATA[[#This Row],[Care consumables &amp; uniforms]]&gt;0),NOT(DATA[[#This Row],[Number of hours of care charged for in last full accounting year]]&gt;0)),0,DATA[[#This Row],[Care consumables &amp; uniforms]]/DATA[[#This Row],[Number of hours of care charged for in last full accounting year]])</f>
        <v>0.24683053040103492</v>
      </c>
      <c r="LD42" s="30">
        <f>IF(OR(NOT(DATA[[#This Row],[Electronic call monitoring]]&gt;0),NOT(DATA[[#This Row],[Number of hours of care charged for in last full accounting year]]&gt;0)),0,DATA[[#This Row],[Electronic call monitoring]]/DATA[[#This Row],[Number of hours of care charged for in last full accounting year]])</f>
        <v>0.22043984476067272</v>
      </c>
      <c r="LE42" s="30">
        <f>IF(OR(NOT(DATA[[#This Row],[IT Equipment &amp; Telephoney]]&gt;0),NOT(DATA[[#This Row],[Number of hours of care charged for in last full accounting year]]&gt;0)),0,DATA[[#This Row],[IT Equipment &amp; Telephoney]]/DATA[[#This Row],[Number of hours of care charged for in last full accounting year]])</f>
        <v>0.34624838292367399</v>
      </c>
      <c r="LF42"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42"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42" s="30">
        <f>IF(OR(NOT(DATA[[#This Row],[Insurance ]]&gt;0),NOT(DATA[[#This Row],[Number of hours of care charged for in last full accounting year]]&gt;0)),0,DATA[[#This Row],[Insurance ]]/DATA[[#This Row],[Number of hours of care charged for in last full accounting year]])</f>
        <v>8.9456662354463132E-2</v>
      </c>
      <c r="LI42"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0.51630012936610603</v>
      </c>
      <c r="LJ42" s="30">
        <f>IF(OR(NOT(DATA[[#This Row],[Repairs and maintenance]]&gt;0),NOT(DATA[[#This Row],[Number of hours of care charged for in last full accounting year]]&gt;0)),0,DATA[[#This Row],[Repairs and maintenance]]/DATA[[#This Row],[Number of hours of care charged for in last full accounting year]])</f>
        <v>0.11319534282018111</v>
      </c>
      <c r="LK42"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0.51423027166882274</v>
      </c>
      <c r="LL42" s="30">
        <f>IF(OR(NOT(DATA[[#This Row],[Registration &amp; Inspection fees ]]&gt;0),NOT(DATA[[#This Row],[Number of hours of care charged for in last full accounting year]]&gt;0)),0,DATA[[#This Row],[Registration &amp; Inspection fees ]]/DATA[[#This Row],[Number of hours of care charged for in last full accounting year]])</f>
        <v>8.2212160413971544E-2</v>
      </c>
      <c r="LM42" s="30">
        <f>IF(OR(NOT(DATA[[#This Row],[Subscriptions]]&gt;0),NOT(DATA[[#This Row],[Number of hours of care charged for in last full accounting year]]&gt;0)),0,DATA[[#This Row],[Subscriptions]]/DATA[[#This Row],[Number of hours of care charged for in last full accounting year]])</f>
        <v>4.8512289780077621E-2</v>
      </c>
      <c r="LN42" s="30">
        <f>IF(OR(NOT(DATA[[#This Row],[Cost of finance]]&gt;0),NOT(DATA[[#This Row],[Number of hours of care charged for in last full accounting year]]&gt;0)),0,DATA[[#This Row],[Cost of finance]]/DATA[[#This Row],[Number of hours of care charged for in last full accounting year]])</f>
        <v>0</v>
      </c>
      <c r="LO42" s="30">
        <f>IF(OR(NOT(DATA[[#This Row],[Other non-staff current expenses]]&gt;0),NOT(DATA[[#This Row],[Number of hours of care charged for in last full accounting year]]&gt;0)),0,DATA[[#This Row],[Other non-staff current expenses]]/DATA[[#This Row],[Number of hours of care charged for in last full accounting year]])</f>
        <v>0</v>
      </c>
      <c r="LP42"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42"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2" s="30">
        <f>IF(OR(NOT(DATA[[#This Row],[Central / Regional Management]]&gt;0),NOT(DATA[[#This Row],[Number of hours of care charged for in last full accounting year]]&gt;0)),0,DATA[[#This Row],[Central / Regional Management]]/DATA[[#This Row],[Number of hours of care charged for in last full accounting year]])</f>
        <v>0</v>
      </c>
      <c r="LS42"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42"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42"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2" s="30">
        <f>SUM(DATA[[#This Row],[Management staff HOURLY RATE]:[Corporate Overheads: Other  - please specify (amount) 2 HOURLY RATE]])</f>
        <v>17.013260025873215</v>
      </c>
      <c r="LW42" s="30" t="str">
        <f>IF(OR(NOT(DATA[[#This Row],[Net Operating Profit]]&gt;0),NOT(DATA[[#This Row],[Number of hours of care charged for in last full accounting year]]&gt;0)),"",DATA[[#This Row],[Net Operating Profit]]/DATA[[#This Row],[Number of hours of care charged for in last full accounting year]])</f>
        <v/>
      </c>
      <c r="LX42" s="30">
        <f>IF(OR(NOT(DATA[[#This Row],[Return on Capital employed]]&gt;0),NOT(DATA[[#This Row],[Number of hours of care charged for in last full accounting year]]&gt;0)),0,DATA[[#This Row],[Return on Capital employed]]/DATA[[#This Row],[Number of hours of care charged for in last full accounting year]])</f>
        <v>0</v>
      </c>
      <c r="LY42" s="31">
        <v>36</v>
      </c>
      <c r="LZ42" s="30" t="s">
        <v>345</v>
      </c>
      <c r="MA42" s="30" t="b">
        <f>DATA[[#This Row],[Number of Home support clients:]]&gt;0</f>
        <v>1</v>
      </c>
      <c r="MB42" s="30" t="b">
        <f>DATA[[#This Row],[Number of supported living clients:]]&gt;0</f>
        <v>0</v>
      </c>
      <c r="MC42" s="30" t="b">
        <f>DATA[[#This Row],[Total Home Support Hours]]&gt;0</f>
        <v>1</v>
      </c>
      <c r="MD42" s="30" t="b">
        <f>DATA[[#This Row],[Total Supported Living Hours]]&gt;0</f>
        <v>0</v>
      </c>
      <c r="ME42" s="30" t="b">
        <f>DATA[[#This Row],[Home Support service split percentage (Expenditure):]]&gt;0.5</f>
        <v>1</v>
      </c>
      <c r="MF42" s="30" t="b">
        <f>DATA[[#This Row],[Agency staff HOURLY RATE]]=0</f>
        <v>1</v>
      </c>
      <c r="MG42" s="30">
        <f>IFERROR(IF(AVERAGE(DATA[[#This Row],[Registered manager: Current 2021/22 Minimum hourly pay rate ADJUSTED]],DATA[[#This Row],[Registered manager: Current 2021/22 Maximum hourly pay rate ADJUSTED]])&lt;LIVING_WAGE_22_23,DATA[[#This Row],[Registered manager: Numbers employed (Full Time Equivalent)]],0),"")</f>
        <v>0</v>
      </c>
      <c r="MH42" s="30">
        <f>IFERROR(IF(AVERAGE(DATA[[#This Row],[Deputy manager: Current 2021/22 Minimum hourly pay rate ADJUSTED]],DATA[[#This Row],[Deputy manager: Current 2021/22 Maximum hourly pay rate ADJUSTED]])&lt;LIVING_WAGE_22_23,DATA[[#This Row],[Deputy manager: Numbers employed (Full Time Equivalent)]],0),"")</f>
        <v>0</v>
      </c>
      <c r="MI42" s="30">
        <f>IFERROR(IF(AVERAGE(DATA[[#This Row],[Other manager 1: Current 2021/22 Minimum hourly pay rate ADJUSTED]],DATA[[#This Row],[Other manager 1: Current 2021/22 Maximum hourly pay rate ADJUSTED]])&lt;LIVING_WAGE_22_23,DATA[[#This Row],[Other manager 1: Numbers employed (Full Time Equivalent)]],0),"")</f>
        <v>0</v>
      </c>
      <c r="MJ42" s="30" t="str">
        <f>IFERROR(IF(AVERAGE(DATA[[#This Row],[Other manager 2: Current 2021/22 Minimum hourly pay rate ADJUSTED]],DATA[[#This Row],[Other manager 2: Current 2021/22 Maximum hourly pay rate ADJUSTED]])&lt;LIVING_WAGE_22_23,DATA[[#This Row],[Other manager 2: Numbers employed (Full Time Equivalent)]],0),"")</f>
        <v/>
      </c>
      <c r="MK42" s="30" t="str">
        <f>IFERROR(IF(AVERAGE(DATA[[#This Row],[Other manager 3: Current 2021/22 Minimum hourly pay rate ADJUSTED]],DATA[[#This Row],[Other manager 3: Current 2021/22 Maximum hourly pay rate ADJUSTED]])&lt;LIVING_WAGE_22_23,DATA[[#This Row],[Other manager 3: Numbers employed (Full Time Equivalent)]],0),"")</f>
        <v/>
      </c>
      <c r="ML42" s="30" t="str">
        <f>IFERROR(IF(AVERAGE(DATA[[#This Row],[Care Assistant 1: Current 2021/22 Minimum hourly pay rate ADJUSTED]],DATA[[#This Row],[Care Assistant 1: Current 2021/22 Maximum hourly pay rate ADJUSTED]])&lt;LIVING_WAGE_22_23,DATA[[#This Row],[Care Assistant 1: Numbers employed (Full Time Equivalent)]],0),"")</f>
        <v/>
      </c>
      <c r="MM42" s="30" t="str">
        <f>IFERROR(IF(AVERAGE(DATA[[#This Row],[Care Assistant 2: Current 2021/22 Minimum hourly pay rate ADJUSTED]],DATA[[#This Row],[Care Assistant 2: Current 2021/22 Maximum hourly pay rate ADJUSTED]])&lt;LIVING_WAGE_22_23,DATA[[#This Row],[Care Assistant 2: Numbers employed (Full Time Equivalent)]],0),"")</f>
        <v/>
      </c>
      <c r="MN42" s="30" t="str">
        <f>IFERROR(IF(AVERAGE(DATA[[#This Row],[Care Assistant 3: Current 2021/22 Minimum hourly pay rate ADJUSTED]],DATA[[#This Row],[Care Assistant 3: Current 2021/22 Maximum hourly pay rate ADJUSTED]])&lt;LIVING_WAGE_22_23,DATA[[#This Row],[Care Assistant 3: Numbers employed (Full Time Equivalent)]],0),"")</f>
        <v/>
      </c>
      <c r="MO42" s="30" t="str">
        <f>IFERROR(IF(AVERAGE(DATA[[#This Row],[Care Assistant 4: Current 2021/22 Minimum hourly pay rate ADJUSTED]],DATA[[#This Row],[Care Assistant 4: Current 2021/22 Maximum hourly pay rate ADJUSTED]])&lt;LIVING_WAGE_22_23,DATA[[#This Row],[Care Assistant 4: Numbers employed (Full Time Equivalent)]],0),"")</f>
        <v/>
      </c>
      <c r="MP42"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42"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2</v>
      </c>
      <c r="MR42" s="30" t="str">
        <f>IFERROR(IF(AVERAGE(DATA[[#This Row],[Other staff 1: Current 2021/22 Minimum hourly pay rate ADJUSTED]],DATA[[#This Row],[Other staff 1: Current 2021/22 Maximum hourly pay rate ADJUSTED]])&lt;LIVING_WAGE_22_23,DATA[[#This Row],[Other staff 1: Numbers employed (Full Time Equivalent)]],0),"")</f>
        <v/>
      </c>
      <c r="MS42" s="30" t="str">
        <f>IFERROR(IF(AVERAGE(DATA[[#This Row],[Other staff 2: Current 2021/22 Minimum hourly pay rate ADJUSTED]],DATA[[#This Row],[Other staff 2: Current 2021/22 Maximum hourly pay rate ADJUSTED]])&lt;LIVING_WAGE_22_23,DATA[[#This Row],[Other staff 2: Numbers employed (Full Time Equivalent)]],0),"")</f>
        <v/>
      </c>
      <c r="MT42" s="30" t="str">
        <f>IFERROR(IF(AVERAGE(DATA[[#This Row],[Other staff 3: Current 2021/22 Minimum hourly pay rate ADJUSTED]],DATA[[#This Row],[Other staff 3: Current 2021/22 Maximum hourly pay rate ADJUSTED]])&lt;LIVING_WAGE_22_23,DATA[[#This Row],[Other staff 3: Numbers employed (Full Time Equivalent)]],0),"")</f>
        <v/>
      </c>
      <c r="MU42" s="30">
        <f>SUM(DATA[[#This Row],[Registered Manager FTE earning less than NLW 23yrs 2022/23]:[Other staff 3 FTE earning less than NLW 23yrs 2022/23]])</f>
        <v>3</v>
      </c>
      <c r="MV42"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42"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42"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42"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2"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2" s="30" t="str">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
      </c>
      <c r="NB42"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42"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42"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2"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0.43120000000000047</v>
      </c>
      <c r="NF42"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6.259999999999998</v>
      </c>
      <c r="NG42"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42"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42"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2" s="30" t="b">
        <v>1</v>
      </c>
      <c r="NK42" s="30" t="b">
        <v>0</v>
      </c>
      <c r="NL42" s="30" t="s">
        <v>973</v>
      </c>
      <c r="NM42" s="30">
        <f>SUM(DATA[[#This Row],[Management staff HOURLY RATE]:[Training and development HOURLY RATE]])</f>
        <v>14.516106080206985</v>
      </c>
      <c r="NN42" s="30">
        <f>SUM(DATA[[#This Row],[Recruitment &amp; advertising (including DBS checks) HOURLY RATE]:[Non-Staffing Direct Cost: Other  - please specify (amount) 2 HOURLY RATE]])</f>
        <v>1.1332470892626132</v>
      </c>
      <c r="NO42" s="30">
        <f>SUM(DATA[[#This Row],[Insurance  HOURLY RATE]:[Indirect costs: Other  - please specify (amount) 2 HOURLY RATE]])</f>
        <v>1.3639068564036221</v>
      </c>
      <c r="NP42" s="30">
        <f>SUM(DATA[[#This Row],[Central / Regional Management HOURLY RATE]:[Corporate Overheads: Other  - please specify (amount) 2 HOURLY RATE]])</f>
        <v>0</v>
      </c>
      <c r="NQ42"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42" s="30">
        <f>IFERROR(IF(AVERAGE(DATA[[#This Row],[Deputy manager: Current 2021/22 Minimum hourly pay rate ADJUSTED]],DATA[[#This Row],[Deputy manager: Current 2021/22 Maximum hourly pay rate ADJUSTED]])&lt;REAL_LIVING_WAGE_22_23,DATA[[#This Row],[Deputy manager: Numbers employed (Full Time Equivalent)]],0),"")</f>
        <v>0</v>
      </c>
      <c r="NS42" s="30">
        <f>IFERROR(IF(AVERAGE(DATA[[#This Row],[Other manager 1: Current 2021/22 Minimum hourly pay rate ADJUSTED]],DATA[[#This Row],[Other manager 1: Current 2021/22 Maximum hourly pay rate ADJUSTED]])&lt;REAL_LIVING_WAGE_22_23,DATA[[#This Row],[Other manager 1: Numbers employed (Full Time Equivalent)]],0),"")</f>
        <v>0</v>
      </c>
      <c r="NT42" s="30" t="str">
        <f>IFERROR(IF(AVERAGE(DATA[[#This Row],[Other manager 2: Current 2021/22 Minimum hourly pay rate ADJUSTED]],DATA[[#This Row],[Other manager 2: Current 2021/22 Maximum hourly pay rate ADJUSTED]])&lt;REAL_LIVING_WAGE_22_23,DATA[[#This Row],[Other manager 2: Numbers employed (Full Time Equivalent)]],0),"")</f>
        <v/>
      </c>
      <c r="NU42" s="30" t="str">
        <f>IFERROR(IF(AVERAGE(DATA[[#This Row],[Other manager 3: Current 2021/22 Minimum hourly pay rate ADJUSTED]],DATA[[#This Row],[Other manager 3: Current 2021/22 Maximum hourly pay rate ADJUSTED]])&lt;REAL_LIVING_WAGE_22_23,DATA[[#This Row],[Other manager 3: Numbers employed (Full Time Equivalent)]],0),"")</f>
        <v/>
      </c>
      <c r="NV42" s="30" t="str">
        <f>IFERROR(IF(AVERAGE(DATA[[#This Row],[Care Assistant 1: Current 2021/22 Minimum hourly pay rate ADJUSTED]],DATA[[#This Row],[Care Assistant 1: Current 2021/22 Maximum hourly pay rate ADJUSTED]])&lt;REAL_LIVING_WAGE_22_23,DATA[[#This Row],[Care Assistant 1: Numbers employed (Full Time Equivalent)]],0),"")</f>
        <v/>
      </c>
      <c r="NW42"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42"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42"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2"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42"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2</v>
      </c>
      <c r="OB42" s="30" t="str">
        <f>IFERROR(IF(AVERAGE(DATA[[#This Row],[Other staff 1: Current 2021/22 Minimum hourly pay rate ADJUSTED]],DATA[[#This Row],[Other staff 1: Current 2021/22 Maximum hourly pay rate ADJUSTED]])&lt;REAL_LIVING_WAGE_22_23,DATA[[#This Row],[Other staff 1: Numbers employed (Full Time Equivalent)]],0),"")</f>
        <v/>
      </c>
      <c r="OC42" s="30" t="str">
        <f>IFERROR(IF(AVERAGE(DATA[[#This Row],[Other staff 2: Current 2021/22 Minimum hourly pay rate ADJUSTED]],DATA[[#This Row],[Other staff 2: Current 2021/22 Maximum hourly pay rate ADJUSTED]])&lt;REAL_LIVING_WAGE_22_23,DATA[[#This Row],[Other staff 2: Numbers employed (Full Time Equivalent)]],0),"")</f>
        <v/>
      </c>
      <c r="OD42" s="30" t="str">
        <f>IFERROR(IF(AVERAGE(DATA[[#This Row],[Other staff 3: Current 2021/22 Minimum hourly pay rate ADJUSTED]],DATA[[#This Row],[Other staff 3: Current 2021/22 Maximum hourly pay rate ADJUSTED]])&lt;REAL_LIVING_WAGE_22_23,DATA[[#This Row],[Other staff 3: Numbers employed (Full Time Equivalent)]],0),"")</f>
        <v/>
      </c>
      <c r="OE42" s="30">
        <f>SUM(DATA[[#This Row],[Registered Manager FTE earning less than RLW 23yrs 2022/23]:[Other staff 3 FTE earning less than RLW 23yrs 2022/23]])</f>
        <v>3</v>
      </c>
      <c r="OF42"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42"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42"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42"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2"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2" s="30" t="str">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
      </c>
      <c r="OL42"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42"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42"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2"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0.83120000000000083</v>
      </c>
      <c r="OP42"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7.0599999999999987</v>
      </c>
      <c r="OQ42"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42"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42"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2" s="30">
        <f>IFERROR(IF(DATA[[#This Row],[Registered manager: Numbers employed (Full Time Equivalent)]]=0,"",DATA[[#This Row],[Registered manager: Current 2021/22 Minimum hourly pay rate ADJUSTED 2]]*DATA[[#This Row],[Registered manager: Numbers employed (Full Time Equivalent)]]),"")</f>
        <v>13.332800000000001</v>
      </c>
      <c r="OU42" s="30">
        <f>IFERROR(IF(DATA[[#This Row],[Registered manager: Numbers employed (Full Time Equivalent)]]=0,"",DATA[[#This Row],[Registered manager: Current 2021/22 Maximum hourly pay rate ADJUSTED 2]]*DATA[[#This Row],[Registered manager: Numbers employed (Full Time Equivalent)]]),"")</f>
        <v>16.265599999999999</v>
      </c>
      <c r="OV42" s="30">
        <f>IFERROR(IF(DATA[[#This Row],[Registered manager: Numbers employed (Full Time Equivalent)]]=0,"",DATA[[#This Row],[Registered manager: Previous 2020/21 Minimum hourly pay rate ADJUSTED 2]]*DATA[[#This Row],[Registered manager: Numbers employed (Full Time Equivalent)]]),"")</f>
        <v>12.82</v>
      </c>
      <c r="OW42" s="30">
        <f>IFERROR(IF(DATA[[#This Row],[Registered manager: Numbers employed (Full Time Equivalent)]]=0,"",DATA[[#This Row],[Registered manager: Previous 2020/21 Maximum hourly pay rate ADJUSTED 2]]*DATA[[#This Row],[Registered manager: Numbers employed (Full Time Equivalent)]]),"")</f>
        <v>15.64</v>
      </c>
      <c r="OX42" s="30">
        <f>IFERROR(IF(DATA[[#This Row],[Deputy manager: Numbers employed (Full Time Equivalent)]]=0,"",DATA[[#This Row],[Deputy manager: Current 2021/22 Minimum hourly pay rate ADJUSTED 2]]*DATA[[#This Row],[Deputy manager: Numbers employed (Full Time Equivalent)]]),"")</f>
        <v>11.4712</v>
      </c>
      <c r="OY42" s="30">
        <f>IFERROR(IF(DATA[[#This Row],[Deputy manager: Numbers employed (Full Time Equivalent)]]=0,"",DATA[[#This Row],[Deputy manager: Current 2021/22 Maximum hourly pay rate ADJUSTED 2]]*DATA[[#This Row],[Deputy manager: Numbers employed (Full Time Equivalent)]]),"")</f>
        <v>15.1944</v>
      </c>
      <c r="OZ42" s="30">
        <f>IFERROR(IF(DATA[[#This Row],[Deputy manager: Numbers employed (Full Time Equivalent)]]=0,"",DATA[[#This Row],[Deputy manager: Previous 2020/21 Minimum hourly pay rate ADJUSTED 2]]*DATA[[#This Row],[Deputy manager: Numbers employed (Full Time Equivalent)]]),"")</f>
        <v>11.03</v>
      </c>
      <c r="PA42" s="30">
        <f>IFERROR(IF(DATA[[#This Row],[Deputy manager: Numbers employed (Full Time Equivalent)]]=0,"",DATA[[#This Row],[Deputy manager: Previous 2020/21 Maximum hourly pay rate ADJUSTED 2]]*DATA[[#This Row],[Deputy manager: Numbers employed (Full Time Equivalent)]]),"")</f>
        <v>14.61</v>
      </c>
      <c r="PB42" s="30">
        <f>IFERROR(IF(DATA[[#This Row],[Other manager 1: Numbers employed (Full Time Equivalent)]]=0,"",DATA[[#This Row],[Other manager 1: Current 2021/22 Minimum hourly pay rate ADJUSTED 2]]*DATA[[#This Row],[Other manager 1: Numbers employed (Full Time Equivalent)]]),"")</f>
        <v>10.4</v>
      </c>
      <c r="PC42" s="30">
        <f>IFERROR(IF(DATA[[#This Row],[Other manager 1: Numbers employed (Full Time Equivalent)]]=0,"",DATA[[#This Row],[Other manager 1: Current 2021/22 Maximum hourly pay rate ADJUSTED 2]]*DATA[[#This Row],[Other manager 1: Numbers employed (Full Time Equivalent)]]),"")</f>
        <v>14.144</v>
      </c>
      <c r="PD42" s="30">
        <f>IFERROR(IF(DATA[[#This Row],[Other manager 1: Numbers employed (Full Time Equivalent)]]=0,"",DATA[[#This Row],[Other manager 1: Previous 2020/21 Minimum hourly pay rate ADJUSTED 2]]*DATA[[#This Row],[Other manager 1: Numbers employed (Full Time Equivalent)]]),"")</f>
        <v>10</v>
      </c>
      <c r="PE42" s="30">
        <f>IFERROR(IF(DATA[[#This Row],[Other manager 1: Numbers employed (Full Time Equivalent)]]=0,"",DATA[[#This Row],[Other manager 1: Previous 2020/21 Maximum hourly pay rate ADJUSTED 2]]*DATA[[#This Row],[Other manager 1: Numbers employed (Full Time Equivalent)]]),"")</f>
        <v>13.6</v>
      </c>
      <c r="PF42" s="30" t="str">
        <f>IFERROR(IF(DATA[[#This Row],[Other manager 2: Numbers employed (Full Time Equivalent)]]=0,"",DATA[[#This Row],[Other manager 2: Current 2021/22 Minimum hourly pay rate ADJUSTED 2]]*DATA[[#This Row],[Other manager 2: Numbers employed (Full Time Equivalent)]]),"")</f>
        <v/>
      </c>
      <c r="PG42" s="30" t="str">
        <f>IFERROR(IF(DATA[[#This Row],[Other manager 2: Numbers employed (Full Time Equivalent)]]=0,"",DATA[[#This Row],[Other manager 2: Current 2021/22 Maximum hourly pay rate ADJUSTED 2]]*DATA[[#This Row],[Other manager 2: Numbers employed (Full Time Equivalent)]]),"")</f>
        <v/>
      </c>
      <c r="PH42" s="30" t="str">
        <f>IFERROR(IF(DATA[[#This Row],[Other manager 2: Numbers employed (Full Time Equivalent)]]=0,"",DATA[[#This Row],[Other manager 2: Previous 2020/21 Minimum hourly pay rate ADJUSTED 2]]*DATA[[#This Row],[Other manager 2: Numbers employed (Full Time Equivalent)]]),"")</f>
        <v/>
      </c>
      <c r="PI42" s="30" t="str">
        <f>IFERROR(IF(DATA[[#This Row],[Other manager 2: Numbers employed (Full Time Equivalent)]]=0,"",DATA[[#This Row],[Other manager 2: Previous 2020/21 Maximum hourly pay rate ADJUSTED 2]]*DATA[[#This Row],[Other manager 2: Numbers employed (Full Time Equivalent)]]),"")</f>
        <v/>
      </c>
      <c r="PJ42" s="30" t="str">
        <f>IFERROR(IF(DATA[[#This Row],[Other manager 3: Numbers employed (Full Time Equivalent)]]=0,"",DATA[[#This Row],[Other manager 3: Current 2021/22 Minimum hourly pay rate ADJUSTED 2]]*DATA[[#This Row],[Other manager 3: Numbers employed (Full Time Equivalent)]]),"")</f>
        <v/>
      </c>
      <c r="PK42" s="30" t="str">
        <f>IFERROR(IF(DATA[[#This Row],[Other manager 3: Numbers employed (Full Time Equivalent)]]=0,"",DATA[[#This Row],[Other manager 3: Current 2021/22 Maximum hourly pay rate ADJUSTED 2]]*DATA[[#This Row],[Other manager 3: Numbers employed (Full Time Equivalent)]]),"")</f>
        <v/>
      </c>
      <c r="PL42" s="30" t="str">
        <f>IFERROR(IF(DATA[[#This Row],[Other manager 3: Numbers employed (Full Time Equivalent)]]=0,"",DATA[[#This Row],[Other manager 3: Previous 2020/21 Minimum hourly pay rate ADJUSTED 2]]*DATA[[#This Row],[Other manager 3: Numbers employed (Full Time Equivalent)]]),"")</f>
        <v/>
      </c>
      <c r="PM42" s="30" t="str">
        <f>IFERROR(IF(DATA[[#This Row],[Other manager 3: Numbers employed (Full Time Equivalent)]]=0,"",DATA[[#This Row],[Other manager 3: Previous 2020/21 Maximum hourly pay rate ADJUSTED 2]]*DATA[[#This Row],[Other manager 3: Numbers employed (Full Time Equivalent)]]),"")</f>
        <v/>
      </c>
      <c r="PN42" s="30" t="str">
        <f>IFERROR(IF(DATA[[#This Row],[Care Assistant 1: Numbers employed (Full Time Equivalent)]]=0,"",DATA[[#This Row],[Care Assistant 1: Current 2021/22 Minimum hourly pay rate ADJUSTED 2]]*DATA[[#This Row],[Care Assistant 1: Numbers employed (Full Time Equivalent)]]),"")</f>
        <v/>
      </c>
      <c r="PO42" s="30" t="str">
        <f>IFERROR(IF(DATA[[#This Row],[Care Assistant 1: Numbers employed (Full Time Equivalent)]]=0,"",DATA[[#This Row],[Care Assistant 1: Current 2021/22 Maximum hourly pay rate ADJUSTED 2]]*DATA[[#This Row],[Care Assistant 1: Numbers employed (Full Time Equivalent)]]),"")</f>
        <v/>
      </c>
      <c r="PP42" s="30" t="str">
        <f>IFERROR(IF(DATA[[#This Row],[Care Assistant 1: Numbers employed (Full Time Equivalent)]]=0,"",DATA[[#This Row],[Care Assistant 1: Previous 2020/21 Minimum hourly pay rate ADJUSTED 2]]*DATA[[#This Row],[Care Assistant 1: Numbers employed (Full Time Equivalent)]]),"")</f>
        <v/>
      </c>
      <c r="PQ42" s="30" t="str">
        <f>IFERROR(IF(DATA[[#This Row],[Care Assistant 1: Numbers employed (Full Time Equivalent)]]=0,"",DATA[[#This Row],[Care Assistant 1: Previous 2020/21 Maximum hourly pay rate ADJUSTED 2]]*DATA[[#This Row],[Care Assistant 1: Numbers employed (Full Time Equivalent)]]),"")</f>
        <v/>
      </c>
      <c r="PR42" s="30" t="str">
        <f>IFERROR(IF(DATA[[#This Row],[Care Assistant 2: Numbers employed (Full Time Equivalent)]]=0,"",DATA[[#This Row],[Care Assistant 2: Current 2021/22 Minimum hourly pay rate ADJUSTED 2]]*DATA[[#This Row],[Care Assistant 2: Numbers employed (Full Time Equivalent)]]),"")</f>
        <v/>
      </c>
      <c r="PS42" s="30" t="str">
        <f>IFERROR(IF(DATA[[#This Row],[Care Assistant 2: Numbers employed (Full Time Equivalent)]]=0,"",DATA[[#This Row],[Care Assistant 2: Current 2021/22 Maximum hourly pay rate ADJUSTED 2]]*DATA[[#This Row],[Care Assistant 2: Numbers employed (Full Time Equivalent)]]),"")</f>
        <v/>
      </c>
      <c r="PT42" s="30" t="str">
        <f>IFERROR(IF(DATA[[#This Row],[Care Assistant 2: Numbers employed (Full Time Equivalent)]]=0,"",DATA[[#This Row],[Care Assistant 2: Previous 2020/21 Minimum hourly pay rate ADJUSTED 2]]*DATA[[#This Row],[Care Assistant 2: Numbers employed (Full Time Equivalent)]]),"")</f>
        <v/>
      </c>
      <c r="PU42" s="30" t="str">
        <f>IFERROR(IF(DATA[[#This Row],[Care Assistant 2: Numbers employed (Full Time Equivalent)]]=0,"",DATA[[#This Row],[Care Assistant 2: Previous 2020/21 Maximum hourly pay rate ADJUSTED 2]]*DATA[[#This Row],[Care Assistant 2: Numbers employed (Full Time Equivalent)]]),"")</f>
        <v/>
      </c>
      <c r="PV42" s="30" t="str">
        <f>IFERROR(IF(DATA[[#This Row],[Care Assistant 3: Numbers employed (Full Time Equivalent)]]=0,"",DATA[[#This Row],[Care Assistant 3: Current 2021/22 Minimum hourly pay rate ADJUSTED 2]]*DATA[[#This Row],[Care Assistant 3: Numbers employed (Full Time Equivalent)]]),"")</f>
        <v/>
      </c>
      <c r="PW42" s="30" t="str">
        <f>IFERROR(IF(DATA[[#This Row],[Care Assistant 3: Numbers employed (Full Time Equivalent)]]=0,"",DATA[[#This Row],[Care Assistant 3: Current 2021/22 Maximum hourly pay rate ADJUSTED 2]]*DATA[[#This Row],[Care Assistant 3: Numbers employed (Full Time Equivalent)]]),"")</f>
        <v/>
      </c>
      <c r="PX42" s="30" t="str">
        <f>IFERROR(IF(DATA[[#This Row],[Care Assistant 3: Numbers employed (Full Time Equivalent)]]=0,"",DATA[[#This Row],[Care Assistant 3: Previous 2020/21 Minimum hourly pay rate ADJUSTED 2]]*DATA[[#This Row],[Care Assistant 3: Numbers employed (Full Time Equivalent)]]),"")</f>
        <v/>
      </c>
      <c r="PY42" s="30" t="str">
        <f>IFERROR(IF(DATA[[#This Row],[Care Assistant 3: Numbers employed (Full Time Equivalent)]]=0,"",DATA[[#This Row],[Care Assistant 3: Previous 2020/21 Maximum hourly pay rate ADJUSTED 2]]*DATA[[#This Row],[Care Assistant 3: Numbers employed (Full Time Equivalent)]]),"")</f>
        <v/>
      </c>
      <c r="PZ42" s="30" t="str">
        <f>IFERROR(IF(DATA[[#This Row],[Care Assistant 4: Numbers employed (Full Time Equivalent)]]=0,"",DATA[[#This Row],[Care Assistant 4: Current 2021/22 Minimum hourly pay rate ADJUSTED 2]]*DATA[[#This Row],[Care Assistant 4: Numbers employed (Full Time Equivalent)]]),"")</f>
        <v/>
      </c>
      <c r="QA42" s="30" t="str">
        <f>IFERROR(IF(DATA[[#This Row],[Care Assistant 4: Numbers employed (Full Time Equivalent)]]=0,"",DATA[[#This Row],[Care Assistant 4: Current 2021/22 Maximum hourly pay rate ADJUSTED 2]]*DATA[[#This Row],[Care Assistant 4: Numbers employed (Full Time Equivalent)]]),"")</f>
        <v/>
      </c>
      <c r="QB42" s="30" t="str">
        <f>IFERROR(IF(DATA[[#This Row],[Care Assistant 4: Numbers employed (Full Time Equivalent)]]=0,"",DATA[[#This Row],[Care Assistant 4: Previous 2020/21 Minimum hourly pay rate ADJUSTED 2]]*DATA[[#This Row],[Care Assistant 4: Numbers employed (Full Time Equivalent)]]),"")</f>
        <v/>
      </c>
      <c r="QC42" s="30" t="str">
        <f>IFERROR(IF(DATA[[#This Row],[Care Assistant 4: Numbers employed (Full Time Equivalent)]]=0,"",DATA[[#This Row],[Care Assistant 4: Previous 2020/21 Maximum hourly pay rate ADJUSTED 2]]*DATA[[#This Row],[Care Assistant 4: Numbers employed (Full Time Equivalent)]]),"")</f>
        <v/>
      </c>
      <c r="QD42" s="30">
        <f>IFERROR(IF(DATA[[#This Row],[Administrative Officer 1: Numbers employed (Full Time Equivalent)]]=0,"",DATA[[#This Row],[Administrative Officer 1: Current 2021/22 Minimum hourly pay rate ADJUSTED 2]]*DATA[[#This Row],[Administrative Officer 1: Numbers employed (Full Time Equivalent)]]),"")</f>
        <v>8.2680000000000007</v>
      </c>
      <c r="QE42" s="30">
        <f>IFERROR(IF(DATA[[#This Row],[Administrative Officer 1: Numbers employed (Full Time Equivalent)]]=0,"",DATA[[#This Row],[Administrative Officer 1: Current 2021/22 Maximum hourly pay rate ADJUSTED 2]]*DATA[[#This Row],[Administrative Officer 1: Numbers employed (Full Time Equivalent)]]),"")</f>
        <v>9.8696000000000002</v>
      </c>
      <c r="QF42" s="30">
        <f>IFERROR(IF(DATA[[#This Row],[Administrative Officer 1: Numbers employed (Full Time Equivalent)]]=0,"",DATA[[#This Row],[Administrative Officer 1: Previous 2020/21 Minimum hourly pay rate ADJUSTED 2]]*DATA[[#This Row],[Administrative Officer 1: Numbers employed (Full Time Equivalent)]]),"")</f>
        <v>7.95</v>
      </c>
      <c r="QG42" s="30">
        <f>IFERROR(IF(DATA[[#This Row],[Administrative Officer 1: Numbers employed (Full Time Equivalent)]]=0,"",DATA[[#This Row],[Administrative Officer 1: Previous 2020/21 Maximum hourly pay rate ADJUSTED 2]]*DATA[[#This Row],[Administrative Officer 1: Numbers employed (Full Time Equivalent)]]),"")</f>
        <v>9.49</v>
      </c>
      <c r="QH42" s="30">
        <f>IFERROR(IF(DATA[[#This Row],[Administrative Officer 2: Numbers employed (Full Time Equivalent)]]=0,"",DATA[[#This Row],[Administrative Officer 2: Current 2021/22 Minimum hourly pay rate ADJUSTED 2]]*DATA[[#This Row],[Administrative Officer 2: Numbers employed (Full Time Equivalent)]]),"")</f>
        <v>8.9440000000000008</v>
      </c>
      <c r="QI42" s="30">
        <f>IFERROR(IF(DATA[[#This Row],[Administrative Officer 2: Numbers employed (Full Time Equivalent)]]=0,"",DATA[[#This Row],[Administrative Officer 2: Current 2021/22 Maximum hourly pay rate ADJUSTED 2]]*DATA[[#This Row],[Administrative Officer 2: Numbers employed (Full Time Equivalent)]]),"")</f>
        <v>16.536000000000001</v>
      </c>
      <c r="QJ42" s="30">
        <f>IFERROR(IF(DATA[[#This Row],[Administrative Officer 2: Numbers employed (Full Time Equivalent)]]=0,"",DATA[[#This Row],[Administrative Officer 2: Previous 2020/21 Minimum hourly pay rate ADJUSTED 2]]*DATA[[#This Row],[Administrative Officer 2: Numbers employed (Full Time Equivalent)]]),"")</f>
        <v>8.6</v>
      </c>
      <c r="QK42" s="30">
        <f>IFERROR(IF(DATA[[#This Row],[Administrative Officer 2: Numbers employed (Full Time Equivalent)]]=0,"",DATA[[#This Row],[Administrative Officer 2: Previous 2020/21 Maximum hourly pay rate ADJUSTED 2]]*DATA[[#This Row],[Administrative Officer 2: Numbers employed (Full Time Equivalent)]]),"")</f>
        <v>15.9</v>
      </c>
      <c r="QL42" s="30" t="str">
        <f>IFERROR(IF(DATA[[#This Row],[Administrative Officer 3: Numbers employed (Full Time Equivalent)]]=0,"",DATA[[#This Row],[Administrative Officer 3: Current 2021/22 Minimum hourly pay rate ADJUSTED 2]]*DATA[[#This Row],[Administrative Officer 3: Numbers employed (Full Time Equivalent)]]),"")</f>
        <v/>
      </c>
      <c r="QM42" s="30" t="str">
        <f>IFERROR(IF(DATA[[#This Row],[Administrative Officer 3: Numbers employed (Full Time Equivalent)]]=0,"",DATA[[#This Row],[Administrative Officer 3: Current 2021/22 Maximum hourly pay rate ADJUSTED 2]]*DATA[[#This Row],[Administrative Officer 3: Numbers employed (Full Time Equivalent)]]),"")</f>
        <v/>
      </c>
      <c r="QN42" s="30" t="str">
        <f>IFERROR(IF(DATA[[#This Row],[Administrative Officer 3: Numbers employed (Full Time Equivalent)]]=0,"",DATA[[#This Row],[Administrative Officer 3: Previous 2020/21 Minimum hourly pay rate ADJUSTED 2]]*DATA[[#This Row],[Administrative Officer 3: Numbers employed (Full Time Equivalent)]]),"")</f>
        <v/>
      </c>
      <c r="QO42" s="30" t="str">
        <f>IFERROR(IF(DATA[[#This Row],[Administrative Officer 3: Numbers employed (Full Time Equivalent)]]=0,"",DATA[[#This Row],[Administrative Officer 3: Previous 2020/21 Maximum hourly pay rate ADJUSTED 2]]*DATA[[#This Row],[Administrative Officer 3: Numbers employed (Full Time Equivalent)]]),"")</f>
        <v/>
      </c>
      <c r="QP42" s="28" t="str">
        <f>IFERROR(IF(DATA[[#This Row],[Other staff 1: Numbers employed (Full Time Equivalent)]]=0,"",DATA[[#This Row],[Other staff 1: Current 2021/22 Minimum hourly pay rate ADJUSTED 2]]*DATA[[#This Row],[Other staff 1: Numbers employed (Full Time Equivalent)]]),"")</f>
        <v/>
      </c>
      <c r="QQ42" s="28" t="str">
        <f>IFERROR(IF(DATA[[#This Row],[Other staff 1: Numbers employed (Full Time Equivalent)]]=0,"",DATA[[#This Row],[Other staff 1: Current 2021/22 Maximum hourly pay rate ADJUSTED 2]]*DATA[[#This Row],[Other staff 1: Numbers employed (Full Time Equivalent)]]),"")</f>
        <v/>
      </c>
      <c r="QR42" s="28" t="str">
        <f>IFERROR(IF(DATA[[#This Row],[Other staff 1: Numbers employed (Full Time Equivalent)]]=0,"",DATA[[#This Row],[Other staff 1: Previous 2020/21 Minimum hourly pay rate ADJUSTED 2]]*DATA[[#This Row],[Other staff 1: Numbers employed (Full Time Equivalent)]]),"")</f>
        <v/>
      </c>
      <c r="QS42" s="28" t="str">
        <f>IFERROR(IF(DATA[[#This Row],[Other staff 1: Numbers employed (Full Time Equivalent)]]=0,"",DATA[[#This Row],[Other staff 1: Previous 2020/21 Maximum hourly pay rate ADJUSTED 2]]*DATA[[#This Row],[Other staff 1: Numbers employed (Full Time Equivalent)]]),"")</f>
        <v/>
      </c>
      <c r="QT42" s="28" t="str">
        <f>IFERROR(IF(DATA[[#This Row],[Other staff 2: Numbers employed (Full Time Equivalent)]]=0,"",DATA[[#This Row],[Other staff 2: Current 2021/22 Minimum hourly pay rate ADJUSTED 2]]*DATA[[#This Row],[Other staff 2: Numbers employed (Full Time Equivalent)]]),"")</f>
        <v/>
      </c>
      <c r="QU42" s="28" t="str">
        <f>IFERROR(IF(DATA[[#This Row],[Other staff 2: Numbers employed (Full Time Equivalent)]]=0,"",DATA[[#This Row],[Other staff 2: Current 2021/22 Maximum hourly pay rate ADJUSTED 2]]*DATA[[#This Row],[Other staff 2: Numbers employed (Full Time Equivalent)]]),"")</f>
        <v/>
      </c>
      <c r="QV42" s="28" t="str">
        <f>IFERROR(IF(DATA[[#This Row],[Other staff 2: Numbers employed (Full Time Equivalent)]]=0,"",DATA[[#This Row],[Other staff 2: Previous 2020/21 Minimum hourly pay rate ADJUSTED 2]]*DATA[[#This Row],[Other staff 2: Numbers employed (Full Time Equivalent)]]),"")</f>
        <v/>
      </c>
      <c r="QW42" s="28" t="str">
        <f>IFERROR(IF(DATA[[#This Row],[Other staff 2: Numbers employed (Full Time Equivalent)]]=0,"",DATA[[#This Row],[Other staff 2: Previous 2020/21 Maximum hourly pay rate ADJUSTED 2]]*DATA[[#This Row],[Other staff 2: Numbers employed (Full Time Equivalent)]]),"")</f>
        <v/>
      </c>
      <c r="QX42" s="28" t="str">
        <f>IFERROR(IF(DATA[[#This Row],[Other staff 3: Numbers employed (Full Time Equivalent)]]=0,"",DATA[[#This Row],[Other staff 3: Current 2021/22 Minimum hourly pay rate ADJUSTED 2]]*DATA[[#This Row],[Other staff 3: Numbers employed (Full Time Equivalent)]]),"")</f>
        <v/>
      </c>
      <c r="QY42" s="28" t="str">
        <f>IFERROR(IF(DATA[[#This Row],[Other staff 3: Numbers employed (Full Time Equivalent)]]=0,"",DATA[[#This Row],[Other staff 3: Current 2021/22 Maximum hourly pay rate ADJUSTED 2]]*DATA[[#This Row],[Other staff 3: Numbers employed (Full Time Equivalent)]]),"")</f>
        <v/>
      </c>
      <c r="QZ42" s="28" t="str">
        <f>IFERROR(IF(DATA[[#This Row],[Other staff 3: Numbers employed (Full Time Equivalent)]]=0,"",DATA[[#This Row],[Other staff 3: Previous 2020/21 Minimum hourly pay rate ADJUSTED 2]]*DATA[[#This Row],[Other staff 3: Numbers employed (Full Time Equivalent)]]),"")</f>
        <v/>
      </c>
      <c r="RA42" s="28" t="str">
        <f>IFERROR(IF(DATA[[#This Row],[Other staff 3: Numbers employed (Full Time Equivalent)]]=0,"",DATA[[#This Row],[Other staff 3: Previous 2020/21 Maximum hourly pay rate ADJUSTED 2]]*DATA[[#This Row],[Other staff 3: Numbers employed (Full Time Equivalent)]]),"")</f>
        <v/>
      </c>
      <c r="RB42"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42"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42"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42"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2"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2"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0</v>
      </c>
      <c r="RH42"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42"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42"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2"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42"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2</v>
      </c>
      <c r="RM42"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2"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42"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42"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3" spans="7:484" x14ac:dyDescent="0.25">
      <c r="G43" s="2">
        <v>37</v>
      </c>
      <c r="H43" s="2">
        <v>0</v>
      </c>
      <c r="I43" s="2">
        <v>9</v>
      </c>
      <c r="J43" s="2">
        <v>1E-3</v>
      </c>
      <c r="K43" s="2">
        <v>0.99990000000000001</v>
      </c>
      <c r="L43" s="2" t="s">
        <v>328</v>
      </c>
      <c r="M43" s="2" t="s">
        <v>328</v>
      </c>
      <c r="R43" s="2">
        <v>23.59</v>
      </c>
      <c r="S43" s="2">
        <v>23.59</v>
      </c>
      <c r="T43" s="2">
        <v>21.54</v>
      </c>
      <c r="U43" s="2">
        <v>21.54</v>
      </c>
      <c r="V43" s="2">
        <v>1</v>
      </c>
      <c r="W43" s="2">
        <v>13.85</v>
      </c>
      <c r="X43" s="2">
        <v>13.85</v>
      </c>
      <c r="Y43" s="2">
        <v>13.3</v>
      </c>
      <c r="Z43" s="2">
        <v>13.3</v>
      </c>
      <c r="AA43" s="2">
        <v>1</v>
      </c>
      <c r="AB43" s="2" t="s">
        <v>315</v>
      </c>
      <c r="AC43" s="2">
        <v>0</v>
      </c>
      <c r="AD43" s="2">
        <v>0</v>
      </c>
      <c r="AE43" s="2">
        <v>0</v>
      </c>
      <c r="AF43" s="2">
        <v>0</v>
      </c>
      <c r="AG43" s="2">
        <v>0</v>
      </c>
      <c r="AH43" s="2" t="s">
        <v>315</v>
      </c>
      <c r="AI43" s="2">
        <v>0</v>
      </c>
      <c r="AJ43" s="2">
        <v>0</v>
      </c>
      <c r="AK43" s="2">
        <v>0</v>
      </c>
      <c r="AL43" s="2">
        <v>0</v>
      </c>
      <c r="AM43" s="2">
        <v>0</v>
      </c>
      <c r="AN43" s="2" t="s">
        <v>315</v>
      </c>
      <c r="AO43" s="2">
        <v>0</v>
      </c>
      <c r="AP43" s="2">
        <v>0</v>
      </c>
      <c r="AQ43" s="2">
        <v>0</v>
      </c>
      <c r="AR43" s="2">
        <v>0</v>
      </c>
      <c r="AS43" s="2">
        <v>0</v>
      </c>
      <c r="AT43" s="2" t="s">
        <v>485</v>
      </c>
      <c r="AU43" s="2">
        <v>9.75</v>
      </c>
      <c r="AV43" s="2">
        <v>9.75</v>
      </c>
      <c r="AW43" s="2">
        <v>9.25</v>
      </c>
      <c r="AX43" s="2">
        <v>9.25</v>
      </c>
      <c r="AY43" s="2">
        <v>26</v>
      </c>
      <c r="AZ43" s="2" t="s">
        <v>486</v>
      </c>
      <c r="BA43" s="2">
        <v>11.5</v>
      </c>
      <c r="BB43" s="2">
        <v>11.75</v>
      </c>
      <c r="BC43" s="2">
        <v>11</v>
      </c>
      <c r="BD43" s="2">
        <v>11</v>
      </c>
      <c r="BE43" s="2">
        <v>4</v>
      </c>
      <c r="BF43" s="2" t="s">
        <v>487</v>
      </c>
      <c r="BG43" s="2">
        <v>12.5</v>
      </c>
      <c r="BH43" s="2">
        <v>12.5</v>
      </c>
      <c r="BI43" s="2">
        <v>12</v>
      </c>
      <c r="BJ43" s="2">
        <v>12</v>
      </c>
      <c r="BK43" s="2">
        <v>3</v>
      </c>
      <c r="BL43" s="2" t="s">
        <v>316</v>
      </c>
      <c r="BM43" s="2">
        <v>0</v>
      </c>
      <c r="BN43" s="2">
        <v>0</v>
      </c>
      <c r="BO43" s="2">
        <v>0</v>
      </c>
      <c r="BP43" s="2">
        <v>0</v>
      </c>
      <c r="BQ43" s="2">
        <v>0</v>
      </c>
      <c r="BR43" s="2" t="s">
        <v>488</v>
      </c>
      <c r="BS43" s="2">
        <v>11.5</v>
      </c>
      <c r="BT43" s="2">
        <v>11.5</v>
      </c>
      <c r="BU43" s="2">
        <v>11</v>
      </c>
      <c r="BV43" s="2">
        <v>11</v>
      </c>
      <c r="BW43" s="2">
        <v>0.8</v>
      </c>
      <c r="BX43" s="2" t="s">
        <v>317</v>
      </c>
      <c r="BY43" s="2">
        <v>0</v>
      </c>
      <c r="BZ43" s="2">
        <v>0</v>
      </c>
      <c r="CA43" s="2">
        <v>0</v>
      </c>
      <c r="CB43" s="2">
        <v>0</v>
      </c>
      <c r="CC43" s="2">
        <v>0</v>
      </c>
      <c r="CD43" s="2" t="s">
        <v>317</v>
      </c>
      <c r="CE43" s="2">
        <v>0</v>
      </c>
      <c r="CF43" s="2">
        <v>0</v>
      </c>
      <c r="CG43" s="2">
        <v>0</v>
      </c>
      <c r="CH43" s="2">
        <v>0</v>
      </c>
      <c r="CI43" s="2">
        <v>0</v>
      </c>
      <c r="CJ43" s="2" t="s">
        <v>318</v>
      </c>
      <c r="CK43" s="2">
        <v>0</v>
      </c>
      <c r="CL43" s="2">
        <v>0</v>
      </c>
      <c r="CM43" s="2">
        <v>0</v>
      </c>
      <c r="CN43" s="2">
        <v>0</v>
      </c>
      <c r="CO43" s="2">
        <v>0</v>
      </c>
      <c r="CP43" s="2" t="s">
        <v>318</v>
      </c>
      <c r="CQ43" s="2">
        <v>0</v>
      </c>
      <c r="CR43" s="2">
        <v>0</v>
      </c>
      <c r="CS43" s="2">
        <v>0</v>
      </c>
      <c r="CT43" s="2">
        <v>0</v>
      </c>
      <c r="CU43" s="2">
        <v>0</v>
      </c>
      <c r="CV43" s="2" t="s">
        <v>318</v>
      </c>
      <c r="CW43" s="2">
        <v>0</v>
      </c>
      <c r="CX43" s="2">
        <v>0</v>
      </c>
      <c r="CY43" s="2">
        <v>0</v>
      </c>
      <c r="CZ43" s="2">
        <v>0</v>
      </c>
      <c r="DA43" s="2">
        <v>0</v>
      </c>
      <c r="DB43" s="2">
        <v>0.03</v>
      </c>
      <c r="DC43" s="2">
        <v>0</v>
      </c>
      <c r="DD43" s="2">
        <v>0</v>
      </c>
      <c r="DE43" s="2">
        <v>0</v>
      </c>
      <c r="DF43" s="2">
        <v>0</v>
      </c>
      <c r="DG43" s="2">
        <v>0</v>
      </c>
      <c r="DH43" s="2">
        <v>0</v>
      </c>
      <c r="DI43" s="2">
        <v>110</v>
      </c>
      <c r="DJ43" s="2">
        <v>1084</v>
      </c>
      <c r="DK43" s="2">
        <v>168</v>
      </c>
      <c r="DL43" s="2">
        <v>0</v>
      </c>
      <c r="DM43" s="2">
        <v>0</v>
      </c>
      <c r="DN43" s="2">
        <v>0</v>
      </c>
      <c r="DO43" s="2">
        <v>18.25</v>
      </c>
      <c r="DP43" s="2">
        <v>0</v>
      </c>
      <c r="DQ43" s="2">
        <v>17.559999999999999</v>
      </c>
      <c r="DR43" s="18">
        <v>43466</v>
      </c>
      <c r="DS43" s="18">
        <v>44196</v>
      </c>
      <c r="DT43" s="2">
        <v>56030</v>
      </c>
      <c r="DU43" s="2">
        <v>54600</v>
      </c>
      <c r="DV43" s="2">
        <v>503063</v>
      </c>
      <c r="DW43" s="2">
        <v>19549</v>
      </c>
      <c r="DX43" s="2">
        <v>0</v>
      </c>
      <c r="DY43" s="2">
        <v>53515</v>
      </c>
      <c r="DZ43" s="2">
        <v>8650</v>
      </c>
      <c r="EA43" s="2">
        <v>0</v>
      </c>
      <c r="EB43" s="2">
        <v>13001</v>
      </c>
      <c r="EC43" s="2">
        <v>2480</v>
      </c>
      <c r="ED43" s="2">
        <v>0</v>
      </c>
      <c r="EE43" s="2">
        <v>15690</v>
      </c>
      <c r="EF43" s="2">
        <v>4680</v>
      </c>
      <c r="EG43" s="2">
        <v>2379</v>
      </c>
      <c r="EH43" s="2" t="s">
        <v>489</v>
      </c>
      <c r="EI43" s="2">
        <v>1440</v>
      </c>
      <c r="EJ43" s="2" t="s">
        <v>490</v>
      </c>
      <c r="EK43" s="2">
        <v>15000</v>
      </c>
      <c r="EL43" s="2">
        <v>3850</v>
      </c>
      <c r="EM43" s="2">
        <v>2950</v>
      </c>
      <c r="EN43" s="2">
        <v>280</v>
      </c>
      <c r="EO43" s="2">
        <v>12000</v>
      </c>
      <c r="EP43" s="2">
        <v>860</v>
      </c>
      <c r="EQ43" s="2">
        <v>4890</v>
      </c>
      <c r="ER43" s="2">
        <v>0</v>
      </c>
      <c r="ES43" s="2">
        <v>0</v>
      </c>
      <c r="ET43" s="2" t="s">
        <v>374</v>
      </c>
      <c r="EU43" s="2">
        <v>1850</v>
      </c>
      <c r="EV43" s="2"/>
      <c r="EW43" s="2"/>
      <c r="EX43" s="2">
        <v>28000</v>
      </c>
      <c r="EY43" s="2">
        <v>8600</v>
      </c>
      <c r="EZ43" s="2" t="s">
        <v>491</v>
      </c>
      <c r="FA43" s="2">
        <v>6500</v>
      </c>
      <c r="FB43" s="2" t="s">
        <v>326</v>
      </c>
      <c r="FC43" s="2">
        <v>0</v>
      </c>
      <c r="FD43" s="2">
        <v>97932</v>
      </c>
      <c r="FE43" s="2">
        <v>0</v>
      </c>
      <c r="FF43" s="2">
        <v>850000</v>
      </c>
      <c r="FG43" s="2"/>
      <c r="FH43" s="19">
        <v>44480.624409722222</v>
      </c>
      <c r="FI43" s="2" t="s">
        <v>364</v>
      </c>
      <c r="FJ43" s="2">
        <f>SUM(DATA[[#This Row],[Number of Home support clients:]],DATA[[#This Row],[Number of supported living clients:]])</f>
        <v>9</v>
      </c>
      <c r="FK43"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43"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23.59</v>
      </c>
      <c r="FM43"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23.59</v>
      </c>
      <c r="FN43"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21.54</v>
      </c>
      <c r="FO43"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21.54</v>
      </c>
      <c r="FP43"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13.85</v>
      </c>
      <c r="FQ43"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13.85</v>
      </c>
      <c r="FR43"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13.3</v>
      </c>
      <c r="FS43"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13.3</v>
      </c>
      <c r="FT43"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43"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43"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43"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43"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3"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3"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3"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3"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3"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3"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3"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3"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9.75</v>
      </c>
      <c r="GG43"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9.75</v>
      </c>
      <c r="GH43"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9.25</v>
      </c>
      <c r="GI43"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9.25</v>
      </c>
      <c r="GJ43"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11.5</v>
      </c>
      <c r="GK43"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11.75</v>
      </c>
      <c r="GL43"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11</v>
      </c>
      <c r="GM43"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11</v>
      </c>
      <c r="GN43"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12.5</v>
      </c>
      <c r="GO43"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12.5</v>
      </c>
      <c r="GP43"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12</v>
      </c>
      <c r="GQ43"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12</v>
      </c>
      <c r="GR43"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3"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3"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3"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3"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11.5</v>
      </c>
      <c r="GW43"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11.5</v>
      </c>
      <c r="GX43"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11</v>
      </c>
      <c r="GY43"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11</v>
      </c>
      <c r="GZ43"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43"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43"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43"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43"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3"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3"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3"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3"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43"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43"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43"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43"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43"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43"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43"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43"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3"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3"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3"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3"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23.59</v>
      </c>
      <c r="HU43"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23.59</v>
      </c>
      <c r="HV43"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21.54</v>
      </c>
      <c r="HW43"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21.54</v>
      </c>
      <c r="HX43"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13.85</v>
      </c>
      <c r="HY43"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13.85</v>
      </c>
      <c r="HZ43"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13.3</v>
      </c>
      <c r="IA43"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13.3</v>
      </c>
      <c r="IB43"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43"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43"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43"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43"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3"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3"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3"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3"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3"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3"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3"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3"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9.75</v>
      </c>
      <c r="IO43"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9.75</v>
      </c>
      <c r="IP43"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9.25</v>
      </c>
      <c r="IQ43"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9.25</v>
      </c>
      <c r="IR43"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11.5</v>
      </c>
      <c r="IS43"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11.75</v>
      </c>
      <c r="IT43"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11</v>
      </c>
      <c r="IU43"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11</v>
      </c>
      <c r="IV43"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12.5</v>
      </c>
      <c r="IW43"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12.5</v>
      </c>
      <c r="IX43"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12</v>
      </c>
      <c r="IY43"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12</v>
      </c>
      <c r="IZ43"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3"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3"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3"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3"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11.5</v>
      </c>
      <c r="JE43"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11.5</v>
      </c>
      <c r="JF43"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11</v>
      </c>
      <c r="JG43"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11</v>
      </c>
      <c r="JH43"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43"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43"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43"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43"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3"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3"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3"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3"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43"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43"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43"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43"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43"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43"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43"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43"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3"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3"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3"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3"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43" s="21">
        <f>SUM(DATA[[#This Row],[Care Assistant 1: Numbers employed (Full Time Equivalent)]],DATA[[#This Row],[Care Assistant 2: Numbers employed (Full Time Equivalent)]],DATA[[#This Row],[Care Assistant 3: Numbers employed (Full Time Equivalent)]],DATA[[#This Row],[Care Assistant 4: Numbers employed (Full Time Equivalent)]])</f>
        <v>33</v>
      </c>
      <c r="KD43" s="21">
        <f>SUM(DATA[[#This Row],[Administrative Officer 1: Numbers employed (Full Time Equivalent)]],DATA[[#This Row],[Administrative Officer 2: Numbers employed (Full Time Equivalent)]])</f>
        <v>0.8</v>
      </c>
      <c r="KE43" s="21">
        <f>SUM(DATA[[#This Row],[Other staff 1: Numbers employed (Full Time Equivalent)]],DATA[[#This Row],[Other staff 2: Numbers employed (Full Time Equivalent)]],DATA[[#This Row],[Other staff 3: Numbers employed (Full Time Equivalent)]])</f>
        <v>0</v>
      </c>
      <c r="KF43" s="21">
        <f>SUM(DATA[[#This Row],[Total FTE Management Employees]:[Total FTE Other Employees]])</f>
        <v>35.799999999999997</v>
      </c>
      <c r="KG43" s="21" t="str">
        <f>IF(SUM(DATA[[#This Row],[Home Support service split percentage (Expenditure):]],DATA[[#This Row],[Supported Living service split percentage (Expenditure):]])&gt;0, IF(DATA[[#This Row],[Home Support service split percentage (Expenditure):]]&gt;0.5,"Home Support","Supported Living"), "Unknown")</f>
        <v>Supported Living</v>
      </c>
      <c r="KH43" s="21">
        <f>SUM(DATA[[#This Row],[Home Support: Birmingham City Council]:[Home Support: Self-funded]])</f>
        <v>0</v>
      </c>
      <c r="KI43" s="21">
        <f>SUM(DATA[[#This Row],[Supported Living: Birmingham City Council]:[Supported Living: Self-funded]])</f>
        <v>1362</v>
      </c>
      <c r="KJ43"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3"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3"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3"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3" s="21" t="b">
        <f>SUM(DATA[[#This Row],[Number of hours of care charged for in last full accounting year]:[Corporate Overheads: Other  - please specify (category) 1]])&gt;0</f>
        <v>1</v>
      </c>
      <c r="KO43" s="21">
        <f>SUM(DATA[[#This Row],[Total annual expenditure: Management staff]:[Total annual expenditure: Training and development]])</f>
        <v>652378</v>
      </c>
      <c r="KP43" s="21">
        <f>SUM(DATA[[#This Row],[Recruitment &amp; advertising (including DBS checks)]:[Non-Staffing Direct Cost: Other  - please specify (amount) 2]])</f>
        <v>41669</v>
      </c>
      <c r="KQ43" s="21">
        <f>SUM(DATA[[#This Row],[Insurance ]:[Indirect costs: Other 2 - please specify (amount)]])</f>
        <v>26680</v>
      </c>
      <c r="KR43" s="21">
        <f>SUM(DATA[[#This Row],[Central / Regional Management]],DATA[[#This Row],[Support Services (finance / HR / Payroll / legal etc.)]],DATA[[#This Row],[Corporate Overheads: Other  - please specify (amount) 1]],DATA[[#This Row],[Corporate Overheads: Other  - please specify (amount) 2]])</f>
        <v>43100</v>
      </c>
      <c r="KS43"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0.97447795823665895</v>
      </c>
      <c r="KT43"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8.9784579689452073</v>
      </c>
      <c r="KU43"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0.3489023737283598</v>
      </c>
      <c r="KV43"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43" s="30">
        <f>IF(OR(NOT(DATA[[#This Row],[Total annual expenditure: Agency staff]]&gt;0),NOT(DATA[[#This Row],[Number of hours of care charged for in last full accounting year]]&gt;0)),0,DATA[[#This Row],[Total annual expenditure: Agency staff]]/DATA[[#This Row],[Number of hours of care charged for in last full accounting year]])</f>
        <v>0.95511333214349459</v>
      </c>
      <c r="KX43" s="30">
        <f>IF(OR(NOT(DATA[[#This Row],[Total annual expenditure: Travel Cost]]&gt;0),NOT(DATA[[#This Row],[Number of hours of care charged for in last full accounting year]]&gt;0)),0,DATA[[#This Row],[Total annual expenditure: Travel Cost]]/DATA[[#This Row],[Number of hours of care charged for in last full accounting year]])</f>
        <v>0.15438158129573443</v>
      </c>
      <c r="KY43"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43"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0.23203640906657147</v>
      </c>
      <c r="LA43"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4.4262002498661433E-2</v>
      </c>
      <c r="LB43"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43" s="30">
        <f>IF(OR(NOT(DATA[[#This Row],[Care consumables &amp; uniforms]]&gt;0),NOT(DATA[[#This Row],[Number of hours of care charged for in last full accounting year]]&gt;0)),0,DATA[[#This Row],[Care consumables &amp; uniforms]]/DATA[[#This Row],[Number of hours of care charged for in last full accounting year]])</f>
        <v>0.28002855613064431</v>
      </c>
      <c r="LD43" s="30">
        <f>IF(OR(NOT(DATA[[#This Row],[Electronic call monitoring]]&gt;0),NOT(DATA[[#This Row],[Number of hours of care charged for in last full accounting year]]&gt;0)),0,DATA[[#This Row],[Electronic call monitoring]]/DATA[[#This Row],[Number of hours of care charged for in last full accounting year]])</f>
        <v>8.3526682134570762E-2</v>
      </c>
      <c r="LE43" s="30">
        <f>IF(OR(NOT(DATA[[#This Row],[IT Equipment &amp; Telephoney]]&gt;0),NOT(DATA[[#This Row],[Number of hours of care charged for in last full accounting year]]&gt;0)),0,DATA[[#This Row],[IT Equipment &amp; Telephoney]]/DATA[[#This Row],[Number of hours of care charged for in last full accounting year]])</f>
        <v>4.2459396751740139E-2</v>
      </c>
      <c r="LF43"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2.5700517579867927E-2</v>
      </c>
      <c r="LG43"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0.26771372479029093</v>
      </c>
      <c r="LH43" s="30">
        <f>IF(OR(NOT(DATA[[#This Row],[Insurance ]]&gt;0),NOT(DATA[[#This Row],[Number of hours of care charged for in last full accounting year]]&gt;0)),0,DATA[[#This Row],[Insurance ]]/DATA[[#This Row],[Number of hours of care charged for in last full accounting year]])</f>
        <v>6.8713189362841334E-2</v>
      </c>
      <c r="LI43"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5.2650365875423877E-2</v>
      </c>
      <c r="LJ43" s="30">
        <f>IF(OR(NOT(DATA[[#This Row],[Repairs and maintenance]]&gt;0),NOT(DATA[[#This Row],[Number of hours of care charged for in last full accounting year]]&gt;0)),0,DATA[[#This Row],[Repairs and maintenance]]/DATA[[#This Row],[Number of hours of care charged for in last full accounting year]])</f>
        <v>4.9973228627520974E-3</v>
      </c>
      <c r="LK43"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0.21417097983223274</v>
      </c>
      <c r="LL43" s="30">
        <f>IF(OR(NOT(DATA[[#This Row],[Registration &amp; Inspection fees ]]&gt;0),NOT(DATA[[#This Row],[Number of hours of care charged for in last full accounting year]]&gt;0)),0,DATA[[#This Row],[Registration &amp; Inspection fees ]]/DATA[[#This Row],[Number of hours of care charged for in last full accounting year]])</f>
        <v>1.5348920221310012E-2</v>
      </c>
      <c r="LM43" s="30">
        <f>IF(OR(NOT(DATA[[#This Row],[Subscriptions]]&gt;0),NOT(DATA[[#This Row],[Number of hours of care charged for in last full accounting year]]&gt;0)),0,DATA[[#This Row],[Subscriptions]]/DATA[[#This Row],[Number of hours of care charged for in last full accounting year]])</f>
        <v>8.7274674281634837E-2</v>
      </c>
      <c r="LN43" s="30">
        <f>IF(OR(NOT(DATA[[#This Row],[Cost of finance]]&gt;0),NOT(DATA[[#This Row],[Number of hours of care charged for in last full accounting year]]&gt;0)),0,DATA[[#This Row],[Cost of finance]]/DATA[[#This Row],[Number of hours of care charged for in last full accounting year]])</f>
        <v>0</v>
      </c>
      <c r="LO43" s="30">
        <f>IF(OR(NOT(DATA[[#This Row],[Other non-staff current expenses]]&gt;0),NOT(DATA[[#This Row],[Number of hours of care charged for in last full accounting year]]&gt;0)),0,DATA[[#This Row],[Other non-staff current expenses]]/DATA[[#This Row],[Number of hours of care charged for in last full accounting year]])</f>
        <v>0</v>
      </c>
      <c r="LP43"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3.3018026057469216E-2</v>
      </c>
      <c r="LQ43"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3" s="30">
        <f>IF(OR(NOT(DATA[[#This Row],[Central / Regional Management]]&gt;0),NOT(DATA[[#This Row],[Number of hours of care charged for in last full accounting year]]&gt;0)),0,DATA[[#This Row],[Central / Regional Management]]/DATA[[#This Row],[Number of hours of care charged for in last full accounting year]])</f>
        <v>0.49973228627520971</v>
      </c>
      <c r="LS43"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0.15348920221310011</v>
      </c>
      <c r="LT43"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0.11600928074245939</v>
      </c>
      <c r="LU43"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3" s="30">
        <f>SUM(DATA[[#This Row],[Management staff HOURLY RATE]:[Corporate Overheads: Other  - please specify (amount) 2 HOURLY RATE]])</f>
        <v>13.63246475102623</v>
      </c>
      <c r="LW43" s="30">
        <f>IF(OR(NOT(DATA[[#This Row],[Net Operating Profit]]&gt;0),NOT(DATA[[#This Row],[Number of hours of care charged for in last full accounting year]]&gt;0)),"",DATA[[#This Row],[Net Operating Profit]]/DATA[[#This Row],[Number of hours of care charged for in last full accounting year]])</f>
        <v>1.7478493664108514</v>
      </c>
      <c r="LX43" s="30">
        <f>IF(OR(NOT(DATA[[#This Row],[Return on Capital employed]]&gt;0),NOT(DATA[[#This Row],[Number of hours of care charged for in last full accounting year]]&gt;0)),0,DATA[[#This Row],[Return on Capital employed]]/DATA[[#This Row],[Number of hours of care charged for in last full accounting year]])</f>
        <v>0</v>
      </c>
      <c r="LY43" s="31">
        <v>37</v>
      </c>
      <c r="LZ43" s="30" t="s">
        <v>358</v>
      </c>
      <c r="MA43" s="30" t="b">
        <f>DATA[[#This Row],[Number of Home support clients:]]&gt;0</f>
        <v>0</v>
      </c>
      <c r="MB43" s="30" t="b">
        <f>DATA[[#This Row],[Number of supported living clients:]]&gt;0</f>
        <v>1</v>
      </c>
      <c r="MC43" s="30" t="b">
        <f>DATA[[#This Row],[Total Home Support Hours]]&gt;0</f>
        <v>0</v>
      </c>
      <c r="MD43" s="30" t="b">
        <f>DATA[[#This Row],[Total Supported Living Hours]]&gt;0</f>
        <v>1</v>
      </c>
      <c r="ME43" s="30" t="b">
        <f>DATA[[#This Row],[Home Support service split percentage (Expenditure):]]&gt;0.5</f>
        <v>0</v>
      </c>
      <c r="MF43" s="30" t="b">
        <f>DATA[[#This Row],[Agency staff HOURLY RATE]]=0</f>
        <v>0</v>
      </c>
      <c r="MG43" s="30">
        <f>IFERROR(IF(AVERAGE(DATA[[#This Row],[Registered manager: Current 2021/22 Minimum hourly pay rate ADJUSTED]],DATA[[#This Row],[Registered manager: Current 2021/22 Maximum hourly pay rate ADJUSTED]])&lt;LIVING_WAGE_22_23,DATA[[#This Row],[Registered manager: Numbers employed (Full Time Equivalent)]],0),"")</f>
        <v>0</v>
      </c>
      <c r="MH43" s="30">
        <f>IFERROR(IF(AVERAGE(DATA[[#This Row],[Deputy manager: Current 2021/22 Minimum hourly pay rate ADJUSTED]],DATA[[#This Row],[Deputy manager: Current 2021/22 Maximum hourly pay rate ADJUSTED]])&lt;LIVING_WAGE_22_23,DATA[[#This Row],[Deputy manager: Numbers employed (Full Time Equivalent)]],0),"")</f>
        <v>0</v>
      </c>
      <c r="MI43" s="30" t="str">
        <f>IFERROR(IF(AVERAGE(DATA[[#This Row],[Other manager 1: Current 2021/22 Minimum hourly pay rate ADJUSTED]],DATA[[#This Row],[Other manager 1: Current 2021/22 Maximum hourly pay rate ADJUSTED]])&lt;LIVING_WAGE_22_23,DATA[[#This Row],[Other manager 1: Numbers employed (Full Time Equivalent)]],0),"")</f>
        <v/>
      </c>
      <c r="MJ43" s="30" t="str">
        <f>IFERROR(IF(AVERAGE(DATA[[#This Row],[Other manager 2: Current 2021/22 Minimum hourly pay rate ADJUSTED]],DATA[[#This Row],[Other manager 2: Current 2021/22 Maximum hourly pay rate ADJUSTED]])&lt;LIVING_WAGE_22_23,DATA[[#This Row],[Other manager 2: Numbers employed (Full Time Equivalent)]],0),"")</f>
        <v/>
      </c>
      <c r="MK43" s="30" t="str">
        <f>IFERROR(IF(AVERAGE(DATA[[#This Row],[Other manager 3: Current 2021/22 Minimum hourly pay rate ADJUSTED]],DATA[[#This Row],[Other manager 3: Current 2021/22 Maximum hourly pay rate ADJUSTED]])&lt;LIVING_WAGE_22_23,DATA[[#This Row],[Other manager 3: Numbers employed (Full Time Equivalent)]],0),"")</f>
        <v/>
      </c>
      <c r="ML43" s="30">
        <f>IFERROR(IF(AVERAGE(DATA[[#This Row],[Care Assistant 1: Current 2021/22 Minimum hourly pay rate ADJUSTED]],DATA[[#This Row],[Care Assistant 1: Current 2021/22 Maximum hourly pay rate ADJUSTED]])&lt;LIVING_WAGE_22_23,DATA[[#This Row],[Care Assistant 1: Numbers employed (Full Time Equivalent)]],0),"")</f>
        <v>0</v>
      </c>
      <c r="MM43" s="30">
        <f>IFERROR(IF(AVERAGE(DATA[[#This Row],[Care Assistant 2: Current 2021/22 Minimum hourly pay rate ADJUSTED]],DATA[[#This Row],[Care Assistant 2: Current 2021/22 Maximum hourly pay rate ADJUSTED]])&lt;LIVING_WAGE_22_23,DATA[[#This Row],[Care Assistant 2: Numbers employed (Full Time Equivalent)]],0),"")</f>
        <v>0</v>
      </c>
      <c r="MN43" s="30">
        <f>IFERROR(IF(AVERAGE(DATA[[#This Row],[Care Assistant 3: Current 2021/22 Minimum hourly pay rate ADJUSTED]],DATA[[#This Row],[Care Assistant 3: Current 2021/22 Maximum hourly pay rate ADJUSTED]])&lt;LIVING_WAGE_22_23,DATA[[#This Row],[Care Assistant 3: Numbers employed (Full Time Equivalent)]],0),"")</f>
        <v>0</v>
      </c>
      <c r="MO43" s="30" t="str">
        <f>IFERROR(IF(AVERAGE(DATA[[#This Row],[Care Assistant 4: Current 2021/22 Minimum hourly pay rate ADJUSTED]],DATA[[#This Row],[Care Assistant 4: Current 2021/22 Maximum hourly pay rate ADJUSTED]])&lt;LIVING_WAGE_22_23,DATA[[#This Row],[Care Assistant 4: Numbers employed (Full Time Equivalent)]],0),"")</f>
        <v/>
      </c>
      <c r="MP43"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43"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43" s="30" t="str">
        <f>IFERROR(IF(AVERAGE(DATA[[#This Row],[Other staff 1: Current 2021/22 Minimum hourly pay rate ADJUSTED]],DATA[[#This Row],[Other staff 1: Current 2021/22 Maximum hourly pay rate ADJUSTED]])&lt;LIVING_WAGE_22_23,DATA[[#This Row],[Other staff 1: Numbers employed (Full Time Equivalent)]],0),"")</f>
        <v/>
      </c>
      <c r="MS43" s="30" t="str">
        <f>IFERROR(IF(AVERAGE(DATA[[#This Row],[Other staff 2: Current 2021/22 Minimum hourly pay rate ADJUSTED]],DATA[[#This Row],[Other staff 2: Current 2021/22 Maximum hourly pay rate ADJUSTED]])&lt;LIVING_WAGE_22_23,DATA[[#This Row],[Other staff 2: Numbers employed (Full Time Equivalent)]],0),"")</f>
        <v/>
      </c>
      <c r="MT43" s="30" t="str">
        <f>IFERROR(IF(AVERAGE(DATA[[#This Row],[Other staff 3: Current 2021/22 Minimum hourly pay rate ADJUSTED]],DATA[[#This Row],[Other staff 3: Current 2021/22 Maximum hourly pay rate ADJUSTED]])&lt;LIVING_WAGE_22_23,DATA[[#This Row],[Other staff 3: Numbers employed (Full Time Equivalent)]],0),"")</f>
        <v/>
      </c>
      <c r="MU43" s="30">
        <f>SUM(DATA[[#This Row],[Registered Manager FTE earning less than NLW 23yrs 2022/23]:[Other staff 3 FTE earning less than NLW 23yrs 2022/23]])</f>
        <v>0</v>
      </c>
      <c r="MV43"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43"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43"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43"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3"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3"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43"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43"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43"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3"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43"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43"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43"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43"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3" s="30" t="b">
        <v>1</v>
      </c>
      <c r="NK43" s="30" t="b">
        <v>1</v>
      </c>
      <c r="NL43" s="30" t="s">
        <v>505</v>
      </c>
      <c r="NM43" s="30">
        <f>SUM(DATA[[#This Row],[Management staff HOURLY RATE]:[Training and development HOURLY RATE]])</f>
        <v>11.643369623416024</v>
      </c>
      <c r="NN43" s="30">
        <f>SUM(DATA[[#This Row],[Recruitment &amp; advertising (including DBS checks) HOURLY RATE]:[Non-Staffing Direct Cost: Other  - please specify (amount) 2 HOURLY RATE]])</f>
        <v>0.74369087988577554</v>
      </c>
      <c r="NO43" s="30">
        <f>SUM(DATA[[#This Row],[Insurance  HOURLY RATE]:[Indirect costs: Other  - please specify (amount) 2 HOURLY RATE]])</f>
        <v>0.47617347849366409</v>
      </c>
      <c r="NP43" s="30">
        <f>SUM(DATA[[#This Row],[Central / Regional Management HOURLY RATE]:[Corporate Overheads: Other  - please specify (amount) 2 HOURLY RATE]])</f>
        <v>0.76923076923076927</v>
      </c>
      <c r="NQ43"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43" s="30">
        <f>IFERROR(IF(AVERAGE(DATA[[#This Row],[Deputy manager: Current 2021/22 Minimum hourly pay rate ADJUSTED]],DATA[[#This Row],[Deputy manager: Current 2021/22 Maximum hourly pay rate ADJUSTED]])&lt;REAL_LIVING_WAGE_22_23,DATA[[#This Row],[Deputy manager: Numbers employed (Full Time Equivalent)]],0),"")</f>
        <v>0</v>
      </c>
      <c r="NS43" s="30" t="str">
        <f>IFERROR(IF(AVERAGE(DATA[[#This Row],[Other manager 1: Current 2021/22 Minimum hourly pay rate ADJUSTED]],DATA[[#This Row],[Other manager 1: Current 2021/22 Maximum hourly pay rate ADJUSTED]])&lt;REAL_LIVING_WAGE_22_23,DATA[[#This Row],[Other manager 1: Numbers employed (Full Time Equivalent)]],0),"")</f>
        <v/>
      </c>
      <c r="NT43" s="30" t="str">
        <f>IFERROR(IF(AVERAGE(DATA[[#This Row],[Other manager 2: Current 2021/22 Minimum hourly pay rate ADJUSTED]],DATA[[#This Row],[Other manager 2: Current 2021/22 Maximum hourly pay rate ADJUSTED]])&lt;REAL_LIVING_WAGE_22_23,DATA[[#This Row],[Other manager 2: Numbers employed (Full Time Equivalent)]],0),"")</f>
        <v/>
      </c>
      <c r="NU43" s="30" t="str">
        <f>IFERROR(IF(AVERAGE(DATA[[#This Row],[Other manager 3: Current 2021/22 Minimum hourly pay rate ADJUSTED]],DATA[[#This Row],[Other manager 3: Current 2021/22 Maximum hourly pay rate ADJUSTED]])&lt;REAL_LIVING_WAGE_22_23,DATA[[#This Row],[Other manager 3: Numbers employed (Full Time Equivalent)]],0),"")</f>
        <v/>
      </c>
      <c r="NV43" s="30">
        <f>IFERROR(IF(AVERAGE(DATA[[#This Row],[Care Assistant 1: Current 2021/22 Minimum hourly pay rate ADJUSTED]],DATA[[#This Row],[Care Assistant 1: Current 2021/22 Maximum hourly pay rate ADJUSTED]])&lt;REAL_LIVING_WAGE_22_23,DATA[[#This Row],[Care Assistant 1: Numbers employed (Full Time Equivalent)]],0),"")</f>
        <v>26</v>
      </c>
      <c r="NW43" s="30">
        <f>IFERROR(IF(AVERAGE(DATA[[#This Row],[Care Assistant 2: Current 2021/22 Minimum hourly pay rate ADJUSTED]],DATA[[#This Row],[Care Assistant 2: Current 2021/22 Maximum hourly pay rate ADJUSTED]])&lt;REAL_LIVING_WAGE_22_23,DATA[[#This Row],[Care Assistant 2: Numbers employed (Full Time Equivalent)]],0),"")</f>
        <v>0</v>
      </c>
      <c r="NX43" s="30">
        <f>IFERROR(IF(AVERAGE(DATA[[#This Row],[Care Assistant 3: Current 2021/22 Minimum hourly pay rate ADJUSTED]],DATA[[#This Row],[Care Assistant 3: Current 2021/22 Maximum hourly pay rate ADJUSTED]])&lt;REAL_LIVING_WAGE_22_23,DATA[[#This Row],[Care Assistant 3: Numbers employed (Full Time Equivalent)]],0),"")</f>
        <v>0</v>
      </c>
      <c r="NY43"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3"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43"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43" s="30" t="str">
        <f>IFERROR(IF(AVERAGE(DATA[[#This Row],[Other staff 1: Current 2021/22 Minimum hourly pay rate ADJUSTED]],DATA[[#This Row],[Other staff 1: Current 2021/22 Maximum hourly pay rate ADJUSTED]])&lt;REAL_LIVING_WAGE_22_23,DATA[[#This Row],[Other staff 1: Numbers employed (Full Time Equivalent)]],0),"")</f>
        <v/>
      </c>
      <c r="OC43" s="30" t="str">
        <f>IFERROR(IF(AVERAGE(DATA[[#This Row],[Other staff 2: Current 2021/22 Minimum hourly pay rate ADJUSTED]],DATA[[#This Row],[Other staff 2: Current 2021/22 Maximum hourly pay rate ADJUSTED]])&lt;REAL_LIVING_WAGE_22_23,DATA[[#This Row],[Other staff 2: Numbers employed (Full Time Equivalent)]],0),"")</f>
        <v/>
      </c>
      <c r="OD43" s="30" t="str">
        <f>IFERROR(IF(AVERAGE(DATA[[#This Row],[Other staff 3: Current 2021/22 Minimum hourly pay rate ADJUSTED]],DATA[[#This Row],[Other staff 3: Current 2021/22 Maximum hourly pay rate ADJUSTED]])&lt;REAL_LIVING_WAGE_22_23,DATA[[#This Row],[Other staff 3: Numbers employed (Full Time Equivalent)]],0),"")</f>
        <v/>
      </c>
      <c r="OE43" s="30">
        <f>SUM(DATA[[#This Row],[Registered Manager FTE earning less than RLW 23yrs 2022/23]:[Other staff 3 FTE earning less than RLW 23yrs 2022/23]])</f>
        <v>26</v>
      </c>
      <c r="OF43"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43"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43"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43"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3"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3"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3.9000000000000092</v>
      </c>
      <c r="OL43"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43"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v>
      </c>
      <c r="ON43"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3"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43"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43"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43"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43"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3" s="30">
        <f>IFERROR(IF(DATA[[#This Row],[Registered manager: Numbers employed (Full Time Equivalent)]]=0,"",DATA[[#This Row],[Registered manager: Current 2021/22 Minimum hourly pay rate ADJUSTED 2]]*DATA[[#This Row],[Registered manager: Numbers employed (Full Time Equivalent)]]),"")</f>
        <v>23.59</v>
      </c>
      <c r="OU43" s="30">
        <f>IFERROR(IF(DATA[[#This Row],[Registered manager: Numbers employed (Full Time Equivalent)]]=0,"",DATA[[#This Row],[Registered manager: Current 2021/22 Maximum hourly pay rate ADJUSTED 2]]*DATA[[#This Row],[Registered manager: Numbers employed (Full Time Equivalent)]]),"")</f>
        <v>23.59</v>
      </c>
      <c r="OV43" s="30">
        <f>IFERROR(IF(DATA[[#This Row],[Registered manager: Numbers employed (Full Time Equivalent)]]=0,"",DATA[[#This Row],[Registered manager: Previous 2020/21 Minimum hourly pay rate ADJUSTED 2]]*DATA[[#This Row],[Registered manager: Numbers employed (Full Time Equivalent)]]),"")</f>
        <v>21.54</v>
      </c>
      <c r="OW43" s="30">
        <f>IFERROR(IF(DATA[[#This Row],[Registered manager: Numbers employed (Full Time Equivalent)]]=0,"",DATA[[#This Row],[Registered manager: Previous 2020/21 Maximum hourly pay rate ADJUSTED 2]]*DATA[[#This Row],[Registered manager: Numbers employed (Full Time Equivalent)]]),"")</f>
        <v>21.54</v>
      </c>
      <c r="OX43" s="30">
        <f>IFERROR(IF(DATA[[#This Row],[Deputy manager: Numbers employed (Full Time Equivalent)]]=0,"",DATA[[#This Row],[Deputy manager: Current 2021/22 Minimum hourly pay rate ADJUSTED 2]]*DATA[[#This Row],[Deputy manager: Numbers employed (Full Time Equivalent)]]),"")</f>
        <v>13.85</v>
      </c>
      <c r="OY43" s="30">
        <f>IFERROR(IF(DATA[[#This Row],[Deputy manager: Numbers employed (Full Time Equivalent)]]=0,"",DATA[[#This Row],[Deputy manager: Current 2021/22 Maximum hourly pay rate ADJUSTED 2]]*DATA[[#This Row],[Deputy manager: Numbers employed (Full Time Equivalent)]]),"")</f>
        <v>13.85</v>
      </c>
      <c r="OZ43" s="30">
        <f>IFERROR(IF(DATA[[#This Row],[Deputy manager: Numbers employed (Full Time Equivalent)]]=0,"",DATA[[#This Row],[Deputy manager: Previous 2020/21 Minimum hourly pay rate ADJUSTED 2]]*DATA[[#This Row],[Deputy manager: Numbers employed (Full Time Equivalent)]]),"")</f>
        <v>13.3</v>
      </c>
      <c r="PA43" s="30">
        <f>IFERROR(IF(DATA[[#This Row],[Deputy manager: Numbers employed (Full Time Equivalent)]]=0,"",DATA[[#This Row],[Deputy manager: Previous 2020/21 Maximum hourly pay rate ADJUSTED 2]]*DATA[[#This Row],[Deputy manager: Numbers employed (Full Time Equivalent)]]),"")</f>
        <v>13.3</v>
      </c>
      <c r="PB43" s="30" t="str">
        <f>IFERROR(IF(DATA[[#This Row],[Other manager 1: Numbers employed (Full Time Equivalent)]]=0,"",DATA[[#This Row],[Other manager 1: Current 2021/22 Minimum hourly pay rate ADJUSTED 2]]*DATA[[#This Row],[Other manager 1: Numbers employed (Full Time Equivalent)]]),"")</f>
        <v/>
      </c>
      <c r="PC43" s="30" t="str">
        <f>IFERROR(IF(DATA[[#This Row],[Other manager 1: Numbers employed (Full Time Equivalent)]]=0,"",DATA[[#This Row],[Other manager 1: Current 2021/22 Maximum hourly pay rate ADJUSTED 2]]*DATA[[#This Row],[Other manager 1: Numbers employed (Full Time Equivalent)]]),"")</f>
        <v/>
      </c>
      <c r="PD43" s="30" t="str">
        <f>IFERROR(IF(DATA[[#This Row],[Other manager 1: Numbers employed (Full Time Equivalent)]]=0,"",DATA[[#This Row],[Other manager 1: Previous 2020/21 Minimum hourly pay rate ADJUSTED 2]]*DATA[[#This Row],[Other manager 1: Numbers employed (Full Time Equivalent)]]),"")</f>
        <v/>
      </c>
      <c r="PE43" s="30" t="str">
        <f>IFERROR(IF(DATA[[#This Row],[Other manager 1: Numbers employed (Full Time Equivalent)]]=0,"",DATA[[#This Row],[Other manager 1: Previous 2020/21 Maximum hourly pay rate ADJUSTED 2]]*DATA[[#This Row],[Other manager 1: Numbers employed (Full Time Equivalent)]]),"")</f>
        <v/>
      </c>
      <c r="PF43" s="30" t="str">
        <f>IFERROR(IF(DATA[[#This Row],[Other manager 2: Numbers employed (Full Time Equivalent)]]=0,"",DATA[[#This Row],[Other manager 2: Current 2021/22 Minimum hourly pay rate ADJUSTED 2]]*DATA[[#This Row],[Other manager 2: Numbers employed (Full Time Equivalent)]]),"")</f>
        <v/>
      </c>
      <c r="PG43" s="30" t="str">
        <f>IFERROR(IF(DATA[[#This Row],[Other manager 2: Numbers employed (Full Time Equivalent)]]=0,"",DATA[[#This Row],[Other manager 2: Current 2021/22 Maximum hourly pay rate ADJUSTED 2]]*DATA[[#This Row],[Other manager 2: Numbers employed (Full Time Equivalent)]]),"")</f>
        <v/>
      </c>
      <c r="PH43" s="30" t="str">
        <f>IFERROR(IF(DATA[[#This Row],[Other manager 2: Numbers employed (Full Time Equivalent)]]=0,"",DATA[[#This Row],[Other manager 2: Previous 2020/21 Minimum hourly pay rate ADJUSTED 2]]*DATA[[#This Row],[Other manager 2: Numbers employed (Full Time Equivalent)]]),"")</f>
        <v/>
      </c>
      <c r="PI43" s="30" t="str">
        <f>IFERROR(IF(DATA[[#This Row],[Other manager 2: Numbers employed (Full Time Equivalent)]]=0,"",DATA[[#This Row],[Other manager 2: Previous 2020/21 Maximum hourly pay rate ADJUSTED 2]]*DATA[[#This Row],[Other manager 2: Numbers employed (Full Time Equivalent)]]),"")</f>
        <v/>
      </c>
      <c r="PJ43" s="30" t="str">
        <f>IFERROR(IF(DATA[[#This Row],[Other manager 3: Numbers employed (Full Time Equivalent)]]=0,"",DATA[[#This Row],[Other manager 3: Current 2021/22 Minimum hourly pay rate ADJUSTED 2]]*DATA[[#This Row],[Other manager 3: Numbers employed (Full Time Equivalent)]]),"")</f>
        <v/>
      </c>
      <c r="PK43" s="30" t="str">
        <f>IFERROR(IF(DATA[[#This Row],[Other manager 3: Numbers employed (Full Time Equivalent)]]=0,"",DATA[[#This Row],[Other manager 3: Current 2021/22 Maximum hourly pay rate ADJUSTED 2]]*DATA[[#This Row],[Other manager 3: Numbers employed (Full Time Equivalent)]]),"")</f>
        <v/>
      </c>
      <c r="PL43" s="30" t="str">
        <f>IFERROR(IF(DATA[[#This Row],[Other manager 3: Numbers employed (Full Time Equivalent)]]=0,"",DATA[[#This Row],[Other manager 3: Previous 2020/21 Minimum hourly pay rate ADJUSTED 2]]*DATA[[#This Row],[Other manager 3: Numbers employed (Full Time Equivalent)]]),"")</f>
        <v/>
      </c>
      <c r="PM43" s="30" t="str">
        <f>IFERROR(IF(DATA[[#This Row],[Other manager 3: Numbers employed (Full Time Equivalent)]]=0,"",DATA[[#This Row],[Other manager 3: Previous 2020/21 Maximum hourly pay rate ADJUSTED 2]]*DATA[[#This Row],[Other manager 3: Numbers employed (Full Time Equivalent)]]),"")</f>
        <v/>
      </c>
      <c r="PN43" s="30">
        <f>IFERROR(IF(DATA[[#This Row],[Care Assistant 1: Numbers employed (Full Time Equivalent)]]=0,"",DATA[[#This Row],[Care Assistant 1: Current 2021/22 Minimum hourly pay rate ADJUSTED 2]]*DATA[[#This Row],[Care Assistant 1: Numbers employed (Full Time Equivalent)]]),"")</f>
        <v>253.5</v>
      </c>
      <c r="PO43" s="30">
        <f>IFERROR(IF(DATA[[#This Row],[Care Assistant 1: Numbers employed (Full Time Equivalent)]]=0,"",DATA[[#This Row],[Care Assistant 1: Current 2021/22 Maximum hourly pay rate ADJUSTED 2]]*DATA[[#This Row],[Care Assistant 1: Numbers employed (Full Time Equivalent)]]),"")</f>
        <v>253.5</v>
      </c>
      <c r="PP43" s="30">
        <f>IFERROR(IF(DATA[[#This Row],[Care Assistant 1: Numbers employed (Full Time Equivalent)]]=0,"",DATA[[#This Row],[Care Assistant 1: Previous 2020/21 Minimum hourly pay rate ADJUSTED 2]]*DATA[[#This Row],[Care Assistant 1: Numbers employed (Full Time Equivalent)]]),"")</f>
        <v>240.5</v>
      </c>
      <c r="PQ43" s="30">
        <f>IFERROR(IF(DATA[[#This Row],[Care Assistant 1: Numbers employed (Full Time Equivalent)]]=0,"",DATA[[#This Row],[Care Assistant 1: Previous 2020/21 Maximum hourly pay rate ADJUSTED 2]]*DATA[[#This Row],[Care Assistant 1: Numbers employed (Full Time Equivalent)]]),"")</f>
        <v>240.5</v>
      </c>
      <c r="PR43" s="30">
        <f>IFERROR(IF(DATA[[#This Row],[Care Assistant 2: Numbers employed (Full Time Equivalent)]]=0,"",DATA[[#This Row],[Care Assistant 2: Current 2021/22 Minimum hourly pay rate ADJUSTED 2]]*DATA[[#This Row],[Care Assistant 2: Numbers employed (Full Time Equivalent)]]),"")</f>
        <v>46</v>
      </c>
      <c r="PS43" s="30">
        <f>IFERROR(IF(DATA[[#This Row],[Care Assistant 2: Numbers employed (Full Time Equivalent)]]=0,"",DATA[[#This Row],[Care Assistant 2: Current 2021/22 Maximum hourly pay rate ADJUSTED 2]]*DATA[[#This Row],[Care Assistant 2: Numbers employed (Full Time Equivalent)]]),"")</f>
        <v>47</v>
      </c>
      <c r="PT43" s="30">
        <f>IFERROR(IF(DATA[[#This Row],[Care Assistant 2: Numbers employed (Full Time Equivalent)]]=0,"",DATA[[#This Row],[Care Assistant 2: Previous 2020/21 Minimum hourly pay rate ADJUSTED 2]]*DATA[[#This Row],[Care Assistant 2: Numbers employed (Full Time Equivalent)]]),"")</f>
        <v>44</v>
      </c>
      <c r="PU43" s="30">
        <f>IFERROR(IF(DATA[[#This Row],[Care Assistant 2: Numbers employed (Full Time Equivalent)]]=0,"",DATA[[#This Row],[Care Assistant 2: Previous 2020/21 Maximum hourly pay rate ADJUSTED 2]]*DATA[[#This Row],[Care Assistant 2: Numbers employed (Full Time Equivalent)]]),"")</f>
        <v>44</v>
      </c>
      <c r="PV43" s="30">
        <f>IFERROR(IF(DATA[[#This Row],[Care Assistant 3: Numbers employed (Full Time Equivalent)]]=0,"",DATA[[#This Row],[Care Assistant 3: Current 2021/22 Minimum hourly pay rate ADJUSTED 2]]*DATA[[#This Row],[Care Assistant 3: Numbers employed (Full Time Equivalent)]]),"")</f>
        <v>37.5</v>
      </c>
      <c r="PW43" s="30">
        <f>IFERROR(IF(DATA[[#This Row],[Care Assistant 3: Numbers employed (Full Time Equivalent)]]=0,"",DATA[[#This Row],[Care Assistant 3: Current 2021/22 Maximum hourly pay rate ADJUSTED 2]]*DATA[[#This Row],[Care Assistant 3: Numbers employed (Full Time Equivalent)]]),"")</f>
        <v>37.5</v>
      </c>
      <c r="PX43" s="30">
        <f>IFERROR(IF(DATA[[#This Row],[Care Assistant 3: Numbers employed (Full Time Equivalent)]]=0,"",DATA[[#This Row],[Care Assistant 3: Previous 2020/21 Minimum hourly pay rate ADJUSTED 2]]*DATA[[#This Row],[Care Assistant 3: Numbers employed (Full Time Equivalent)]]),"")</f>
        <v>36</v>
      </c>
      <c r="PY43" s="30">
        <f>IFERROR(IF(DATA[[#This Row],[Care Assistant 3: Numbers employed (Full Time Equivalent)]]=0,"",DATA[[#This Row],[Care Assistant 3: Previous 2020/21 Maximum hourly pay rate ADJUSTED 2]]*DATA[[#This Row],[Care Assistant 3: Numbers employed (Full Time Equivalent)]]),"")</f>
        <v>36</v>
      </c>
      <c r="PZ43" s="30" t="str">
        <f>IFERROR(IF(DATA[[#This Row],[Care Assistant 4: Numbers employed (Full Time Equivalent)]]=0,"",DATA[[#This Row],[Care Assistant 4: Current 2021/22 Minimum hourly pay rate ADJUSTED 2]]*DATA[[#This Row],[Care Assistant 4: Numbers employed (Full Time Equivalent)]]),"")</f>
        <v/>
      </c>
      <c r="QA43" s="30" t="str">
        <f>IFERROR(IF(DATA[[#This Row],[Care Assistant 4: Numbers employed (Full Time Equivalent)]]=0,"",DATA[[#This Row],[Care Assistant 4: Current 2021/22 Maximum hourly pay rate ADJUSTED 2]]*DATA[[#This Row],[Care Assistant 4: Numbers employed (Full Time Equivalent)]]),"")</f>
        <v/>
      </c>
      <c r="QB43" s="30" t="str">
        <f>IFERROR(IF(DATA[[#This Row],[Care Assistant 4: Numbers employed (Full Time Equivalent)]]=0,"",DATA[[#This Row],[Care Assistant 4: Previous 2020/21 Minimum hourly pay rate ADJUSTED 2]]*DATA[[#This Row],[Care Assistant 4: Numbers employed (Full Time Equivalent)]]),"")</f>
        <v/>
      </c>
      <c r="QC43" s="30" t="str">
        <f>IFERROR(IF(DATA[[#This Row],[Care Assistant 4: Numbers employed (Full Time Equivalent)]]=0,"",DATA[[#This Row],[Care Assistant 4: Previous 2020/21 Maximum hourly pay rate ADJUSTED 2]]*DATA[[#This Row],[Care Assistant 4: Numbers employed (Full Time Equivalent)]]),"")</f>
        <v/>
      </c>
      <c r="QD43" s="30">
        <f>IFERROR(IF(DATA[[#This Row],[Administrative Officer 1: Numbers employed (Full Time Equivalent)]]=0,"",DATA[[#This Row],[Administrative Officer 1: Current 2021/22 Minimum hourly pay rate ADJUSTED 2]]*DATA[[#This Row],[Administrative Officer 1: Numbers employed (Full Time Equivalent)]]),"")</f>
        <v>9.2000000000000011</v>
      </c>
      <c r="QE43" s="30">
        <f>IFERROR(IF(DATA[[#This Row],[Administrative Officer 1: Numbers employed (Full Time Equivalent)]]=0,"",DATA[[#This Row],[Administrative Officer 1: Current 2021/22 Maximum hourly pay rate ADJUSTED 2]]*DATA[[#This Row],[Administrative Officer 1: Numbers employed (Full Time Equivalent)]]),"")</f>
        <v>9.2000000000000011</v>
      </c>
      <c r="QF43" s="30">
        <f>IFERROR(IF(DATA[[#This Row],[Administrative Officer 1: Numbers employed (Full Time Equivalent)]]=0,"",DATA[[#This Row],[Administrative Officer 1: Previous 2020/21 Minimum hourly pay rate ADJUSTED 2]]*DATA[[#This Row],[Administrative Officer 1: Numbers employed (Full Time Equivalent)]]),"")</f>
        <v>8.8000000000000007</v>
      </c>
      <c r="QG43" s="30">
        <f>IFERROR(IF(DATA[[#This Row],[Administrative Officer 1: Numbers employed (Full Time Equivalent)]]=0,"",DATA[[#This Row],[Administrative Officer 1: Previous 2020/21 Maximum hourly pay rate ADJUSTED 2]]*DATA[[#This Row],[Administrative Officer 1: Numbers employed (Full Time Equivalent)]]),"")</f>
        <v>8.8000000000000007</v>
      </c>
      <c r="QH43" s="30" t="str">
        <f>IFERROR(IF(DATA[[#This Row],[Administrative Officer 2: Numbers employed (Full Time Equivalent)]]=0,"",DATA[[#This Row],[Administrative Officer 2: Current 2021/22 Minimum hourly pay rate ADJUSTED 2]]*DATA[[#This Row],[Administrative Officer 2: Numbers employed (Full Time Equivalent)]]),"")</f>
        <v/>
      </c>
      <c r="QI43" s="30" t="str">
        <f>IFERROR(IF(DATA[[#This Row],[Administrative Officer 2: Numbers employed (Full Time Equivalent)]]=0,"",DATA[[#This Row],[Administrative Officer 2: Current 2021/22 Maximum hourly pay rate ADJUSTED 2]]*DATA[[#This Row],[Administrative Officer 2: Numbers employed (Full Time Equivalent)]]),"")</f>
        <v/>
      </c>
      <c r="QJ43" s="30" t="str">
        <f>IFERROR(IF(DATA[[#This Row],[Administrative Officer 2: Numbers employed (Full Time Equivalent)]]=0,"",DATA[[#This Row],[Administrative Officer 2: Previous 2020/21 Minimum hourly pay rate ADJUSTED 2]]*DATA[[#This Row],[Administrative Officer 2: Numbers employed (Full Time Equivalent)]]),"")</f>
        <v/>
      </c>
      <c r="QK43" s="30" t="str">
        <f>IFERROR(IF(DATA[[#This Row],[Administrative Officer 2: Numbers employed (Full Time Equivalent)]]=0,"",DATA[[#This Row],[Administrative Officer 2: Previous 2020/21 Maximum hourly pay rate ADJUSTED 2]]*DATA[[#This Row],[Administrative Officer 2: Numbers employed (Full Time Equivalent)]]),"")</f>
        <v/>
      </c>
      <c r="QL43" s="30" t="str">
        <f>IFERROR(IF(DATA[[#This Row],[Administrative Officer 3: Numbers employed (Full Time Equivalent)]]=0,"",DATA[[#This Row],[Administrative Officer 3: Current 2021/22 Minimum hourly pay rate ADJUSTED 2]]*DATA[[#This Row],[Administrative Officer 3: Numbers employed (Full Time Equivalent)]]),"")</f>
        <v/>
      </c>
      <c r="QM43" s="30" t="str">
        <f>IFERROR(IF(DATA[[#This Row],[Administrative Officer 3: Numbers employed (Full Time Equivalent)]]=0,"",DATA[[#This Row],[Administrative Officer 3: Current 2021/22 Maximum hourly pay rate ADJUSTED 2]]*DATA[[#This Row],[Administrative Officer 3: Numbers employed (Full Time Equivalent)]]),"")</f>
        <v/>
      </c>
      <c r="QN43" s="30" t="str">
        <f>IFERROR(IF(DATA[[#This Row],[Administrative Officer 3: Numbers employed (Full Time Equivalent)]]=0,"",DATA[[#This Row],[Administrative Officer 3: Previous 2020/21 Minimum hourly pay rate ADJUSTED 2]]*DATA[[#This Row],[Administrative Officer 3: Numbers employed (Full Time Equivalent)]]),"")</f>
        <v/>
      </c>
      <c r="QO43" s="30" t="str">
        <f>IFERROR(IF(DATA[[#This Row],[Administrative Officer 3: Numbers employed (Full Time Equivalent)]]=0,"",DATA[[#This Row],[Administrative Officer 3: Previous 2020/21 Maximum hourly pay rate ADJUSTED 2]]*DATA[[#This Row],[Administrative Officer 3: Numbers employed (Full Time Equivalent)]]),"")</f>
        <v/>
      </c>
      <c r="QP43" s="28" t="str">
        <f>IFERROR(IF(DATA[[#This Row],[Other staff 1: Numbers employed (Full Time Equivalent)]]=0,"",DATA[[#This Row],[Other staff 1: Current 2021/22 Minimum hourly pay rate ADJUSTED 2]]*DATA[[#This Row],[Other staff 1: Numbers employed (Full Time Equivalent)]]),"")</f>
        <v/>
      </c>
      <c r="QQ43" s="28" t="str">
        <f>IFERROR(IF(DATA[[#This Row],[Other staff 1: Numbers employed (Full Time Equivalent)]]=0,"",DATA[[#This Row],[Other staff 1: Current 2021/22 Maximum hourly pay rate ADJUSTED 2]]*DATA[[#This Row],[Other staff 1: Numbers employed (Full Time Equivalent)]]),"")</f>
        <v/>
      </c>
      <c r="QR43" s="28" t="str">
        <f>IFERROR(IF(DATA[[#This Row],[Other staff 1: Numbers employed (Full Time Equivalent)]]=0,"",DATA[[#This Row],[Other staff 1: Previous 2020/21 Minimum hourly pay rate ADJUSTED 2]]*DATA[[#This Row],[Other staff 1: Numbers employed (Full Time Equivalent)]]),"")</f>
        <v/>
      </c>
      <c r="QS43" s="28" t="str">
        <f>IFERROR(IF(DATA[[#This Row],[Other staff 1: Numbers employed (Full Time Equivalent)]]=0,"",DATA[[#This Row],[Other staff 1: Previous 2020/21 Maximum hourly pay rate ADJUSTED 2]]*DATA[[#This Row],[Other staff 1: Numbers employed (Full Time Equivalent)]]),"")</f>
        <v/>
      </c>
      <c r="QT43" s="28" t="str">
        <f>IFERROR(IF(DATA[[#This Row],[Other staff 2: Numbers employed (Full Time Equivalent)]]=0,"",DATA[[#This Row],[Other staff 2: Current 2021/22 Minimum hourly pay rate ADJUSTED 2]]*DATA[[#This Row],[Other staff 2: Numbers employed (Full Time Equivalent)]]),"")</f>
        <v/>
      </c>
      <c r="QU43" s="28" t="str">
        <f>IFERROR(IF(DATA[[#This Row],[Other staff 2: Numbers employed (Full Time Equivalent)]]=0,"",DATA[[#This Row],[Other staff 2: Current 2021/22 Maximum hourly pay rate ADJUSTED 2]]*DATA[[#This Row],[Other staff 2: Numbers employed (Full Time Equivalent)]]),"")</f>
        <v/>
      </c>
      <c r="QV43" s="28" t="str">
        <f>IFERROR(IF(DATA[[#This Row],[Other staff 2: Numbers employed (Full Time Equivalent)]]=0,"",DATA[[#This Row],[Other staff 2: Previous 2020/21 Minimum hourly pay rate ADJUSTED 2]]*DATA[[#This Row],[Other staff 2: Numbers employed (Full Time Equivalent)]]),"")</f>
        <v/>
      </c>
      <c r="QW43" s="28" t="str">
        <f>IFERROR(IF(DATA[[#This Row],[Other staff 2: Numbers employed (Full Time Equivalent)]]=0,"",DATA[[#This Row],[Other staff 2: Previous 2020/21 Maximum hourly pay rate ADJUSTED 2]]*DATA[[#This Row],[Other staff 2: Numbers employed (Full Time Equivalent)]]),"")</f>
        <v/>
      </c>
      <c r="QX43" s="28" t="str">
        <f>IFERROR(IF(DATA[[#This Row],[Other staff 3: Numbers employed (Full Time Equivalent)]]=0,"",DATA[[#This Row],[Other staff 3: Current 2021/22 Minimum hourly pay rate ADJUSTED 2]]*DATA[[#This Row],[Other staff 3: Numbers employed (Full Time Equivalent)]]),"")</f>
        <v/>
      </c>
      <c r="QY43" s="28" t="str">
        <f>IFERROR(IF(DATA[[#This Row],[Other staff 3: Numbers employed (Full Time Equivalent)]]=0,"",DATA[[#This Row],[Other staff 3: Current 2021/22 Maximum hourly pay rate ADJUSTED 2]]*DATA[[#This Row],[Other staff 3: Numbers employed (Full Time Equivalent)]]),"")</f>
        <v/>
      </c>
      <c r="QZ43" s="28" t="str">
        <f>IFERROR(IF(DATA[[#This Row],[Other staff 3: Numbers employed (Full Time Equivalent)]]=0,"",DATA[[#This Row],[Other staff 3: Previous 2020/21 Minimum hourly pay rate ADJUSTED 2]]*DATA[[#This Row],[Other staff 3: Numbers employed (Full Time Equivalent)]]),"")</f>
        <v/>
      </c>
      <c r="RA43" s="28" t="str">
        <f>IFERROR(IF(DATA[[#This Row],[Other staff 3: Numbers employed (Full Time Equivalent)]]=0,"",DATA[[#This Row],[Other staff 3: Previous 2020/21 Maximum hourly pay rate ADJUSTED 2]]*DATA[[#This Row],[Other staff 3: Numbers employed (Full Time Equivalent)]]),"")</f>
        <v/>
      </c>
      <c r="RB43"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43"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43"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43"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3"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3"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26</v>
      </c>
      <c r="RH43"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4</v>
      </c>
      <c r="RI43"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3</v>
      </c>
      <c r="RJ43"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3"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0.8</v>
      </c>
      <c r="RL43"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43"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3"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43"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43"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4" spans="7:484" x14ac:dyDescent="0.25">
      <c r="G44" s="2">
        <v>38</v>
      </c>
      <c r="H44" s="2">
        <v>8</v>
      </c>
      <c r="I44" s="2">
        <v>0</v>
      </c>
      <c r="J44" s="2">
        <v>0.98</v>
      </c>
      <c r="K44" s="2">
        <v>0</v>
      </c>
      <c r="L44" s="2" t="s">
        <v>328</v>
      </c>
      <c r="M44" s="2" t="s">
        <v>328</v>
      </c>
      <c r="R44" s="2">
        <v>15</v>
      </c>
      <c r="S44" s="2">
        <v>15</v>
      </c>
      <c r="T44" s="2">
        <v>13</v>
      </c>
      <c r="U44" s="2">
        <v>13</v>
      </c>
      <c r="V44" s="2">
        <v>37</v>
      </c>
      <c r="W44" s="2">
        <v>0</v>
      </c>
      <c r="X44" s="2">
        <v>0</v>
      </c>
      <c r="Y44" s="2">
        <v>0</v>
      </c>
      <c r="Z44" s="2">
        <v>0</v>
      </c>
      <c r="AA44" s="2">
        <v>0</v>
      </c>
      <c r="AB44" s="2" t="s">
        <v>315</v>
      </c>
      <c r="AC44" s="2">
        <v>0</v>
      </c>
      <c r="AD44" s="2">
        <v>0</v>
      </c>
      <c r="AE44" s="2">
        <v>0</v>
      </c>
      <c r="AF44" s="2">
        <v>0</v>
      </c>
      <c r="AG44" s="2">
        <v>0</v>
      </c>
      <c r="AH44" s="2" t="s">
        <v>315</v>
      </c>
      <c r="AI44" s="2">
        <v>0</v>
      </c>
      <c r="AJ44" s="2">
        <v>0</v>
      </c>
      <c r="AK44" s="2">
        <v>0</v>
      </c>
      <c r="AL44" s="2">
        <v>0</v>
      </c>
      <c r="AM44" s="2">
        <v>0</v>
      </c>
      <c r="AN44" s="2" t="s">
        <v>315</v>
      </c>
      <c r="AO44" s="2">
        <v>0</v>
      </c>
      <c r="AP44" s="2">
        <v>0</v>
      </c>
      <c r="AQ44" s="2">
        <v>0</v>
      </c>
      <c r="AR44" s="2">
        <v>0</v>
      </c>
      <c r="AS44" s="2">
        <v>0</v>
      </c>
      <c r="AT44" s="2" t="s">
        <v>492</v>
      </c>
      <c r="AU44" s="2">
        <v>10</v>
      </c>
      <c r="AV44" s="2">
        <v>10</v>
      </c>
      <c r="AW44" s="2">
        <v>9.5</v>
      </c>
      <c r="AX44" s="2">
        <v>9.5</v>
      </c>
      <c r="AY44" s="2">
        <v>40</v>
      </c>
      <c r="AZ44" s="2" t="s">
        <v>493</v>
      </c>
      <c r="BA44" s="2">
        <v>8.91</v>
      </c>
      <c r="BB44" s="2">
        <v>8.91</v>
      </c>
      <c r="BC44" s="2">
        <v>8.76</v>
      </c>
      <c r="BD44" s="2">
        <v>8.76</v>
      </c>
      <c r="BE44" s="2">
        <v>40</v>
      </c>
      <c r="BF44" s="2" t="s">
        <v>316</v>
      </c>
      <c r="BG44" s="2">
        <v>0</v>
      </c>
      <c r="BH44" s="2">
        <v>0</v>
      </c>
      <c r="BI44" s="2">
        <v>0</v>
      </c>
      <c r="BJ44" s="2">
        <v>0</v>
      </c>
      <c r="BK44" s="2">
        <v>0</v>
      </c>
      <c r="BL44" s="2" t="s">
        <v>316</v>
      </c>
      <c r="BM44" s="2">
        <v>0</v>
      </c>
      <c r="BN44" s="2">
        <v>0</v>
      </c>
      <c r="BO44" s="2">
        <v>0</v>
      </c>
      <c r="BP44" s="2">
        <v>0</v>
      </c>
      <c r="BQ44" s="2">
        <v>0</v>
      </c>
      <c r="BR44" s="2" t="s">
        <v>317</v>
      </c>
      <c r="BS44" s="2">
        <v>8.91</v>
      </c>
      <c r="BT44" s="2">
        <v>8.91</v>
      </c>
      <c r="BU44" s="2">
        <v>8.76</v>
      </c>
      <c r="BV44" s="2">
        <v>8.76</v>
      </c>
      <c r="BW44" s="2">
        <v>37</v>
      </c>
      <c r="BX44" s="2" t="s">
        <v>317</v>
      </c>
      <c r="BY44" s="2">
        <v>0</v>
      </c>
      <c r="BZ44" s="2">
        <v>0</v>
      </c>
      <c r="CA44" s="2">
        <v>0</v>
      </c>
      <c r="CB44" s="2">
        <v>0</v>
      </c>
      <c r="CC44" s="2">
        <v>0</v>
      </c>
      <c r="CD44" s="2" t="s">
        <v>317</v>
      </c>
      <c r="CE44" s="2">
        <v>0</v>
      </c>
      <c r="CF44" s="2">
        <v>0</v>
      </c>
      <c r="CG44" s="2">
        <v>0</v>
      </c>
      <c r="CH44" s="2">
        <v>0</v>
      </c>
      <c r="CI44" s="2">
        <v>0</v>
      </c>
      <c r="CJ44" s="2" t="s">
        <v>494</v>
      </c>
      <c r="CK44" s="2">
        <v>8.91</v>
      </c>
      <c r="CL44" s="2">
        <v>8.91</v>
      </c>
      <c r="CM44" s="2">
        <v>8.76</v>
      </c>
      <c r="CN44" s="2">
        <v>8.76</v>
      </c>
      <c r="CO44" s="2">
        <v>10</v>
      </c>
      <c r="CP44" s="2" t="s">
        <v>495</v>
      </c>
      <c r="CQ44" s="2">
        <v>8.91</v>
      </c>
      <c r="CR44" s="2">
        <v>8.91</v>
      </c>
      <c r="CS44" s="2">
        <v>8.76</v>
      </c>
      <c r="CT44" s="2">
        <v>8.76</v>
      </c>
      <c r="CU44" s="2">
        <v>10</v>
      </c>
      <c r="CV44" s="2" t="s">
        <v>318</v>
      </c>
      <c r="CW44" s="2">
        <v>0</v>
      </c>
      <c r="CX44" s="2">
        <v>0</v>
      </c>
      <c r="CY44" s="2">
        <v>0</v>
      </c>
      <c r="CZ44" s="2">
        <v>0</v>
      </c>
      <c r="DA44" s="2">
        <v>0</v>
      </c>
      <c r="DB44" s="2">
        <v>0.19</v>
      </c>
      <c r="DC44" s="2">
        <v>300</v>
      </c>
      <c r="DD44" s="2">
        <v>0</v>
      </c>
      <c r="DE44" s="2">
        <v>476</v>
      </c>
      <c r="DF44" s="2">
        <v>0</v>
      </c>
      <c r="DG44" s="2">
        <v>0</v>
      </c>
      <c r="DH44" s="2">
        <v>0</v>
      </c>
      <c r="DI44" s="2">
        <v>0</v>
      </c>
      <c r="DJ44" s="2">
        <v>0</v>
      </c>
      <c r="DK44" s="2">
        <v>0</v>
      </c>
      <c r="DL44" s="2">
        <v>0</v>
      </c>
      <c r="DM44" s="2">
        <v>0</v>
      </c>
      <c r="DN44" s="2">
        <v>0</v>
      </c>
      <c r="DO44" s="2">
        <v>15.58</v>
      </c>
      <c r="DP44" s="2">
        <v>0</v>
      </c>
      <c r="DQ44" s="2">
        <v>14</v>
      </c>
      <c r="DR44" s="18">
        <v>43739</v>
      </c>
      <c r="DS44" s="18">
        <v>44104</v>
      </c>
      <c r="DT44" s="2">
        <v>9312</v>
      </c>
      <c r="DU44" s="2">
        <v>18036</v>
      </c>
      <c r="DV44" s="2">
        <v>85182.2</v>
      </c>
      <c r="DW44" s="2">
        <v>8618.25</v>
      </c>
      <c r="DX44" s="2">
        <v>0</v>
      </c>
      <c r="DY44" s="2">
        <v>0</v>
      </c>
      <c r="DZ44" s="2">
        <v>22043</v>
      </c>
      <c r="EA44" s="2">
        <v>4259.13</v>
      </c>
      <c r="EB44" s="2">
        <v>70000</v>
      </c>
      <c r="EC44" s="2">
        <v>8000</v>
      </c>
      <c r="ED44" s="2">
        <v>8000</v>
      </c>
      <c r="EE44" s="2">
        <v>5000</v>
      </c>
      <c r="EF44" s="2">
        <v>4000</v>
      </c>
      <c r="EG44" s="2">
        <v>5000</v>
      </c>
      <c r="EH44" s="2" t="s">
        <v>324</v>
      </c>
      <c r="EI44" s="2">
        <v>0</v>
      </c>
      <c r="EJ44" s="2" t="s">
        <v>324</v>
      </c>
      <c r="EK44" s="2">
        <v>0</v>
      </c>
      <c r="EL44" s="2">
        <v>12936</v>
      </c>
      <c r="EM44" s="2">
        <v>1600</v>
      </c>
      <c r="EN44" s="2">
        <v>2000</v>
      </c>
      <c r="EO44" s="2">
        <v>20280</v>
      </c>
      <c r="EP44" s="2">
        <v>1470</v>
      </c>
      <c r="EQ44" s="2">
        <v>1000</v>
      </c>
      <c r="ER44" s="2">
        <v>19510</v>
      </c>
      <c r="ES44" s="2">
        <v>8500</v>
      </c>
      <c r="ET44" s="2" t="s">
        <v>324</v>
      </c>
      <c r="EU44" s="2">
        <v>0</v>
      </c>
      <c r="EV44" s="2" t="s">
        <v>324</v>
      </c>
      <c r="EW44" s="2">
        <v>0</v>
      </c>
      <c r="EX44" s="2">
        <v>0</v>
      </c>
      <c r="EY44" s="2">
        <v>50000</v>
      </c>
      <c r="EZ44" s="2" t="s">
        <v>326</v>
      </c>
      <c r="FA44" s="2">
        <v>0</v>
      </c>
      <c r="FB44" s="2" t="s">
        <v>326</v>
      </c>
      <c r="FC44" s="2">
        <v>0</v>
      </c>
      <c r="FD44" s="2">
        <v>30649</v>
      </c>
      <c r="FE44" s="2">
        <v>24374</v>
      </c>
      <c r="FF44" s="2">
        <v>15000</v>
      </c>
      <c r="FG44" s="2"/>
      <c r="FH44" s="19">
        <v>44480.624432870369</v>
      </c>
      <c r="FI44" s="2" t="s">
        <v>345</v>
      </c>
      <c r="FJ44" s="2">
        <f>SUM(DATA[[#This Row],[Number of Home support clients:]],DATA[[#This Row],[Number of supported living clients:]])</f>
        <v>8</v>
      </c>
      <c r="FK44"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44"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v>
      </c>
      <c r="FM44"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v>
      </c>
      <c r="FN44"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13</v>
      </c>
      <c r="FO44"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13</v>
      </c>
      <c r="FP44"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44"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44"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44"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44"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44"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44"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44"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44"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4"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4"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4"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4"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4"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4"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4"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4"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10</v>
      </c>
      <c r="GG44"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v>
      </c>
      <c r="GH44"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9.5</v>
      </c>
      <c r="GI44"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9.5</v>
      </c>
      <c r="GJ44"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8.91</v>
      </c>
      <c r="GK44"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8.91</v>
      </c>
      <c r="GL44"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8.76</v>
      </c>
      <c r="GM44"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8.76</v>
      </c>
      <c r="GN44"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44"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44"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44"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44"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4"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4"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4"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4"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8.91</v>
      </c>
      <c r="GW44"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8.91</v>
      </c>
      <c r="GX44"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8.76</v>
      </c>
      <c r="GY44"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8.76</v>
      </c>
      <c r="GZ44"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44"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44"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44"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44"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4"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4"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4"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4"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8.91</v>
      </c>
      <c r="HI44"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8.91</v>
      </c>
      <c r="HJ44"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8.76</v>
      </c>
      <c r="HK44"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8.76</v>
      </c>
      <c r="HL44"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8.91</v>
      </c>
      <c r="HM44"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8.91</v>
      </c>
      <c r="HN44" s="2">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8.76</v>
      </c>
      <c r="HO44" s="2">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8.76</v>
      </c>
      <c r="HP44"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4"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4"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4"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4"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v>
      </c>
      <c r="HU44"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v>
      </c>
      <c r="HV44"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13</v>
      </c>
      <c r="HW44"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13</v>
      </c>
      <c r="HX44"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44"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44"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44"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44"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44"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44"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44"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44"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4"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4"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4"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4"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4"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4"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4"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4"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10</v>
      </c>
      <c r="IO44"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v>
      </c>
      <c r="IP44"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9.5</v>
      </c>
      <c r="IQ44"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9.5</v>
      </c>
      <c r="IR44"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8.91</v>
      </c>
      <c r="IS44"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8.91</v>
      </c>
      <c r="IT44"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8.76</v>
      </c>
      <c r="IU44"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8.76</v>
      </c>
      <c r="IV44"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44"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44"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44"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44"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4"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4"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4"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4"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8.91</v>
      </c>
      <c r="JE44"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8.91</v>
      </c>
      <c r="JF44"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8.76</v>
      </c>
      <c r="JG44"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8.76</v>
      </c>
      <c r="JH44"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44"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44"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44"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44"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4"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4"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4"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4"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8.91</v>
      </c>
      <c r="JQ44"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8.91</v>
      </c>
      <c r="JR44"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8.76</v>
      </c>
      <c r="JS44"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8.76</v>
      </c>
      <c r="JT44"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8.91</v>
      </c>
      <c r="JU44"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8.91</v>
      </c>
      <c r="JV44"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8.76</v>
      </c>
      <c r="JW44"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8.76</v>
      </c>
      <c r="JX44"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4"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4"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4"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4"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37</v>
      </c>
      <c r="KC44" s="21">
        <f>SUM(DATA[[#This Row],[Care Assistant 1: Numbers employed (Full Time Equivalent)]],DATA[[#This Row],[Care Assistant 2: Numbers employed (Full Time Equivalent)]],DATA[[#This Row],[Care Assistant 3: Numbers employed (Full Time Equivalent)]],DATA[[#This Row],[Care Assistant 4: Numbers employed (Full Time Equivalent)]])</f>
        <v>80</v>
      </c>
      <c r="KD44" s="21">
        <f>SUM(DATA[[#This Row],[Administrative Officer 1: Numbers employed (Full Time Equivalent)]],DATA[[#This Row],[Administrative Officer 2: Numbers employed (Full Time Equivalent)]])</f>
        <v>37</v>
      </c>
      <c r="KE44" s="21">
        <f>SUM(DATA[[#This Row],[Other staff 1: Numbers employed (Full Time Equivalent)]],DATA[[#This Row],[Other staff 2: Numbers employed (Full Time Equivalent)]],DATA[[#This Row],[Other staff 3: Numbers employed (Full Time Equivalent)]])</f>
        <v>20</v>
      </c>
      <c r="KF44" s="21">
        <f>SUM(DATA[[#This Row],[Total FTE Management Employees]:[Total FTE Other Employees]])</f>
        <v>174</v>
      </c>
      <c r="KG44" s="21" t="str">
        <f>IF(SUM(DATA[[#This Row],[Home Support service split percentage (Expenditure):]],DATA[[#This Row],[Supported Living service split percentage (Expenditure):]])&gt;0, IF(DATA[[#This Row],[Home Support service split percentage (Expenditure):]]&gt;0.5,"Home Support","Supported Living"), "Unknown")</f>
        <v>Home Support</v>
      </c>
      <c r="KH44" s="21">
        <f>SUM(DATA[[#This Row],[Home Support: Birmingham City Council]:[Home Support: Self-funded]])</f>
        <v>776</v>
      </c>
      <c r="KI44" s="21">
        <f>SUM(DATA[[#This Row],[Supported Living: Birmingham City Council]:[Supported Living: Self-funded]])</f>
        <v>0</v>
      </c>
      <c r="KJ44"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4"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4"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4"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4" s="21" t="b">
        <f>SUM(DATA[[#This Row],[Number of hours of care charged for in last full accounting year]:[Corporate Overheads: Other  - please specify (category) 1]])&gt;0</f>
        <v>1</v>
      </c>
      <c r="KO44" s="21">
        <f>SUM(DATA[[#This Row],[Total annual expenditure: Management staff]:[Total annual expenditure: Training and development]])</f>
        <v>208138.58000000002</v>
      </c>
      <c r="KP44" s="21">
        <f>SUM(DATA[[#This Row],[Recruitment &amp; advertising (including DBS checks)]:[Non-Staffing Direct Cost: Other  - please specify (amount) 2]])</f>
        <v>30000</v>
      </c>
      <c r="KQ44" s="21">
        <f>SUM(DATA[[#This Row],[Insurance ]:[Indirect costs: Other 2 - please specify (amount)]])</f>
        <v>67296</v>
      </c>
      <c r="KR44" s="21">
        <f>SUM(DATA[[#This Row],[Central / Regional Management]],DATA[[#This Row],[Support Services (finance / HR / Payroll / legal etc.)]],DATA[[#This Row],[Corporate Overheads: Other  - please specify (amount) 1]],DATA[[#This Row],[Corporate Overheads: Other  - please specify (amount) 2]])</f>
        <v>50000</v>
      </c>
      <c r="KS44"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1.9368556701030928</v>
      </c>
      <c r="KT44"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9.1475730240549833</v>
      </c>
      <c r="KU44"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0.92549935567010311</v>
      </c>
      <c r="KV44"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44"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44" s="30">
        <f>IF(OR(NOT(DATA[[#This Row],[Total annual expenditure: Travel Cost]]&gt;0),NOT(DATA[[#This Row],[Number of hours of care charged for in last full accounting year]]&gt;0)),0,DATA[[#This Row],[Total annual expenditure: Travel Cost]]/DATA[[#This Row],[Number of hours of care charged for in last full accounting year]])</f>
        <v>2.3671606529209623</v>
      </c>
      <c r="KY44" s="30">
        <f>IF(OR(NOT(DATA[[#This Row],[Total annual expenditure: Travel Time]]&gt;0),NOT(DATA[[#This Row],[Number of hours of care charged for in last full accounting year]]&gt;0)),0,DATA[[#This Row],[Total annual expenditure: Travel Time]]/DATA[[#This Row],[Number of hours of care charged for in last full accounting year]])</f>
        <v>0.45738079896907219</v>
      </c>
      <c r="KZ44"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7.5171821305841924</v>
      </c>
      <c r="LA44"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0.85910652920962194</v>
      </c>
      <c r="LB44"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0.85910652920962194</v>
      </c>
      <c r="LC44" s="30">
        <f>IF(OR(NOT(DATA[[#This Row],[Care consumables &amp; uniforms]]&gt;0),NOT(DATA[[#This Row],[Number of hours of care charged for in last full accounting year]]&gt;0)),0,DATA[[#This Row],[Care consumables &amp; uniforms]]/DATA[[#This Row],[Number of hours of care charged for in last full accounting year]])</f>
        <v>0.53694158075601373</v>
      </c>
      <c r="LD44" s="30">
        <f>IF(OR(NOT(DATA[[#This Row],[Electronic call monitoring]]&gt;0),NOT(DATA[[#This Row],[Number of hours of care charged for in last full accounting year]]&gt;0)),0,DATA[[#This Row],[Electronic call monitoring]]/DATA[[#This Row],[Number of hours of care charged for in last full accounting year]])</f>
        <v>0.42955326460481097</v>
      </c>
      <c r="LE44" s="30">
        <f>IF(OR(NOT(DATA[[#This Row],[IT Equipment &amp; Telephoney]]&gt;0),NOT(DATA[[#This Row],[Number of hours of care charged for in last full accounting year]]&gt;0)),0,DATA[[#This Row],[IT Equipment &amp; Telephoney]]/DATA[[#This Row],[Number of hours of care charged for in last full accounting year]])</f>
        <v>0.53694158075601373</v>
      </c>
      <c r="LF44"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44"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44" s="30">
        <f>IF(OR(NOT(DATA[[#This Row],[Insurance ]]&gt;0),NOT(DATA[[#This Row],[Number of hours of care charged for in last full accounting year]]&gt;0)),0,DATA[[#This Row],[Insurance ]]/DATA[[#This Row],[Number of hours of care charged for in last full accounting year]])</f>
        <v>1.3891752577319587</v>
      </c>
      <c r="LI44"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0.1718213058419244</v>
      </c>
      <c r="LJ44" s="30">
        <f>IF(OR(NOT(DATA[[#This Row],[Repairs and maintenance]]&gt;0),NOT(DATA[[#This Row],[Number of hours of care charged for in last full accounting year]]&gt;0)),0,DATA[[#This Row],[Repairs and maintenance]]/DATA[[#This Row],[Number of hours of care charged for in last full accounting year]])</f>
        <v>0.21477663230240548</v>
      </c>
      <c r="LK44"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2.1778350515463916</v>
      </c>
      <c r="LL44" s="30">
        <f>IF(OR(NOT(DATA[[#This Row],[Registration &amp; Inspection fees ]]&gt;0),NOT(DATA[[#This Row],[Number of hours of care charged for in last full accounting year]]&gt;0)),0,DATA[[#This Row],[Registration &amp; Inspection fees ]]/DATA[[#This Row],[Number of hours of care charged for in last full accounting year]])</f>
        <v>0.15786082474226804</v>
      </c>
      <c r="LM44" s="30">
        <f>IF(OR(NOT(DATA[[#This Row],[Subscriptions]]&gt;0),NOT(DATA[[#This Row],[Number of hours of care charged for in last full accounting year]]&gt;0)),0,DATA[[#This Row],[Subscriptions]]/DATA[[#This Row],[Number of hours of care charged for in last full accounting year]])</f>
        <v>0.10738831615120274</v>
      </c>
      <c r="LN44" s="30">
        <f>IF(OR(NOT(DATA[[#This Row],[Cost of finance]]&gt;0),NOT(DATA[[#This Row],[Number of hours of care charged for in last full accounting year]]&gt;0)),0,DATA[[#This Row],[Cost of finance]]/DATA[[#This Row],[Number of hours of care charged for in last full accounting year]])</f>
        <v>2.0951460481099655</v>
      </c>
      <c r="LO44" s="30">
        <f>IF(OR(NOT(DATA[[#This Row],[Other non-staff current expenses]]&gt;0),NOT(DATA[[#This Row],[Number of hours of care charged for in last full accounting year]]&gt;0)),0,DATA[[#This Row],[Other non-staff current expenses]]/DATA[[#This Row],[Number of hours of care charged for in last full accounting year]])</f>
        <v>0.91280068728522334</v>
      </c>
      <c r="LP44"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44"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4" s="30">
        <f>IF(OR(NOT(DATA[[#This Row],[Central / Regional Management]]&gt;0),NOT(DATA[[#This Row],[Number of hours of care charged for in last full accounting year]]&gt;0)),0,DATA[[#This Row],[Central / Regional Management]]/DATA[[#This Row],[Number of hours of care charged for in last full accounting year]])</f>
        <v>0</v>
      </c>
      <c r="LS44"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5.369415807560137</v>
      </c>
      <c r="LT44"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44"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4" s="30">
        <f>SUM(DATA[[#This Row],[Management staff HOURLY RATE]:[Corporate Overheads: Other  - please specify (amount) 2 HOURLY RATE]])</f>
        <v>38.169521048109971</v>
      </c>
      <c r="LW44" s="30">
        <f>IF(OR(NOT(DATA[[#This Row],[Net Operating Profit]]&gt;0),NOT(DATA[[#This Row],[Number of hours of care charged for in last full accounting year]]&gt;0)),"",DATA[[#This Row],[Net Operating Profit]]/DATA[[#This Row],[Number of hours of care charged for in last full accounting year]])</f>
        <v>3.2913445017182132</v>
      </c>
      <c r="LX44" s="30">
        <f>IF(OR(NOT(DATA[[#This Row],[Return on Capital employed]]&gt;0),NOT(DATA[[#This Row],[Number of hours of care charged for in last full accounting year]]&gt;0)),0,DATA[[#This Row],[Return on Capital employed]]/DATA[[#This Row],[Number of hours of care charged for in last full accounting year]])</f>
        <v>2.6174828178694156</v>
      </c>
      <c r="LY44" s="31">
        <v>38</v>
      </c>
      <c r="LZ44" s="30" t="s">
        <v>345</v>
      </c>
      <c r="MA44" s="30" t="b">
        <f>DATA[[#This Row],[Number of Home support clients:]]&gt;0</f>
        <v>1</v>
      </c>
      <c r="MB44" s="30" t="b">
        <f>DATA[[#This Row],[Number of supported living clients:]]&gt;0</f>
        <v>0</v>
      </c>
      <c r="MC44" s="30" t="b">
        <f>DATA[[#This Row],[Total Home Support Hours]]&gt;0</f>
        <v>1</v>
      </c>
      <c r="MD44" s="30" t="b">
        <f>DATA[[#This Row],[Total Supported Living Hours]]&gt;0</f>
        <v>0</v>
      </c>
      <c r="ME44" s="30" t="b">
        <f>DATA[[#This Row],[Home Support service split percentage (Expenditure):]]&gt;0.5</f>
        <v>1</v>
      </c>
      <c r="MF44" s="30" t="b">
        <f>DATA[[#This Row],[Agency staff HOURLY RATE]]=0</f>
        <v>1</v>
      </c>
      <c r="MG44" s="30">
        <f>IFERROR(IF(AVERAGE(DATA[[#This Row],[Registered manager: Current 2021/22 Minimum hourly pay rate ADJUSTED]],DATA[[#This Row],[Registered manager: Current 2021/22 Maximum hourly pay rate ADJUSTED]])&lt;LIVING_WAGE_22_23,DATA[[#This Row],[Registered manager: Numbers employed (Full Time Equivalent)]],0),"")</f>
        <v>0</v>
      </c>
      <c r="MH44" s="30" t="str">
        <f>IFERROR(IF(AVERAGE(DATA[[#This Row],[Deputy manager: Current 2021/22 Minimum hourly pay rate ADJUSTED]],DATA[[#This Row],[Deputy manager: Current 2021/22 Maximum hourly pay rate ADJUSTED]])&lt;LIVING_WAGE_22_23,DATA[[#This Row],[Deputy manager: Numbers employed (Full Time Equivalent)]],0),"")</f>
        <v/>
      </c>
      <c r="MI44" s="30" t="str">
        <f>IFERROR(IF(AVERAGE(DATA[[#This Row],[Other manager 1: Current 2021/22 Minimum hourly pay rate ADJUSTED]],DATA[[#This Row],[Other manager 1: Current 2021/22 Maximum hourly pay rate ADJUSTED]])&lt;LIVING_WAGE_22_23,DATA[[#This Row],[Other manager 1: Numbers employed (Full Time Equivalent)]],0),"")</f>
        <v/>
      </c>
      <c r="MJ44" s="30" t="str">
        <f>IFERROR(IF(AVERAGE(DATA[[#This Row],[Other manager 2: Current 2021/22 Minimum hourly pay rate ADJUSTED]],DATA[[#This Row],[Other manager 2: Current 2021/22 Maximum hourly pay rate ADJUSTED]])&lt;LIVING_WAGE_22_23,DATA[[#This Row],[Other manager 2: Numbers employed (Full Time Equivalent)]],0),"")</f>
        <v/>
      </c>
      <c r="MK44" s="30" t="str">
        <f>IFERROR(IF(AVERAGE(DATA[[#This Row],[Other manager 3: Current 2021/22 Minimum hourly pay rate ADJUSTED]],DATA[[#This Row],[Other manager 3: Current 2021/22 Maximum hourly pay rate ADJUSTED]])&lt;LIVING_WAGE_22_23,DATA[[#This Row],[Other manager 3: Numbers employed (Full Time Equivalent)]],0),"")</f>
        <v/>
      </c>
      <c r="ML44" s="30">
        <f>IFERROR(IF(AVERAGE(DATA[[#This Row],[Care Assistant 1: Current 2021/22 Minimum hourly pay rate ADJUSTED]],DATA[[#This Row],[Care Assistant 1: Current 2021/22 Maximum hourly pay rate ADJUSTED]])&lt;LIVING_WAGE_22_23,DATA[[#This Row],[Care Assistant 1: Numbers employed (Full Time Equivalent)]],0),"")</f>
        <v>0</v>
      </c>
      <c r="MM44" s="30">
        <f>IFERROR(IF(AVERAGE(DATA[[#This Row],[Care Assistant 2: Current 2021/22 Minimum hourly pay rate ADJUSTED]],DATA[[#This Row],[Care Assistant 2: Current 2021/22 Maximum hourly pay rate ADJUSTED]])&lt;LIVING_WAGE_22_23,DATA[[#This Row],[Care Assistant 2: Numbers employed (Full Time Equivalent)]],0),"")</f>
        <v>40</v>
      </c>
      <c r="MN44" s="30" t="str">
        <f>IFERROR(IF(AVERAGE(DATA[[#This Row],[Care Assistant 3: Current 2021/22 Minimum hourly pay rate ADJUSTED]],DATA[[#This Row],[Care Assistant 3: Current 2021/22 Maximum hourly pay rate ADJUSTED]])&lt;LIVING_WAGE_22_23,DATA[[#This Row],[Care Assistant 3: Numbers employed (Full Time Equivalent)]],0),"")</f>
        <v/>
      </c>
      <c r="MO44" s="30" t="str">
        <f>IFERROR(IF(AVERAGE(DATA[[#This Row],[Care Assistant 4: Current 2021/22 Minimum hourly pay rate ADJUSTED]],DATA[[#This Row],[Care Assistant 4: Current 2021/22 Maximum hourly pay rate ADJUSTED]])&lt;LIVING_WAGE_22_23,DATA[[#This Row],[Care Assistant 4: Numbers employed (Full Time Equivalent)]],0),"")</f>
        <v/>
      </c>
      <c r="MP44"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37</v>
      </c>
      <c r="MQ44"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44" s="30">
        <f>IFERROR(IF(AVERAGE(DATA[[#This Row],[Other staff 1: Current 2021/22 Minimum hourly pay rate ADJUSTED]],DATA[[#This Row],[Other staff 1: Current 2021/22 Maximum hourly pay rate ADJUSTED]])&lt;LIVING_WAGE_22_23,DATA[[#This Row],[Other staff 1: Numbers employed (Full Time Equivalent)]],0),"")</f>
        <v>10</v>
      </c>
      <c r="MS44" s="30">
        <f>IFERROR(IF(AVERAGE(DATA[[#This Row],[Other staff 2: Current 2021/22 Minimum hourly pay rate ADJUSTED]],DATA[[#This Row],[Other staff 2: Current 2021/22 Maximum hourly pay rate ADJUSTED]])&lt;LIVING_WAGE_22_23,DATA[[#This Row],[Other staff 2: Numbers employed (Full Time Equivalent)]],0),"")</f>
        <v>10</v>
      </c>
      <c r="MT44" s="30" t="str">
        <f>IFERROR(IF(AVERAGE(DATA[[#This Row],[Other staff 3: Current 2021/22 Minimum hourly pay rate ADJUSTED]],DATA[[#This Row],[Other staff 3: Current 2021/22 Maximum hourly pay rate ADJUSTED]])&lt;LIVING_WAGE_22_23,DATA[[#This Row],[Other staff 3: Numbers employed (Full Time Equivalent)]],0),"")</f>
        <v/>
      </c>
      <c r="MU44" s="30">
        <f>SUM(DATA[[#This Row],[Registered Manager FTE earning less than NLW 23yrs 2022/23]:[Other staff 3 FTE earning less than NLW 23yrs 2022/23]])</f>
        <v>97</v>
      </c>
      <c r="MV44"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44"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44"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44"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4"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4"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44"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23.599999999999994</v>
      </c>
      <c r="NC44"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44"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4"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21.829999999999995</v>
      </c>
      <c r="NF44"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44"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5.8999999999999986</v>
      </c>
      <c r="NH44"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5.8999999999999986</v>
      </c>
      <c r="NI44"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4" s="30" t="b">
        <v>1</v>
      </c>
      <c r="NK44" s="30" t="b">
        <v>1</v>
      </c>
      <c r="NL44" s="30" t="s">
        <v>505</v>
      </c>
      <c r="NM44" s="30">
        <f>SUM(DATA[[#This Row],[Management staff HOURLY RATE]:[Training and development HOURLY RATE]])</f>
        <v>22.351651632302406</v>
      </c>
      <c r="NN44" s="30">
        <f>SUM(DATA[[#This Row],[Recruitment &amp; advertising (including DBS checks) HOURLY RATE]:[Non-Staffing Direct Cost: Other  - please specify (amount) 2 HOURLY RATE]])</f>
        <v>3.2216494845360821</v>
      </c>
      <c r="NO44" s="30">
        <f>SUM(DATA[[#This Row],[Insurance  HOURLY RATE]:[Indirect costs: Other  - please specify (amount) 2 HOURLY RATE]])</f>
        <v>7.2268041237113394</v>
      </c>
      <c r="NP44" s="30">
        <f>SUM(DATA[[#This Row],[Central / Regional Management HOURLY RATE]:[Corporate Overheads: Other  - please specify (amount) 2 HOURLY RATE]])</f>
        <v>5.369415807560137</v>
      </c>
      <c r="NQ44"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44" s="30" t="str">
        <f>IFERROR(IF(AVERAGE(DATA[[#This Row],[Deputy manager: Current 2021/22 Minimum hourly pay rate ADJUSTED]],DATA[[#This Row],[Deputy manager: Current 2021/22 Maximum hourly pay rate ADJUSTED]])&lt;REAL_LIVING_WAGE_22_23,DATA[[#This Row],[Deputy manager: Numbers employed (Full Time Equivalent)]],0),"")</f>
        <v/>
      </c>
      <c r="NS44" s="30" t="str">
        <f>IFERROR(IF(AVERAGE(DATA[[#This Row],[Other manager 1: Current 2021/22 Minimum hourly pay rate ADJUSTED]],DATA[[#This Row],[Other manager 1: Current 2021/22 Maximum hourly pay rate ADJUSTED]])&lt;REAL_LIVING_WAGE_22_23,DATA[[#This Row],[Other manager 1: Numbers employed (Full Time Equivalent)]],0),"")</f>
        <v/>
      </c>
      <c r="NT44" s="30" t="str">
        <f>IFERROR(IF(AVERAGE(DATA[[#This Row],[Other manager 2: Current 2021/22 Minimum hourly pay rate ADJUSTED]],DATA[[#This Row],[Other manager 2: Current 2021/22 Maximum hourly pay rate ADJUSTED]])&lt;REAL_LIVING_WAGE_22_23,DATA[[#This Row],[Other manager 2: Numbers employed (Full Time Equivalent)]],0),"")</f>
        <v/>
      </c>
      <c r="NU44" s="30" t="str">
        <f>IFERROR(IF(AVERAGE(DATA[[#This Row],[Other manager 3: Current 2021/22 Minimum hourly pay rate ADJUSTED]],DATA[[#This Row],[Other manager 3: Current 2021/22 Maximum hourly pay rate ADJUSTED]])&lt;REAL_LIVING_WAGE_22_23,DATA[[#This Row],[Other manager 3: Numbers employed (Full Time Equivalent)]],0),"")</f>
        <v/>
      </c>
      <c r="NV44" s="30">
        <f>IFERROR(IF(AVERAGE(DATA[[#This Row],[Care Assistant 1: Current 2021/22 Minimum hourly pay rate ADJUSTED]],DATA[[#This Row],[Care Assistant 1: Current 2021/22 Maximum hourly pay rate ADJUSTED]])&lt;REAL_LIVING_WAGE_22_23,DATA[[#This Row],[Care Assistant 1: Numbers employed (Full Time Equivalent)]],0),"")</f>
        <v>0</v>
      </c>
      <c r="NW44" s="30">
        <f>IFERROR(IF(AVERAGE(DATA[[#This Row],[Care Assistant 2: Current 2021/22 Minimum hourly pay rate ADJUSTED]],DATA[[#This Row],[Care Assistant 2: Current 2021/22 Maximum hourly pay rate ADJUSTED]])&lt;REAL_LIVING_WAGE_22_23,DATA[[#This Row],[Care Assistant 2: Numbers employed (Full Time Equivalent)]],0),"")</f>
        <v>40</v>
      </c>
      <c r="NX44"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44"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4"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37</v>
      </c>
      <c r="OA44"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44" s="30">
        <f>IFERROR(IF(AVERAGE(DATA[[#This Row],[Other staff 1: Current 2021/22 Minimum hourly pay rate ADJUSTED]],DATA[[#This Row],[Other staff 1: Current 2021/22 Maximum hourly pay rate ADJUSTED]])&lt;REAL_LIVING_WAGE_22_23,DATA[[#This Row],[Other staff 1: Numbers employed (Full Time Equivalent)]],0),"")</f>
        <v>10</v>
      </c>
      <c r="OC44" s="30">
        <f>IFERROR(IF(AVERAGE(DATA[[#This Row],[Other staff 2: Current 2021/22 Minimum hourly pay rate ADJUSTED]],DATA[[#This Row],[Other staff 2: Current 2021/22 Maximum hourly pay rate ADJUSTED]])&lt;REAL_LIVING_WAGE_22_23,DATA[[#This Row],[Other staff 2: Numbers employed (Full Time Equivalent)]],0),"")</f>
        <v>10</v>
      </c>
      <c r="OD44" s="30" t="str">
        <f>IFERROR(IF(AVERAGE(DATA[[#This Row],[Other staff 3: Current 2021/22 Minimum hourly pay rate ADJUSTED]],DATA[[#This Row],[Other staff 3: Current 2021/22 Maximum hourly pay rate ADJUSTED]])&lt;REAL_LIVING_WAGE_22_23,DATA[[#This Row],[Other staff 3: Numbers employed (Full Time Equivalent)]],0),"")</f>
        <v/>
      </c>
      <c r="OE44" s="30">
        <f>SUM(DATA[[#This Row],[Registered Manager FTE earning less than RLW 23yrs 2022/23]:[Other staff 3 FTE earning less than RLW 23yrs 2022/23]])</f>
        <v>97</v>
      </c>
      <c r="OF44"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44"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44"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44"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4"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4"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44"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39.600000000000009</v>
      </c>
      <c r="OM44"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44"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4"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36.63000000000001</v>
      </c>
      <c r="OP44"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44"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9.9000000000000021</v>
      </c>
      <c r="OR44"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9.9000000000000021</v>
      </c>
      <c r="OS44"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4" s="30">
        <f>IFERROR(IF(DATA[[#This Row],[Registered manager: Numbers employed (Full Time Equivalent)]]=0,"",DATA[[#This Row],[Registered manager: Current 2021/22 Minimum hourly pay rate ADJUSTED 2]]*DATA[[#This Row],[Registered manager: Numbers employed (Full Time Equivalent)]]),"")</f>
        <v>555</v>
      </c>
      <c r="OU44" s="30">
        <f>IFERROR(IF(DATA[[#This Row],[Registered manager: Numbers employed (Full Time Equivalent)]]=0,"",DATA[[#This Row],[Registered manager: Current 2021/22 Maximum hourly pay rate ADJUSTED 2]]*DATA[[#This Row],[Registered manager: Numbers employed (Full Time Equivalent)]]),"")</f>
        <v>555</v>
      </c>
      <c r="OV44" s="30">
        <f>IFERROR(IF(DATA[[#This Row],[Registered manager: Numbers employed (Full Time Equivalent)]]=0,"",DATA[[#This Row],[Registered manager: Previous 2020/21 Minimum hourly pay rate ADJUSTED 2]]*DATA[[#This Row],[Registered manager: Numbers employed (Full Time Equivalent)]]),"")</f>
        <v>481</v>
      </c>
      <c r="OW44" s="30">
        <f>IFERROR(IF(DATA[[#This Row],[Registered manager: Numbers employed (Full Time Equivalent)]]=0,"",DATA[[#This Row],[Registered manager: Previous 2020/21 Maximum hourly pay rate ADJUSTED 2]]*DATA[[#This Row],[Registered manager: Numbers employed (Full Time Equivalent)]]),"")</f>
        <v>481</v>
      </c>
      <c r="OX44" s="30" t="str">
        <f>IFERROR(IF(DATA[[#This Row],[Deputy manager: Numbers employed (Full Time Equivalent)]]=0,"",DATA[[#This Row],[Deputy manager: Current 2021/22 Minimum hourly pay rate ADJUSTED 2]]*DATA[[#This Row],[Deputy manager: Numbers employed (Full Time Equivalent)]]),"")</f>
        <v/>
      </c>
      <c r="OY44" s="30" t="str">
        <f>IFERROR(IF(DATA[[#This Row],[Deputy manager: Numbers employed (Full Time Equivalent)]]=0,"",DATA[[#This Row],[Deputy manager: Current 2021/22 Maximum hourly pay rate ADJUSTED 2]]*DATA[[#This Row],[Deputy manager: Numbers employed (Full Time Equivalent)]]),"")</f>
        <v/>
      </c>
      <c r="OZ44" s="30" t="str">
        <f>IFERROR(IF(DATA[[#This Row],[Deputy manager: Numbers employed (Full Time Equivalent)]]=0,"",DATA[[#This Row],[Deputy manager: Previous 2020/21 Minimum hourly pay rate ADJUSTED 2]]*DATA[[#This Row],[Deputy manager: Numbers employed (Full Time Equivalent)]]),"")</f>
        <v/>
      </c>
      <c r="PA44" s="30" t="str">
        <f>IFERROR(IF(DATA[[#This Row],[Deputy manager: Numbers employed (Full Time Equivalent)]]=0,"",DATA[[#This Row],[Deputy manager: Previous 2020/21 Maximum hourly pay rate ADJUSTED 2]]*DATA[[#This Row],[Deputy manager: Numbers employed (Full Time Equivalent)]]),"")</f>
        <v/>
      </c>
      <c r="PB44" s="30" t="str">
        <f>IFERROR(IF(DATA[[#This Row],[Other manager 1: Numbers employed (Full Time Equivalent)]]=0,"",DATA[[#This Row],[Other manager 1: Current 2021/22 Minimum hourly pay rate ADJUSTED 2]]*DATA[[#This Row],[Other manager 1: Numbers employed (Full Time Equivalent)]]),"")</f>
        <v/>
      </c>
      <c r="PC44" s="30" t="str">
        <f>IFERROR(IF(DATA[[#This Row],[Other manager 1: Numbers employed (Full Time Equivalent)]]=0,"",DATA[[#This Row],[Other manager 1: Current 2021/22 Maximum hourly pay rate ADJUSTED 2]]*DATA[[#This Row],[Other manager 1: Numbers employed (Full Time Equivalent)]]),"")</f>
        <v/>
      </c>
      <c r="PD44" s="30" t="str">
        <f>IFERROR(IF(DATA[[#This Row],[Other manager 1: Numbers employed (Full Time Equivalent)]]=0,"",DATA[[#This Row],[Other manager 1: Previous 2020/21 Minimum hourly pay rate ADJUSTED 2]]*DATA[[#This Row],[Other manager 1: Numbers employed (Full Time Equivalent)]]),"")</f>
        <v/>
      </c>
      <c r="PE44" s="30" t="str">
        <f>IFERROR(IF(DATA[[#This Row],[Other manager 1: Numbers employed (Full Time Equivalent)]]=0,"",DATA[[#This Row],[Other manager 1: Previous 2020/21 Maximum hourly pay rate ADJUSTED 2]]*DATA[[#This Row],[Other manager 1: Numbers employed (Full Time Equivalent)]]),"")</f>
        <v/>
      </c>
      <c r="PF44" s="30" t="str">
        <f>IFERROR(IF(DATA[[#This Row],[Other manager 2: Numbers employed (Full Time Equivalent)]]=0,"",DATA[[#This Row],[Other manager 2: Current 2021/22 Minimum hourly pay rate ADJUSTED 2]]*DATA[[#This Row],[Other manager 2: Numbers employed (Full Time Equivalent)]]),"")</f>
        <v/>
      </c>
      <c r="PG44" s="30" t="str">
        <f>IFERROR(IF(DATA[[#This Row],[Other manager 2: Numbers employed (Full Time Equivalent)]]=0,"",DATA[[#This Row],[Other manager 2: Current 2021/22 Maximum hourly pay rate ADJUSTED 2]]*DATA[[#This Row],[Other manager 2: Numbers employed (Full Time Equivalent)]]),"")</f>
        <v/>
      </c>
      <c r="PH44" s="30" t="str">
        <f>IFERROR(IF(DATA[[#This Row],[Other manager 2: Numbers employed (Full Time Equivalent)]]=0,"",DATA[[#This Row],[Other manager 2: Previous 2020/21 Minimum hourly pay rate ADJUSTED 2]]*DATA[[#This Row],[Other manager 2: Numbers employed (Full Time Equivalent)]]),"")</f>
        <v/>
      </c>
      <c r="PI44" s="30" t="str">
        <f>IFERROR(IF(DATA[[#This Row],[Other manager 2: Numbers employed (Full Time Equivalent)]]=0,"",DATA[[#This Row],[Other manager 2: Previous 2020/21 Maximum hourly pay rate ADJUSTED 2]]*DATA[[#This Row],[Other manager 2: Numbers employed (Full Time Equivalent)]]),"")</f>
        <v/>
      </c>
      <c r="PJ44" s="30" t="str">
        <f>IFERROR(IF(DATA[[#This Row],[Other manager 3: Numbers employed (Full Time Equivalent)]]=0,"",DATA[[#This Row],[Other manager 3: Current 2021/22 Minimum hourly pay rate ADJUSTED 2]]*DATA[[#This Row],[Other manager 3: Numbers employed (Full Time Equivalent)]]),"")</f>
        <v/>
      </c>
      <c r="PK44" s="30" t="str">
        <f>IFERROR(IF(DATA[[#This Row],[Other manager 3: Numbers employed (Full Time Equivalent)]]=0,"",DATA[[#This Row],[Other manager 3: Current 2021/22 Maximum hourly pay rate ADJUSTED 2]]*DATA[[#This Row],[Other manager 3: Numbers employed (Full Time Equivalent)]]),"")</f>
        <v/>
      </c>
      <c r="PL44" s="30" t="str">
        <f>IFERROR(IF(DATA[[#This Row],[Other manager 3: Numbers employed (Full Time Equivalent)]]=0,"",DATA[[#This Row],[Other manager 3: Previous 2020/21 Minimum hourly pay rate ADJUSTED 2]]*DATA[[#This Row],[Other manager 3: Numbers employed (Full Time Equivalent)]]),"")</f>
        <v/>
      </c>
      <c r="PM44" s="30" t="str">
        <f>IFERROR(IF(DATA[[#This Row],[Other manager 3: Numbers employed (Full Time Equivalent)]]=0,"",DATA[[#This Row],[Other manager 3: Previous 2020/21 Maximum hourly pay rate ADJUSTED 2]]*DATA[[#This Row],[Other manager 3: Numbers employed (Full Time Equivalent)]]),"")</f>
        <v/>
      </c>
      <c r="PN44" s="30">
        <f>IFERROR(IF(DATA[[#This Row],[Care Assistant 1: Numbers employed (Full Time Equivalent)]]=0,"",DATA[[#This Row],[Care Assistant 1: Current 2021/22 Minimum hourly pay rate ADJUSTED 2]]*DATA[[#This Row],[Care Assistant 1: Numbers employed (Full Time Equivalent)]]),"")</f>
        <v>400</v>
      </c>
      <c r="PO44" s="30">
        <f>IFERROR(IF(DATA[[#This Row],[Care Assistant 1: Numbers employed (Full Time Equivalent)]]=0,"",DATA[[#This Row],[Care Assistant 1: Current 2021/22 Maximum hourly pay rate ADJUSTED 2]]*DATA[[#This Row],[Care Assistant 1: Numbers employed (Full Time Equivalent)]]),"")</f>
        <v>400</v>
      </c>
      <c r="PP44" s="30">
        <f>IFERROR(IF(DATA[[#This Row],[Care Assistant 1: Numbers employed (Full Time Equivalent)]]=0,"",DATA[[#This Row],[Care Assistant 1: Previous 2020/21 Minimum hourly pay rate ADJUSTED 2]]*DATA[[#This Row],[Care Assistant 1: Numbers employed (Full Time Equivalent)]]),"")</f>
        <v>380</v>
      </c>
      <c r="PQ44" s="30">
        <f>IFERROR(IF(DATA[[#This Row],[Care Assistant 1: Numbers employed (Full Time Equivalent)]]=0,"",DATA[[#This Row],[Care Assistant 1: Previous 2020/21 Maximum hourly pay rate ADJUSTED 2]]*DATA[[#This Row],[Care Assistant 1: Numbers employed (Full Time Equivalent)]]),"")</f>
        <v>380</v>
      </c>
      <c r="PR44" s="30">
        <f>IFERROR(IF(DATA[[#This Row],[Care Assistant 2: Numbers employed (Full Time Equivalent)]]=0,"",DATA[[#This Row],[Care Assistant 2: Current 2021/22 Minimum hourly pay rate ADJUSTED 2]]*DATA[[#This Row],[Care Assistant 2: Numbers employed (Full Time Equivalent)]]),"")</f>
        <v>356.4</v>
      </c>
      <c r="PS44" s="30">
        <f>IFERROR(IF(DATA[[#This Row],[Care Assistant 2: Numbers employed (Full Time Equivalent)]]=0,"",DATA[[#This Row],[Care Assistant 2: Current 2021/22 Maximum hourly pay rate ADJUSTED 2]]*DATA[[#This Row],[Care Assistant 2: Numbers employed (Full Time Equivalent)]]),"")</f>
        <v>356.4</v>
      </c>
      <c r="PT44" s="30">
        <f>IFERROR(IF(DATA[[#This Row],[Care Assistant 2: Numbers employed (Full Time Equivalent)]]=0,"",DATA[[#This Row],[Care Assistant 2: Previous 2020/21 Minimum hourly pay rate ADJUSTED 2]]*DATA[[#This Row],[Care Assistant 2: Numbers employed (Full Time Equivalent)]]),"")</f>
        <v>350.4</v>
      </c>
      <c r="PU44" s="30">
        <f>IFERROR(IF(DATA[[#This Row],[Care Assistant 2: Numbers employed (Full Time Equivalent)]]=0,"",DATA[[#This Row],[Care Assistant 2: Previous 2020/21 Maximum hourly pay rate ADJUSTED 2]]*DATA[[#This Row],[Care Assistant 2: Numbers employed (Full Time Equivalent)]]),"")</f>
        <v>350.4</v>
      </c>
      <c r="PV44" s="30" t="str">
        <f>IFERROR(IF(DATA[[#This Row],[Care Assistant 3: Numbers employed (Full Time Equivalent)]]=0,"",DATA[[#This Row],[Care Assistant 3: Current 2021/22 Minimum hourly pay rate ADJUSTED 2]]*DATA[[#This Row],[Care Assistant 3: Numbers employed (Full Time Equivalent)]]),"")</f>
        <v/>
      </c>
      <c r="PW44" s="30" t="str">
        <f>IFERROR(IF(DATA[[#This Row],[Care Assistant 3: Numbers employed (Full Time Equivalent)]]=0,"",DATA[[#This Row],[Care Assistant 3: Current 2021/22 Maximum hourly pay rate ADJUSTED 2]]*DATA[[#This Row],[Care Assistant 3: Numbers employed (Full Time Equivalent)]]),"")</f>
        <v/>
      </c>
      <c r="PX44" s="30" t="str">
        <f>IFERROR(IF(DATA[[#This Row],[Care Assistant 3: Numbers employed (Full Time Equivalent)]]=0,"",DATA[[#This Row],[Care Assistant 3: Previous 2020/21 Minimum hourly pay rate ADJUSTED 2]]*DATA[[#This Row],[Care Assistant 3: Numbers employed (Full Time Equivalent)]]),"")</f>
        <v/>
      </c>
      <c r="PY44" s="30" t="str">
        <f>IFERROR(IF(DATA[[#This Row],[Care Assistant 3: Numbers employed (Full Time Equivalent)]]=0,"",DATA[[#This Row],[Care Assistant 3: Previous 2020/21 Maximum hourly pay rate ADJUSTED 2]]*DATA[[#This Row],[Care Assistant 3: Numbers employed (Full Time Equivalent)]]),"")</f>
        <v/>
      </c>
      <c r="PZ44" s="30" t="str">
        <f>IFERROR(IF(DATA[[#This Row],[Care Assistant 4: Numbers employed (Full Time Equivalent)]]=0,"",DATA[[#This Row],[Care Assistant 4: Current 2021/22 Minimum hourly pay rate ADJUSTED 2]]*DATA[[#This Row],[Care Assistant 4: Numbers employed (Full Time Equivalent)]]),"")</f>
        <v/>
      </c>
      <c r="QA44" s="30" t="str">
        <f>IFERROR(IF(DATA[[#This Row],[Care Assistant 4: Numbers employed (Full Time Equivalent)]]=0,"",DATA[[#This Row],[Care Assistant 4: Current 2021/22 Maximum hourly pay rate ADJUSTED 2]]*DATA[[#This Row],[Care Assistant 4: Numbers employed (Full Time Equivalent)]]),"")</f>
        <v/>
      </c>
      <c r="QB44" s="30" t="str">
        <f>IFERROR(IF(DATA[[#This Row],[Care Assistant 4: Numbers employed (Full Time Equivalent)]]=0,"",DATA[[#This Row],[Care Assistant 4: Previous 2020/21 Minimum hourly pay rate ADJUSTED 2]]*DATA[[#This Row],[Care Assistant 4: Numbers employed (Full Time Equivalent)]]),"")</f>
        <v/>
      </c>
      <c r="QC44" s="30" t="str">
        <f>IFERROR(IF(DATA[[#This Row],[Care Assistant 4: Numbers employed (Full Time Equivalent)]]=0,"",DATA[[#This Row],[Care Assistant 4: Previous 2020/21 Maximum hourly pay rate ADJUSTED 2]]*DATA[[#This Row],[Care Assistant 4: Numbers employed (Full Time Equivalent)]]),"")</f>
        <v/>
      </c>
      <c r="QD44" s="30">
        <f>IFERROR(IF(DATA[[#This Row],[Administrative Officer 1: Numbers employed (Full Time Equivalent)]]=0,"",DATA[[#This Row],[Administrative Officer 1: Current 2021/22 Minimum hourly pay rate ADJUSTED 2]]*DATA[[#This Row],[Administrative Officer 1: Numbers employed (Full Time Equivalent)]]),"")</f>
        <v>329.67</v>
      </c>
      <c r="QE44" s="30">
        <f>IFERROR(IF(DATA[[#This Row],[Administrative Officer 1: Numbers employed (Full Time Equivalent)]]=0,"",DATA[[#This Row],[Administrative Officer 1: Current 2021/22 Maximum hourly pay rate ADJUSTED 2]]*DATA[[#This Row],[Administrative Officer 1: Numbers employed (Full Time Equivalent)]]),"")</f>
        <v>329.67</v>
      </c>
      <c r="QF44" s="30">
        <f>IFERROR(IF(DATA[[#This Row],[Administrative Officer 1: Numbers employed (Full Time Equivalent)]]=0,"",DATA[[#This Row],[Administrative Officer 1: Previous 2020/21 Minimum hourly pay rate ADJUSTED 2]]*DATA[[#This Row],[Administrative Officer 1: Numbers employed (Full Time Equivalent)]]),"")</f>
        <v>324.12</v>
      </c>
      <c r="QG44" s="30">
        <f>IFERROR(IF(DATA[[#This Row],[Administrative Officer 1: Numbers employed (Full Time Equivalent)]]=0,"",DATA[[#This Row],[Administrative Officer 1: Previous 2020/21 Maximum hourly pay rate ADJUSTED 2]]*DATA[[#This Row],[Administrative Officer 1: Numbers employed (Full Time Equivalent)]]),"")</f>
        <v>324.12</v>
      </c>
      <c r="QH44" s="30" t="str">
        <f>IFERROR(IF(DATA[[#This Row],[Administrative Officer 2: Numbers employed (Full Time Equivalent)]]=0,"",DATA[[#This Row],[Administrative Officer 2: Current 2021/22 Minimum hourly pay rate ADJUSTED 2]]*DATA[[#This Row],[Administrative Officer 2: Numbers employed (Full Time Equivalent)]]),"")</f>
        <v/>
      </c>
      <c r="QI44" s="30" t="str">
        <f>IFERROR(IF(DATA[[#This Row],[Administrative Officer 2: Numbers employed (Full Time Equivalent)]]=0,"",DATA[[#This Row],[Administrative Officer 2: Current 2021/22 Maximum hourly pay rate ADJUSTED 2]]*DATA[[#This Row],[Administrative Officer 2: Numbers employed (Full Time Equivalent)]]),"")</f>
        <v/>
      </c>
      <c r="QJ44" s="30" t="str">
        <f>IFERROR(IF(DATA[[#This Row],[Administrative Officer 2: Numbers employed (Full Time Equivalent)]]=0,"",DATA[[#This Row],[Administrative Officer 2: Previous 2020/21 Minimum hourly pay rate ADJUSTED 2]]*DATA[[#This Row],[Administrative Officer 2: Numbers employed (Full Time Equivalent)]]),"")</f>
        <v/>
      </c>
      <c r="QK44" s="30" t="str">
        <f>IFERROR(IF(DATA[[#This Row],[Administrative Officer 2: Numbers employed (Full Time Equivalent)]]=0,"",DATA[[#This Row],[Administrative Officer 2: Previous 2020/21 Maximum hourly pay rate ADJUSTED 2]]*DATA[[#This Row],[Administrative Officer 2: Numbers employed (Full Time Equivalent)]]),"")</f>
        <v/>
      </c>
      <c r="QL44" s="30" t="str">
        <f>IFERROR(IF(DATA[[#This Row],[Administrative Officer 3: Numbers employed (Full Time Equivalent)]]=0,"",DATA[[#This Row],[Administrative Officer 3: Current 2021/22 Minimum hourly pay rate ADJUSTED 2]]*DATA[[#This Row],[Administrative Officer 3: Numbers employed (Full Time Equivalent)]]),"")</f>
        <v/>
      </c>
      <c r="QM44" s="30" t="str">
        <f>IFERROR(IF(DATA[[#This Row],[Administrative Officer 3: Numbers employed (Full Time Equivalent)]]=0,"",DATA[[#This Row],[Administrative Officer 3: Current 2021/22 Maximum hourly pay rate ADJUSTED 2]]*DATA[[#This Row],[Administrative Officer 3: Numbers employed (Full Time Equivalent)]]),"")</f>
        <v/>
      </c>
      <c r="QN44" s="30" t="str">
        <f>IFERROR(IF(DATA[[#This Row],[Administrative Officer 3: Numbers employed (Full Time Equivalent)]]=0,"",DATA[[#This Row],[Administrative Officer 3: Previous 2020/21 Minimum hourly pay rate ADJUSTED 2]]*DATA[[#This Row],[Administrative Officer 3: Numbers employed (Full Time Equivalent)]]),"")</f>
        <v/>
      </c>
      <c r="QO44" s="30" t="str">
        <f>IFERROR(IF(DATA[[#This Row],[Administrative Officer 3: Numbers employed (Full Time Equivalent)]]=0,"",DATA[[#This Row],[Administrative Officer 3: Previous 2020/21 Maximum hourly pay rate ADJUSTED 2]]*DATA[[#This Row],[Administrative Officer 3: Numbers employed (Full Time Equivalent)]]),"")</f>
        <v/>
      </c>
      <c r="QP44" s="28">
        <f>IFERROR(IF(DATA[[#This Row],[Other staff 1: Numbers employed (Full Time Equivalent)]]=0,"",DATA[[#This Row],[Other staff 1: Current 2021/22 Minimum hourly pay rate ADJUSTED 2]]*DATA[[#This Row],[Other staff 1: Numbers employed (Full Time Equivalent)]]),"")</f>
        <v>89.1</v>
      </c>
      <c r="QQ44" s="28">
        <f>IFERROR(IF(DATA[[#This Row],[Other staff 1: Numbers employed (Full Time Equivalent)]]=0,"",DATA[[#This Row],[Other staff 1: Current 2021/22 Maximum hourly pay rate ADJUSTED 2]]*DATA[[#This Row],[Other staff 1: Numbers employed (Full Time Equivalent)]]),"")</f>
        <v>89.1</v>
      </c>
      <c r="QR44" s="28">
        <f>IFERROR(IF(DATA[[#This Row],[Other staff 1: Numbers employed (Full Time Equivalent)]]=0,"",DATA[[#This Row],[Other staff 1: Previous 2020/21 Minimum hourly pay rate ADJUSTED 2]]*DATA[[#This Row],[Other staff 1: Numbers employed (Full Time Equivalent)]]),"")</f>
        <v>87.6</v>
      </c>
      <c r="QS44" s="28">
        <f>IFERROR(IF(DATA[[#This Row],[Other staff 1: Numbers employed (Full Time Equivalent)]]=0,"",DATA[[#This Row],[Other staff 1: Previous 2020/21 Maximum hourly pay rate ADJUSTED 2]]*DATA[[#This Row],[Other staff 1: Numbers employed (Full Time Equivalent)]]),"")</f>
        <v>87.6</v>
      </c>
      <c r="QT44" s="28">
        <f>IFERROR(IF(DATA[[#This Row],[Other staff 2: Numbers employed (Full Time Equivalent)]]=0,"",DATA[[#This Row],[Other staff 2: Current 2021/22 Minimum hourly pay rate ADJUSTED 2]]*DATA[[#This Row],[Other staff 2: Numbers employed (Full Time Equivalent)]]),"")</f>
        <v>89.1</v>
      </c>
      <c r="QU44" s="28">
        <f>IFERROR(IF(DATA[[#This Row],[Other staff 2: Numbers employed (Full Time Equivalent)]]=0,"",DATA[[#This Row],[Other staff 2: Current 2021/22 Maximum hourly pay rate ADJUSTED 2]]*DATA[[#This Row],[Other staff 2: Numbers employed (Full Time Equivalent)]]),"")</f>
        <v>89.1</v>
      </c>
      <c r="QV44" s="28">
        <f>IFERROR(IF(DATA[[#This Row],[Other staff 2: Numbers employed (Full Time Equivalent)]]=0,"",DATA[[#This Row],[Other staff 2: Previous 2020/21 Minimum hourly pay rate ADJUSTED 2]]*DATA[[#This Row],[Other staff 2: Numbers employed (Full Time Equivalent)]]),"")</f>
        <v>87.6</v>
      </c>
      <c r="QW44" s="28">
        <f>IFERROR(IF(DATA[[#This Row],[Other staff 2: Numbers employed (Full Time Equivalent)]]=0,"",DATA[[#This Row],[Other staff 2: Previous 2020/21 Maximum hourly pay rate ADJUSTED 2]]*DATA[[#This Row],[Other staff 2: Numbers employed (Full Time Equivalent)]]),"")</f>
        <v>87.6</v>
      </c>
      <c r="QX44" s="28" t="str">
        <f>IFERROR(IF(DATA[[#This Row],[Other staff 3: Numbers employed (Full Time Equivalent)]]=0,"",DATA[[#This Row],[Other staff 3: Current 2021/22 Minimum hourly pay rate ADJUSTED 2]]*DATA[[#This Row],[Other staff 3: Numbers employed (Full Time Equivalent)]]),"")</f>
        <v/>
      </c>
      <c r="QY44" s="28" t="str">
        <f>IFERROR(IF(DATA[[#This Row],[Other staff 3: Numbers employed (Full Time Equivalent)]]=0,"",DATA[[#This Row],[Other staff 3: Current 2021/22 Maximum hourly pay rate ADJUSTED 2]]*DATA[[#This Row],[Other staff 3: Numbers employed (Full Time Equivalent)]]),"")</f>
        <v/>
      </c>
      <c r="QZ44" s="28" t="str">
        <f>IFERROR(IF(DATA[[#This Row],[Other staff 3: Numbers employed (Full Time Equivalent)]]=0,"",DATA[[#This Row],[Other staff 3: Previous 2020/21 Minimum hourly pay rate ADJUSTED 2]]*DATA[[#This Row],[Other staff 3: Numbers employed (Full Time Equivalent)]]),"")</f>
        <v/>
      </c>
      <c r="RA44" s="28" t="str">
        <f>IFERROR(IF(DATA[[#This Row],[Other staff 3: Numbers employed (Full Time Equivalent)]]=0,"",DATA[[#This Row],[Other staff 3: Previous 2020/21 Maximum hourly pay rate ADJUSTED 2]]*DATA[[#This Row],[Other staff 3: Numbers employed (Full Time Equivalent)]]),"")</f>
        <v/>
      </c>
      <c r="RB44"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37</v>
      </c>
      <c r="RC44"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44"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44"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4"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4"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40</v>
      </c>
      <c r="RH44"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40</v>
      </c>
      <c r="RI44"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44"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4"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37</v>
      </c>
      <c r="RL44"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44"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4"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10</v>
      </c>
      <c r="RO44"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10</v>
      </c>
      <c r="RP44"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5" spans="7:484" x14ac:dyDescent="0.25">
      <c r="G45" s="2">
        <v>39</v>
      </c>
      <c r="H45" s="2">
        <v>0</v>
      </c>
      <c r="I45" s="2">
        <v>23</v>
      </c>
      <c r="J45" s="2">
        <v>0</v>
      </c>
      <c r="K45" s="2">
        <v>1</v>
      </c>
      <c r="L45" s="2" t="s">
        <v>240</v>
      </c>
      <c r="M45" s="2" t="s">
        <v>328</v>
      </c>
      <c r="R45" s="2">
        <v>18.84</v>
      </c>
      <c r="S45" s="2">
        <v>18.84</v>
      </c>
      <c r="T45" s="2">
        <v>18.47</v>
      </c>
      <c r="U45" s="2">
        <v>18.47</v>
      </c>
      <c r="V45" s="2">
        <v>0.14000000000000001</v>
      </c>
      <c r="W45" s="2">
        <v>0</v>
      </c>
      <c r="X45" s="2">
        <v>0</v>
      </c>
      <c r="Y45" s="2">
        <v>0</v>
      </c>
      <c r="Z45" s="2">
        <v>0</v>
      </c>
      <c r="AA45" s="2">
        <v>1</v>
      </c>
      <c r="AB45" s="2" t="s">
        <v>315</v>
      </c>
      <c r="AC45" s="2">
        <v>13.03</v>
      </c>
      <c r="AD45" s="2">
        <v>13.03</v>
      </c>
      <c r="AE45" s="2">
        <v>12.78</v>
      </c>
      <c r="AF45" s="2">
        <v>12.78</v>
      </c>
      <c r="AG45" s="2">
        <v>2</v>
      </c>
      <c r="AH45" s="2" t="s">
        <v>315</v>
      </c>
      <c r="AI45" s="2">
        <v>0</v>
      </c>
      <c r="AJ45" s="2">
        <v>0</v>
      </c>
      <c r="AK45" s="2">
        <v>0</v>
      </c>
      <c r="AL45" s="2">
        <v>0</v>
      </c>
      <c r="AM45" s="2">
        <v>0</v>
      </c>
      <c r="AN45" s="2" t="s">
        <v>315</v>
      </c>
      <c r="AO45" s="2">
        <v>0</v>
      </c>
      <c r="AP45" s="2">
        <v>0</v>
      </c>
      <c r="AQ45" s="2">
        <v>0</v>
      </c>
      <c r="AR45" s="2">
        <v>0</v>
      </c>
      <c r="AS45" s="2">
        <v>0</v>
      </c>
      <c r="AT45" s="2" t="s">
        <v>316</v>
      </c>
      <c r="AU45" s="2">
        <v>9.8000000000000007</v>
      </c>
      <c r="AV45" s="2">
        <v>10.3</v>
      </c>
      <c r="AW45" s="2">
        <v>9.59</v>
      </c>
      <c r="AX45" s="2">
        <v>10.09</v>
      </c>
      <c r="AY45" s="2">
        <v>17</v>
      </c>
      <c r="AZ45" s="2" t="s">
        <v>316</v>
      </c>
      <c r="BA45" s="2">
        <v>0</v>
      </c>
      <c r="BB45" s="2">
        <v>0</v>
      </c>
      <c r="BC45" s="2">
        <v>0</v>
      </c>
      <c r="BD45" s="2">
        <v>0</v>
      </c>
      <c r="BE45" s="2">
        <v>0</v>
      </c>
      <c r="BF45" s="2" t="s">
        <v>316</v>
      </c>
      <c r="BG45" s="2">
        <v>0</v>
      </c>
      <c r="BH45" s="2">
        <v>0</v>
      </c>
      <c r="BI45" s="2">
        <v>0</v>
      </c>
      <c r="BJ45" s="2">
        <v>0</v>
      </c>
      <c r="BK45" s="2">
        <v>0</v>
      </c>
      <c r="BL45" s="2" t="s">
        <v>316</v>
      </c>
      <c r="BM45" s="2">
        <v>0</v>
      </c>
      <c r="BN45" s="2">
        <v>0</v>
      </c>
      <c r="BO45" s="2">
        <v>0</v>
      </c>
      <c r="BP45" s="2">
        <v>0</v>
      </c>
      <c r="BQ45" s="2">
        <v>0</v>
      </c>
      <c r="BR45" s="2" t="s">
        <v>496</v>
      </c>
      <c r="BS45" s="2">
        <v>10.3</v>
      </c>
      <c r="BT45" s="2">
        <v>10.3</v>
      </c>
      <c r="BU45" s="2">
        <v>10.1</v>
      </c>
      <c r="BV45" s="2">
        <v>10.1</v>
      </c>
      <c r="BW45" s="2">
        <v>1</v>
      </c>
      <c r="BX45" s="2" t="s">
        <v>317</v>
      </c>
      <c r="BY45" s="2">
        <v>0</v>
      </c>
      <c r="BZ45" s="2">
        <v>0</v>
      </c>
      <c r="CA45" s="2">
        <v>0</v>
      </c>
      <c r="CB45" s="2">
        <v>0</v>
      </c>
      <c r="CC45" s="2">
        <v>0</v>
      </c>
      <c r="CD45" s="2" t="s">
        <v>317</v>
      </c>
      <c r="CE45" s="2">
        <v>0</v>
      </c>
      <c r="CF45" s="2">
        <v>0</v>
      </c>
      <c r="CG45" s="2">
        <v>0</v>
      </c>
      <c r="CH45" s="2">
        <v>0</v>
      </c>
      <c r="CI45" s="2">
        <v>0</v>
      </c>
      <c r="CJ45" s="2" t="s">
        <v>497</v>
      </c>
      <c r="CK45" s="2">
        <v>0</v>
      </c>
      <c r="CL45" s="2">
        <v>0</v>
      </c>
      <c r="CM45" s="2">
        <v>0</v>
      </c>
      <c r="CN45" s="2">
        <v>0</v>
      </c>
      <c r="CO45" s="2">
        <v>2</v>
      </c>
      <c r="CP45" s="2" t="s">
        <v>318</v>
      </c>
      <c r="CQ45" s="2">
        <v>0</v>
      </c>
      <c r="CR45" s="2">
        <v>0</v>
      </c>
      <c r="CS45" s="2">
        <v>0</v>
      </c>
      <c r="CT45" s="2">
        <v>0</v>
      </c>
      <c r="CU45" s="2">
        <v>0</v>
      </c>
      <c r="CV45" s="2" t="s">
        <v>318</v>
      </c>
      <c r="CW45" s="2">
        <v>0</v>
      </c>
      <c r="CX45" s="2">
        <v>0</v>
      </c>
      <c r="CY45" s="2">
        <v>0</v>
      </c>
      <c r="CZ45" s="2">
        <v>0</v>
      </c>
      <c r="DA45" s="2">
        <v>0</v>
      </c>
      <c r="DB45" s="2">
        <v>0.05</v>
      </c>
      <c r="DC45" s="2">
        <v>0</v>
      </c>
      <c r="DD45" s="2">
        <v>0</v>
      </c>
      <c r="DE45" s="2">
        <v>0</v>
      </c>
      <c r="DF45" s="2">
        <v>0</v>
      </c>
      <c r="DG45" s="2">
        <v>0</v>
      </c>
      <c r="DH45" s="2">
        <v>0</v>
      </c>
      <c r="DI45" s="2">
        <v>573</v>
      </c>
      <c r="DJ45" s="2">
        <v>0</v>
      </c>
      <c r="DK45" s="2">
        <v>0</v>
      </c>
      <c r="DL45" s="2">
        <v>35</v>
      </c>
      <c r="DM45" s="2">
        <v>0</v>
      </c>
      <c r="DN45" s="2">
        <v>69.25</v>
      </c>
      <c r="DO45" s="2">
        <v>15.58</v>
      </c>
      <c r="DP45" s="2">
        <v>17.32</v>
      </c>
      <c r="DQ45" s="2">
        <v>14.6</v>
      </c>
      <c r="DR45" s="18">
        <v>43922</v>
      </c>
      <c r="DS45" s="18">
        <v>44286</v>
      </c>
      <c r="DT45" s="2">
        <v>35849</v>
      </c>
      <c r="DU45" s="2">
        <v>59169</v>
      </c>
      <c r="DV45" s="2">
        <v>458212</v>
      </c>
      <c r="DW45" s="2">
        <v>22505</v>
      </c>
      <c r="DX45" s="2">
        <v>0</v>
      </c>
      <c r="DY45" s="2">
        <v>0</v>
      </c>
      <c r="DZ45" s="2">
        <v>0</v>
      </c>
      <c r="EA45" s="2">
        <v>0</v>
      </c>
      <c r="EB45" s="2">
        <v>10022</v>
      </c>
      <c r="EC45" s="2">
        <v>478</v>
      </c>
      <c r="ED45" s="2">
        <v>0</v>
      </c>
      <c r="EE45" s="2">
        <v>374</v>
      </c>
      <c r="EF45" s="2">
        <v>0</v>
      </c>
      <c r="EG45" s="2">
        <v>3165</v>
      </c>
      <c r="EH45" s="2" t="s">
        <v>324</v>
      </c>
      <c r="EI45" s="2">
        <v>0</v>
      </c>
      <c r="EJ45" s="2" t="s">
        <v>324</v>
      </c>
      <c r="EK45" s="2">
        <v>0</v>
      </c>
      <c r="EL45" s="2">
        <v>0</v>
      </c>
      <c r="EM45" s="2">
        <v>0</v>
      </c>
      <c r="EN45" s="2">
        <v>0</v>
      </c>
      <c r="EO45" s="2">
        <v>0</v>
      </c>
      <c r="EP45" s="2">
        <v>1100</v>
      </c>
      <c r="EQ45" s="2">
        <v>0</v>
      </c>
      <c r="ER45" s="2">
        <v>0</v>
      </c>
      <c r="ES45" s="2">
        <v>0</v>
      </c>
      <c r="ET45" s="2" t="s">
        <v>498</v>
      </c>
      <c r="EU45" s="2">
        <v>335</v>
      </c>
      <c r="EV45" s="2" t="s">
        <v>324</v>
      </c>
      <c r="EW45" s="2">
        <v>0</v>
      </c>
      <c r="EX45" s="2">
        <v>0</v>
      </c>
      <c r="EY45" s="2">
        <v>0</v>
      </c>
      <c r="EZ45" s="2" t="s">
        <v>499</v>
      </c>
      <c r="FA45" s="2">
        <v>983</v>
      </c>
      <c r="FB45" s="2" t="s">
        <v>326</v>
      </c>
      <c r="FC45" s="2">
        <v>0</v>
      </c>
      <c r="FD45" s="2">
        <v>6349</v>
      </c>
      <c r="FE45" s="2">
        <v>0</v>
      </c>
      <c r="FF45" s="2">
        <v>0</v>
      </c>
      <c r="FG45" s="2"/>
      <c r="FH45" s="19">
        <v>44480.624490740738</v>
      </c>
      <c r="FI45" s="2" t="s">
        <v>345</v>
      </c>
      <c r="FJ45" s="2">
        <f>SUM(DATA[[#This Row],[Number of Home support clients:]],DATA[[#This Row],[Number of supported living clients:]])</f>
        <v>23</v>
      </c>
      <c r="FK45"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45"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18.84</v>
      </c>
      <c r="FM45"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18.84</v>
      </c>
      <c r="FN45"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18.47</v>
      </c>
      <c r="FO45"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18.47</v>
      </c>
      <c r="FP45"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45"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45"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45"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45"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13.03</v>
      </c>
      <c r="FU45"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13.03</v>
      </c>
      <c r="FV45"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12.78</v>
      </c>
      <c r="FW45"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12.78</v>
      </c>
      <c r="FX45"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5"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5"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5"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5"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5"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5"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5"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5"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9.8000000000000007</v>
      </c>
      <c r="GG45"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10.3</v>
      </c>
      <c r="GH45"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9.59</v>
      </c>
      <c r="GI45"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10.09</v>
      </c>
      <c r="GJ45"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45"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45"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45"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45"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45"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45"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45"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45"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5"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5"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5"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5"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10.3</v>
      </c>
      <c r="GW45"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10.3</v>
      </c>
      <c r="GX45"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10.1</v>
      </c>
      <c r="GY45"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10.1</v>
      </c>
      <c r="GZ45"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45"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45"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45"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45"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5"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5"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5"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5"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45"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45"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45"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45"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45"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45"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45"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45"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5"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5"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5"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5"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18.84</v>
      </c>
      <c r="HU45"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18.84</v>
      </c>
      <c r="HV45"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18.47</v>
      </c>
      <c r="HW45"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18.47</v>
      </c>
      <c r="HX45"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45"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45"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45"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45"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13.03</v>
      </c>
      <c r="IC45"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13.03</v>
      </c>
      <c r="ID45"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12.78</v>
      </c>
      <c r="IE45"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12.78</v>
      </c>
      <c r="IF45"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5"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5"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5"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5"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5"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5"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5"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5"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9.8000000000000007</v>
      </c>
      <c r="IO45"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10.3</v>
      </c>
      <c r="IP45"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9.59</v>
      </c>
      <c r="IQ45"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10.09</v>
      </c>
      <c r="IR45"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45"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45"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45"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45"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45"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45"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45"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45"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5"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5"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5"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5"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10.3</v>
      </c>
      <c r="JE45"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10.3</v>
      </c>
      <c r="JF45"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10.1</v>
      </c>
      <c r="JG45"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10.1</v>
      </c>
      <c r="JH45"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45"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45"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45"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45"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5"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5"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5"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5"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45"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45"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45"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45"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45"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45"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45"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45"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5"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5"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5"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5"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3.14</v>
      </c>
      <c r="KC45" s="21">
        <f>SUM(DATA[[#This Row],[Care Assistant 1: Numbers employed (Full Time Equivalent)]],DATA[[#This Row],[Care Assistant 2: Numbers employed (Full Time Equivalent)]],DATA[[#This Row],[Care Assistant 3: Numbers employed (Full Time Equivalent)]],DATA[[#This Row],[Care Assistant 4: Numbers employed (Full Time Equivalent)]])</f>
        <v>17</v>
      </c>
      <c r="KD45" s="21">
        <f>SUM(DATA[[#This Row],[Administrative Officer 1: Numbers employed (Full Time Equivalent)]],DATA[[#This Row],[Administrative Officer 2: Numbers employed (Full Time Equivalent)]])</f>
        <v>1</v>
      </c>
      <c r="KE45" s="21">
        <f>SUM(DATA[[#This Row],[Other staff 1: Numbers employed (Full Time Equivalent)]],DATA[[#This Row],[Other staff 2: Numbers employed (Full Time Equivalent)]],DATA[[#This Row],[Other staff 3: Numbers employed (Full Time Equivalent)]])</f>
        <v>2</v>
      </c>
      <c r="KF45" s="21">
        <f>SUM(DATA[[#This Row],[Total FTE Management Employees]:[Total FTE Other Employees]])</f>
        <v>23.14</v>
      </c>
      <c r="KG45" s="21" t="str">
        <f>IF(SUM(DATA[[#This Row],[Home Support service split percentage (Expenditure):]],DATA[[#This Row],[Supported Living service split percentage (Expenditure):]])&gt;0, IF(DATA[[#This Row],[Home Support service split percentage (Expenditure):]]&gt;0.5,"Home Support","Supported Living"), "Unknown")</f>
        <v>Supported Living</v>
      </c>
      <c r="KH45" s="21">
        <f>SUM(DATA[[#This Row],[Home Support: Birmingham City Council]:[Home Support: Self-funded]])</f>
        <v>0</v>
      </c>
      <c r="KI45" s="21">
        <f>SUM(DATA[[#This Row],[Supported Living: Birmingham City Council]:[Supported Living: Self-funded]])</f>
        <v>677.25</v>
      </c>
      <c r="KJ45"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5"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5"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5"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5" s="21" t="b">
        <f>SUM(DATA[[#This Row],[Number of hours of care charged for in last full accounting year]:[Corporate Overheads: Other  - please specify (category) 1]])&gt;0</f>
        <v>1</v>
      </c>
      <c r="KO45" s="21">
        <f>SUM(DATA[[#This Row],[Total annual expenditure: Management staff]:[Total annual expenditure: Training and development]])</f>
        <v>549908</v>
      </c>
      <c r="KP45" s="21">
        <f>SUM(DATA[[#This Row],[Recruitment &amp; advertising (including DBS checks)]:[Non-Staffing Direct Cost: Other  - please specify (amount) 2]])</f>
        <v>4017</v>
      </c>
      <c r="KQ45" s="21">
        <f>SUM(DATA[[#This Row],[Insurance ]:[Indirect costs: Other 2 - please specify (amount)]])</f>
        <v>1435</v>
      </c>
      <c r="KR45" s="21">
        <f>SUM(DATA[[#This Row],[Central / Regional Management]],DATA[[#This Row],[Support Services (finance / HR / Payroll / legal etc.)]],DATA[[#This Row],[Corporate Overheads: Other  - please specify (amount) 1]],DATA[[#This Row],[Corporate Overheads: Other  - please specify (amount) 2]])</f>
        <v>983</v>
      </c>
      <c r="KS45"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1.6505062902730898</v>
      </c>
      <c r="KT45"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12.781723339563168</v>
      </c>
      <c r="KU45"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0.6277720438505956</v>
      </c>
      <c r="KV45"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45"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45"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45"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45"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0.27956149404446429</v>
      </c>
      <c r="LA45"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1.3333705263745154E-2</v>
      </c>
      <c r="LB45"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45" s="30">
        <f>IF(OR(NOT(DATA[[#This Row],[Care consumables &amp; uniforms]]&gt;0),NOT(DATA[[#This Row],[Number of hours of care charged for in last full accounting year]]&gt;0)),0,DATA[[#This Row],[Care consumables &amp; uniforms]]/DATA[[#This Row],[Number of hours of care charged for in last full accounting year]])</f>
        <v>1.0432648051549556E-2</v>
      </c>
      <c r="LD45" s="30">
        <f>IF(OR(NOT(DATA[[#This Row],[Electronic call monitoring]]&gt;0),NOT(DATA[[#This Row],[Number of hours of care charged for in last full accounting year]]&gt;0)),0,DATA[[#This Row],[Electronic call monitoring]]/DATA[[#This Row],[Number of hours of care charged for in last full accounting year]])</f>
        <v>0</v>
      </c>
      <c r="LE45" s="30">
        <f>IF(OR(NOT(DATA[[#This Row],[IT Equipment &amp; Telephoney]]&gt;0),NOT(DATA[[#This Row],[Number of hours of care charged for in last full accounting year]]&gt;0)),0,DATA[[#This Row],[IT Equipment &amp; Telephoney]]/DATA[[#This Row],[Number of hours of care charged for in last full accounting year]])</f>
        <v>8.8286981505760267E-2</v>
      </c>
      <c r="LF45"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45"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45" s="30">
        <f>IF(OR(NOT(DATA[[#This Row],[Insurance ]]&gt;0),NOT(DATA[[#This Row],[Number of hours of care charged for in last full accounting year]]&gt;0)),0,DATA[[#This Row],[Insurance ]]/DATA[[#This Row],[Number of hours of care charged for in last full accounting year]])</f>
        <v>0</v>
      </c>
      <c r="LI45"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45" s="30">
        <f>IF(OR(NOT(DATA[[#This Row],[Repairs and maintenance]]&gt;0),NOT(DATA[[#This Row],[Number of hours of care charged for in last full accounting year]]&gt;0)),0,DATA[[#This Row],[Repairs and maintenance]]/DATA[[#This Row],[Number of hours of care charged for in last full accounting year]])</f>
        <v>0</v>
      </c>
      <c r="LK45"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45" s="30">
        <f>IF(OR(NOT(DATA[[#This Row],[Registration &amp; Inspection fees ]]&gt;0),NOT(DATA[[#This Row],[Number of hours of care charged for in last full accounting year]]&gt;0)),0,DATA[[#This Row],[Registration &amp; Inspection fees ]]/DATA[[#This Row],[Number of hours of care charged for in last full accounting year]])</f>
        <v>3.0684258975145751E-2</v>
      </c>
      <c r="LM45" s="30">
        <f>IF(OR(NOT(DATA[[#This Row],[Subscriptions]]&gt;0),NOT(DATA[[#This Row],[Number of hours of care charged for in last full accounting year]]&gt;0)),0,DATA[[#This Row],[Subscriptions]]/DATA[[#This Row],[Number of hours of care charged for in last full accounting year]])</f>
        <v>0</v>
      </c>
      <c r="LN45" s="30">
        <f>IF(OR(NOT(DATA[[#This Row],[Cost of finance]]&gt;0),NOT(DATA[[#This Row],[Number of hours of care charged for in last full accounting year]]&gt;0)),0,DATA[[#This Row],[Cost of finance]]/DATA[[#This Row],[Number of hours of care charged for in last full accounting year]])</f>
        <v>0</v>
      </c>
      <c r="LO45" s="30">
        <f>IF(OR(NOT(DATA[[#This Row],[Other non-staff current expenses]]&gt;0),NOT(DATA[[#This Row],[Number of hours of care charged for in last full accounting year]]&gt;0)),0,DATA[[#This Row],[Other non-staff current expenses]]/DATA[[#This Row],[Number of hours of care charged for in last full accounting year]])</f>
        <v>0</v>
      </c>
      <c r="LP45"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9.3447515969762064E-3</v>
      </c>
      <c r="LQ45"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5" s="30">
        <f>IF(OR(NOT(DATA[[#This Row],[Central / Regional Management]]&gt;0),NOT(DATA[[#This Row],[Number of hours of care charged for in last full accounting year]]&gt;0)),0,DATA[[#This Row],[Central / Regional Management]]/DATA[[#This Row],[Number of hours of care charged for in last full accounting year]])</f>
        <v>0</v>
      </c>
      <c r="LS45"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45"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2.7420569611425701E-2</v>
      </c>
      <c r="LU45"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5" s="30">
        <f>SUM(DATA[[#This Row],[Management staff HOURLY RATE]:[Corporate Overheads: Other  - please specify (amount) 2 HOURLY RATE]])</f>
        <v>15.519066082735922</v>
      </c>
      <c r="LW45" s="30">
        <f>IF(OR(NOT(DATA[[#This Row],[Net Operating Profit]]&gt;0),NOT(DATA[[#This Row],[Number of hours of care charged for in last full accounting year]]&gt;0)),"",DATA[[#This Row],[Net Operating Profit]]/DATA[[#This Row],[Number of hours of care charged for in last full accounting year]])</f>
        <v>0.17710396384836397</v>
      </c>
      <c r="LX45" s="30">
        <f>IF(OR(NOT(DATA[[#This Row],[Return on Capital employed]]&gt;0),NOT(DATA[[#This Row],[Number of hours of care charged for in last full accounting year]]&gt;0)),0,DATA[[#This Row],[Return on Capital employed]]/DATA[[#This Row],[Number of hours of care charged for in last full accounting year]])</f>
        <v>0</v>
      </c>
      <c r="LY45" s="31">
        <v>39</v>
      </c>
      <c r="LZ45" s="30" t="s">
        <v>345</v>
      </c>
      <c r="MA45" s="30" t="b">
        <f>DATA[[#This Row],[Number of Home support clients:]]&gt;0</f>
        <v>0</v>
      </c>
      <c r="MB45" s="30" t="b">
        <f>DATA[[#This Row],[Number of supported living clients:]]&gt;0</f>
        <v>1</v>
      </c>
      <c r="MC45" s="30" t="b">
        <f>DATA[[#This Row],[Total Home Support Hours]]&gt;0</f>
        <v>0</v>
      </c>
      <c r="MD45" s="30" t="b">
        <f>DATA[[#This Row],[Total Supported Living Hours]]&gt;0</f>
        <v>1</v>
      </c>
      <c r="ME45" s="30" t="b">
        <f>DATA[[#This Row],[Home Support service split percentage (Expenditure):]]&gt;0.5</f>
        <v>0</v>
      </c>
      <c r="MF45" s="30" t="b">
        <f>DATA[[#This Row],[Agency staff HOURLY RATE]]=0</f>
        <v>1</v>
      </c>
      <c r="MG45" s="30">
        <f>IFERROR(IF(AVERAGE(DATA[[#This Row],[Registered manager: Current 2021/22 Minimum hourly pay rate ADJUSTED]],DATA[[#This Row],[Registered manager: Current 2021/22 Maximum hourly pay rate ADJUSTED]])&lt;LIVING_WAGE_22_23,DATA[[#This Row],[Registered manager: Numbers employed (Full Time Equivalent)]],0),"")</f>
        <v>0</v>
      </c>
      <c r="MH45" s="30" t="str">
        <f>IFERROR(IF(AVERAGE(DATA[[#This Row],[Deputy manager: Current 2021/22 Minimum hourly pay rate ADJUSTED]],DATA[[#This Row],[Deputy manager: Current 2021/22 Maximum hourly pay rate ADJUSTED]])&lt;LIVING_WAGE_22_23,DATA[[#This Row],[Deputy manager: Numbers employed (Full Time Equivalent)]],0),"")</f>
        <v/>
      </c>
      <c r="MI45" s="30">
        <f>IFERROR(IF(AVERAGE(DATA[[#This Row],[Other manager 1: Current 2021/22 Minimum hourly pay rate ADJUSTED]],DATA[[#This Row],[Other manager 1: Current 2021/22 Maximum hourly pay rate ADJUSTED]])&lt;LIVING_WAGE_22_23,DATA[[#This Row],[Other manager 1: Numbers employed (Full Time Equivalent)]],0),"")</f>
        <v>0</v>
      </c>
      <c r="MJ45" s="30" t="str">
        <f>IFERROR(IF(AVERAGE(DATA[[#This Row],[Other manager 2: Current 2021/22 Minimum hourly pay rate ADJUSTED]],DATA[[#This Row],[Other manager 2: Current 2021/22 Maximum hourly pay rate ADJUSTED]])&lt;LIVING_WAGE_22_23,DATA[[#This Row],[Other manager 2: Numbers employed (Full Time Equivalent)]],0),"")</f>
        <v/>
      </c>
      <c r="MK45" s="30" t="str">
        <f>IFERROR(IF(AVERAGE(DATA[[#This Row],[Other manager 3: Current 2021/22 Minimum hourly pay rate ADJUSTED]],DATA[[#This Row],[Other manager 3: Current 2021/22 Maximum hourly pay rate ADJUSTED]])&lt;LIVING_WAGE_22_23,DATA[[#This Row],[Other manager 3: Numbers employed (Full Time Equivalent)]],0),"")</f>
        <v/>
      </c>
      <c r="ML45" s="30">
        <f>IFERROR(IF(AVERAGE(DATA[[#This Row],[Care Assistant 1: Current 2021/22 Minimum hourly pay rate ADJUSTED]],DATA[[#This Row],[Care Assistant 1: Current 2021/22 Maximum hourly pay rate ADJUSTED]])&lt;LIVING_WAGE_22_23,DATA[[#This Row],[Care Assistant 1: Numbers employed (Full Time Equivalent)]],0),"")</f>
        <v>0</v>
      </c>
      <c r="MM45" s="30" t="str">
        <f>IFERROR(IF(AVERAGE(DATA[[#This Row],[Care Assistant 2: Current 2021/22 Minimum hourly pay rate ADJUSTED]],DATA[[#This Row],[Care Assistant 2: Current 2021/22 Maximum hourly pay rate ADJUSTED]])&lt;LIVING_WAGE_22_23,DATA[[#This Row],[Care Assistant 2: Numbers employed (Full Time Equivalent)]],0),"")</f>
        <v/>
      </c>
      <c r="MN45" s="30" t="str">
        <f>IFERROR(IF(AVERAGE(DATA[[#This Row],[Care Assistant 3: Current 2021/22 Minimum hourly pay rate ADJUSTED]],DATA[[#This Row],[Care Assistant 3: Current 2021/22 Maximum hourly pay rate ADJUSTED]])&lt;LIVING_WAGE_22_23,DATA[[#This Row],[Care Assistant 3: Numbers employed (Full Time Equivalent)]],0),"")</f>
        <v/>
      </c>
      <c r="MO45" s="30" t="str">
        <f>IFERROR(IF(AVERAGE(DATA[[#This Row],[Care Assistant 4: Current 2021/22 Minimum hourly pay rate ADJUSTED]],DATA[[#This Row],[Care Assistant 4: Current 2021/22 Maximum hourly pay rate ADJUSTED]])&lt;LIVING_WAGE_22_23,DATA[[#This Row],[Care Assistant 4: Numbers employed (Full Time Equivalent)]],0),"")</f>
        <v/>
      </c>
      <c r="MP45"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45"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45" s="30" t="str">
        <f>IFERROR(IF(AVERAGE(DATA[[#This Row],[Other staff 1: Current 2021/22 Minimum hourly pay rate ADJUSTED]],DATA[[#This Row],[Other staff 1: Current 2021/22 Maximum hourly pay rate ADJUSTED]])&lt;LIVING_WAGE_22_23,DATA[[#This Row],[Other staff 1: Numbers employed (Full Time Equivalent)]],0),"")</f>
        <v/>
      </c>
      <c r="MS45" s="30" t="str">
        <f>IFERROR(IF(AVERAGE(DATA[[#This Row],[Other staff 2: Current 2021/22 Minimum hourly pay rate ADJUSTED]],DATA[[#This Row],[Other staff 2: Current 2021/22 Maximum hourly pay rate ADJUSTED]])&lt;LIVING_WAGE_22_23,DATA[[#This Row],[Other staff 2: Numbers employed (Full Time Equivalent)]],0),"")</f>
        <v/>
      </c>
      <c r="MT45" s="30" t="str">
        <f>IFERROR(IF(AVERAGE(DATA[[#This Row],[Other staff 3: Current 2021/22 Minimum hourly pay rate ADJUSTED]],DATA[[#This Row],[Other staff 3: Current 2021/22 Maximum hourly pay rate ADJUSTED]])&lt;LIVING_WAGE_22_23,DATA[[#This Row],[Other staff 3: Numbers employed (Full Time Equivalent)]],0),"")</f>
        <v/>
      </c>
      <c r="MU45" s="30">
        <f>SUM(DATA[[#This Row],[Registered Manager FTE earning less than NLW 23yrs 2022/23]:[Other staff 3 FTE earning less than NLW 23yrs 2022/23]])</f>
        <v>0</v>
      </c>
      <c r="MV45"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45"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45"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45"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5"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5"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45"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45"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45"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5"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45"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45"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45"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45"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5" s="30" t="b">
        <v>1</v>
      </c>
      <c r="NK45" s="30" t="b">
        <v>1</v>
      </c>
      <c r="NL45" s="30" t="s">
        <v>505</v>
      </c>
      <c r="NM45" s="30">
        <f>SUM(DATA[[#This Row],[Management staff HOURLY RATE]:[Training and development HOURLY RATE]])</f>
        <v>15.339563167731319</v>
      </c>
      <c r="NN45" s="30">
        <f>SUM(DATA[[#This Row],[Recruitment &amp; advertising (including DBS checks) HOURLY RATE]:[Non-Staffing Direct Cost: Other  - please specify (amount) 2 HOURLY RATE]])</f>
        <v>0.11205333482105498</v>
      </c>
      <c r="NO45" s="30">
        <f>SUM(DATA[[#This Row],[Insurance  HOURLY RATE]:[Indirect costs: Other  - please specify (amount) 2 HOURLY RATE]])</f>
        <v>4.0029010572121958E-2</v>
      </c>
      <c r="NP45" s="30">
        <f>SUM(DATA[[#This Row],[Central / Regional Management HOURLY RATE]:[Corporate Overheads: Other  - please specify (amount) 2 HOURLY RATE]])</f>
        <v>2.7420569611425701E-2</v>
      </c>
      <c r="NQ45"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45" s="30" t="str">
        <f>IFERROR(IF(AVERAGE(DATA[[#This Row],[Deputy manager: Current 2021/22 Minimum hourly pay rate ADJUSTED]],DATA[[#This Row],[Deputy manager: Current 2021/22 Maximum hourly pay rate ADJUSTED]])&lt;REAL_LIVING_WAGE_22_23,DATA[[#This Row],[Deputy manager: Numbers employed (Full Time Equivalent)]],0),"")</f>
        <v/>
      </c>
      <c r="NS45" s="30">
        <f>IFERROR(IF(AVERAGE(DATA[[#This Row],[Other manager 1: Current 2021/22 Minimum hourly pay rate ADJUSTED]],DATA[[#This Row],[Other manager 1: Current 2021/22 Maximum hourly pay rate ADJUSTED]])&lt;REAL_LIVING_WAGE_22_23,DATA[[#This Row],[Other manager 1: Numbers employed (Full Time Equivalent)]],0),"")</f>
        <v>0</v>
      </c>
      <c r="NT45" s="30" t="str">
        <f>IFERROR(IF(AVERAGE(DATA[[#This Row],[Other manager 2: Current 2021/22 Minimum hourly pay rate ADJUSTED]],DATA[[#This Row],[Other manager 2: Current 2021/22 Maximum hourly pay rate ADJUSTED]])&lt;REAL_LIVING_WAGE_22_23,DATA[[#This Row],[Other manager 2: Numbers employed (Full Time Equivalent)]],0),"")</f>
        <v/>
      </c>
      <c r="NU45" s="30" t="str">
        <f>IFERROR(IF(AVERAGE(DATA[[#This Row],[Other manager 3: Current 2021/22 Minimum hourly pay rate ADJUSTED]],DATA[[#This Row],[Other manager 3: Current 2021/22 Maximum hourly pay rate ADJUSTED]])&lt;REAL_LIVING_WAGE_22_23,DATA[[#This Row],[Other manager 3: Numbers employed (Full Time Equivalent)]],0),"")</f>
        <v/>
      </c>
      <c r="NV45" s="30">
        <f>IFERROR(IF(AVERAGE(DATA[[#This Row],[Care Assistant 1: Current 2021/22 Minimum hourly pay rate ADJUSTED]],DATA[[#This Row],[Care Assistant 1: Current 2021/22 Maximum hourly pay rate ADJUSTED]])&lt;REAL_LIVING_WAGE_22_23,DATA[[#This Row],[Care Assistant 1: Numbers employed (Full Time Equivalent)]],0),"")</f>
        <v>0</v>
      </c>
      <c r="NW45"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45"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45"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5"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45"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45" s="30" t="str">
        <f>IFERROR(IF(AVERAGE(DATA[[#This Row],[Other staff 1: Current 2021/22 Minimum hourly pay rate ADJUSTED]],DATA[[#This Row],[Other staff 1: Current 2021/22 Maximum hourly pay rate ADJUSTED]])&lt;REAL_LIVING_WAGE_22_23,DATA[[#This Row],[Other staff 1: Numbers employed (Full Time Equivalent)]],0),"")</f>
        <v/>
      </c>
      <c r="OC45" s="30" t="str">
        <f>IFERROR(IF(AVERAGE(DATA[[#This Row],[Other staff 2: Current 2021/22 Minimum hourly pay rate ADJUSTED]],DATA[[#This Row],[Other staff 2: Current 2021/22 Maximum hourly pay rate ADJUSTED]])&lt;REAL_LIVING_WAGE_22_23,DATA[[#This Row],[Other staff 2: Numbers employed (Full Time Equivalent)]],0),"")</f>
        <v/>
      </c>
      <c r="OD45" s="30" t="str">
        <f>IFERROR(IF(AVERAGE(DATA[[#This Row],[Other staff 3: Current 2021/22 Minimum hourly pay rate ADJUSTED]],DATA[[#This Row],[Other staff 3: Current 2021/22 Maximum hourly pay rate ADJUSTED]])&lt;REAL_LIVING_WAGE_22_23,DATA[[#This Row],[Other staff 3: Numbers employed (Full Time Equivalent)]],0),"")</f>
        <v/>
      </c>
      <c r="OE45" s="30">
        <f>SUM(DATA[[#This Row],[Registered Manager FTE earning less than RLW 23yrs 2022/23]:[Other staff 3 FTE earning less than RLW 23yrs 2022/23]])</f>
        <v>0</v>
      </c>
      <c r="OF45"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45"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45"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45"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5"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5"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45"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45"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45"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5"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45"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45"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45"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45"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5" s="30">
        <f>IFERROR(IF(DATA[[#This Row],[Registered manager: Numbers employed (Full Time Equivalent)]]=0,"",DATA[[#This Row],[Registered manager: Current 2021/22 Minimum hourly pay rate ADJUSTED 2]]*DATA[[#This Row],[Registered manager: Numbers employed (Full Time Equivalent)]]),"")</f>
        <v>2.6376000000000004</v>
      </c>
      <c r="OU45" s="30">
        <f>IFERROR(IF(DATA[[#This Row],[Registered manager: Numbers employed (Full Time Equivalent)]]=0,"",DATA[[#This Row],[Registered manager: Current 2021/22 Maximum hourly pay rate ADJUSTED 2]]*DATA[[#This Row],[Registered manager: Numbers employed (Full Time Equivalent)]]),"")</f>
        <v>2.6376000000000004</v>
      </c>
      <c r="OV45" s="30">
        <f>IFERROR(IF(DATA[[#This Row],[Registered manager: Numbers employed (Full Time Equivalent)]]=0,"",DATA[[#This Row],[Registered manager: Previous 2020/21 Minimum hourly pay rate ADJUSTED 2]]*DATA[[#This Row],[Registered manager: Numbers employed (Full Time Equivalent)]]),"")</f>
        <v>2.5857999999999999</v>
      </c>
      <c r="OW45" s="30">
        <f>IFERROR(IF(DATA[[#This Row],[Registered manager: Numbers employed (Full Time Equivalent)]]=0,"",DATA[[#This Row],[Registered manager: Previous 2020/21 Maximum hourly pay rate ADJUSTED 2]]*DATA[[#This Row],[Registered manager: Numbers employed (Full Time Equivalent)]]),"")</f>
        <v>2.5857999999999999</v>
      </c>
      <c r="OX45" s="30" t="str">
        <f>IFERROR(IF(DATA[[#This Row],[Deputy manager: Numbers employed (Full Time Equivalent)]]=0,"",DATA[[#This Row],[Deputy manager: Current 2021/22 Minimum hourly pay rate ADJUSTED 2]]*DATA[[#This Row],[Deputy manager: Numbers employed (Full Time Equivalent)]]),"")</f>
        <v/>
      </c>
      <c r="OY45" s="30" t="str">
        <f>IFERROR(IF(DATA[[#This Row],[Deputy manager: Numbers employed (Full Time Equivalent)]]=0,"",DATA[[#This Row],[Deputy manager: Current 2021/22 Maximum hourly pay rate ADJUSTED 2]]*DATA[[#This Row],[Deputy manager: Numbers employed (Full Time Equivalent)]]),"")</f>
        <v/>
      </c>
      <c r="OZ45" s="30" t="str">
        <f>IFERROR(IF(DATA[[#This Row],[Deputy manager: Numbers employed (Full Time Equivalent)]]=0,"",DATA[[#This Row],[Deputy manager: Previous 2020/21 Minimum hourly pay rate ADJUSTED 2]]*DATA[[#This Row],[Deputy manager: Numbers employed (Full Time Equivalent)]]),"")</f>
        <v/>
      </c>
      <c r="PA45" s="30" t="str">
        <f>IFERROR(IF(DATA[[#This Row],[Deputy manager: Numbers employed (Full Time Equivalent)]]=0,"",DATA[[#This Row],[Deputy manager: Previous 2020/21 Maximum hourly pay rate ADJUSTED 2]]*DATA[[#This Row],[Deputy manager: Numbers employed (Full Time Equivalent)]]),"")</f>
        <v/>
      </c>
      <c r="PB45" s="30">
        <f>IFERROR(IF(DATA[[#This Row],[Other manager 1: Numbers employed (Full Time Equivalent)]]=0,"",DATA[[#This Row],[Other manager 1: Current 2021/22 Minimum hourly pay rate ADJUSTED 2]]*DATA[[#This Row],[Other manager 1: Numbers employed (Full Time Equivalent)]]),"")</f>
        <v>26.06</v>
      </c>
      <c r="PC45" s="30">
        <f>IFERROR(IF(DATA[[#This Row],[Other manager 1: Numbers employed (Full Time Equivalent)]]=0,"",DATA[[#This Row],[Other manager 1: Current 2021/22 Maximum hourly pay rate ADJUSTED 2]]*DATA[[#This Row],[Other manager 1: Numbers employed (Full Time Equivalent)]]),"")</f>
        <v>26.06</v>
      </c>
      <c r="PD45" s="30">
        <f>IFERROR(IF(DATA[[#This Row],[Other manager 1: Numbers employed (Full Time Equivalent)]]=0,"",DATA[[#This Row],[Other manager 1: Previous 2020/21 Minimum hourly pay rate ADJUSTED 2]]*DATA[[#This Row],[Other manager 1: Numbers employed (Full Time Equivalent)]]),"")</f>
        <v>25.56</v>
      </c>
      <c r="PE45" s="30">
        <f>IFERROR(IF(DATA[[#This Row],[Other manager 1: Numbers employed (Full Time Equivalent)]]=0,"",DATA[[#This Row],[Other manager 1: Previous 2020/21 Maximum hourly pay rate ADJUSTED 2]]*DATA[[#This Row],[Other manager 1: Numbers employed (Full Time Equivalent)]]),"")</f>
        <v>25.56</v>
      </c>
      <c r="PF45" s="30" t="str">
        <f>IFERROR(IF(DATA[[#This Row],[Other manager 2: Numbers employed (Full Time Equivalent)]]=0,"",DATA[[#This Row],[Other manager 2: Current 2021/22 Minimum hourly pay rate ADJUSTED 2]]*DATA[[#This Row],[Other manager 2: Numbers employed (Full Time Equivalent)]]),"")</f>
        <v/>
      </c>
      <c r="PG45" s="30" t="str">
        <f>IFERROR(IF(DATA[[#This Row],[Other manager 2: Numbers employed (Full Time Equivalent)]]=0,"",DATA[[#This Row],[Other manager 2: Current 2021/22 Maximum hourly pay rate ADJUSTED 2]]*DATA[[#This Row],[Other manager 2: Numbers employed (Full Time Equivalent)]]),"")</f>
        <v/>
      </c>
      <c r="PH45" s="30" t="str">
        <f>IFERROR(IF(DATA[[#This Row],[Other manager 2: Numbers employed (Full Time Equivalent)]]=0,"",DATA[[#This Row],[Other manager 2: Previous 2020/21 Minimum hourly pay rate ADJUSTED 2]]*DATA[[#This Row],[Other manager 2: Numbers employed (Full Time Equivalent)]]),"")</f>
        <v/>
      </c>
      <c r="PI45" s="30" t="str">
        <f>IFERROR(IF(DATA[[#This Row],[Other manager 2: Numbers employed (Full Time Equivalent)]]=0,"",DATA[[#This Row],[Other manager 2: Previous 2020/21 Maximum hourly pay rate ADJUSTED 2]]*DATA[[#This Row],[Other manager 2: Numbers employed (Full Time Equivalent)]]),"")</f>
        <v/>
      </c>
      <c r="PJ45" s="30" t="str">
        <f>IFERROR(IF(DATA[[#This Row],[Other manager 3: Numbers employed (Full Time Equivalent)]]=0,"",DATA[[#This Row],[Other manager 3: Current 2021/22 Minimum hourly pay rate ADJUSTED 2]]*DATA[[#This Row],[Other manager 3: Numbers employed (Full Time Equivalent)]]),"")</f>
        <v/>
      </c>
      <c r="PK45" s="30" t="str">
        <f>IFERROR(IF(DATA[[#This Row],[Other manager 3: Numbers employed (Full Time Equivalent)]]=0,"",DATA[[#This Row],[Other manager 3: Current 2021/22 Maximum hourly pay rate ADJUSTED 2]]*DATA[[#This Row],[Other manager 3: Numbers employed (Full Time Equivalent)]]),"")</f>
        <v/>
      </c>
      <c r="PL45" s="30" t="str">
        <f>IFERROR(IF(DATA[[#This Row],[Other manager 3: Numbers employed (Full Time Equivalent)]]=0,"",DATA[[#This Row],[Other manager 3: Previous 2020/21 Minimum hourly pay rate ADJUSTED 2]]*DATA[[#This Row],[Other manager 3: Numbers employed (Full Time Equivalent)]]),"")</f>
        <v/>
      </c>
      <c r="PM45" s="30" t="str">
        <f>IFERROR(IF(DATA[[#This Row],[Other manager 3: Numbers employed (Full Time Equivalent)]]=0,"",DATA[[#This Row],[Other manager 3: Previous 2020/21 Maximum hourly pay rate ADJUSTED 2]]*DATA[[#This Row],[Other manager 3: Numbers employed (Full Time Equivalent)]]),"")</f>
        <v/>
      </c>
      <c r="PN45" s="30">
        <f>IFERROR(IF(DATA[[#This Row],[Care Assistant 1: Numbers employed (Full Time Equivalent)]]=0,"",DATA[[#This Row],[Care Assistant 1: Current 2021/22 Minimum hourly pay rate ADJUSTED 2]]*DATA[[#This Row],[Care Assistant 1: Numbers employed (Full Time Equivalent)]]),"")</f>
        <v>166.60000000000002</v>
      </c>
      <c r="PO45" s="30">
        <f>IFERROR(IF(DATA[[#This Row],[Care Assistant 1: Numbers employed (Full Time Equivalent)]]=0,"",DATA[[#This Row],[Care Assistant 1: Current 2021/22 Maximum hourly pay rate ADJUSTED 2]]*DATA[[#This Row],[Care Assistant 1: Numbers employed (Full Time Equivalent)]]),"")</f>
        <v>175.10000000000002</v>
      </c>
      <c r="PP45" s="30">
        <f>IFERROR(IF(DATA[[#This Row],[Care Assistant 1: Numbers employed (Full Time Equivalent)]]=0,"",DATA[[#This Row],[Care Assistant 1: Previous 2020/21 Minimum hourly pay rate ADJUSTED 2]]*DATA[[#This Row],[Care Assistant 1: Numbers employed (Full Time Equivalent)]]),"")</f>
        <v>163.03</v>
      </c>
      <c r="PQ45" s="30">
        <f>IFERROR(IF(DATA[[#This Row],[Care Assistant 1: Numbers employed (Full Time Equivalent)]]=0,"",DATA[[#This Row],[Care Assistant 1: Previous 2020/21 Maximum hourly pay rate ADJUSTED 2]]*DATA[[#This Row],[Care Assistant 1: Numbers employed (Full Time Equivalent)]]),"")</f>
        <v>171.53</v>
      </c>
      <c r="PR45" s="30" t="str">
        <f>IFERROR(IF(DATA[[#This Row],[Care Assistant 2: Numbers employed (Full Time Equivalent)]]=0,"",DATA[[#This Row],[Care Assistant 2: Current 2021/22 Minimum hourly pay rate ADJUSTED 2]]*DATA[[#This Row],[Care Assistant 2: Numbers employed (Full Time Equivalent)]]),"")</f>
        <v/>
      </c>
      <c r="PS45" s="30" t="str">
        <f>IFERROR(IF(DATA[[#This Row],[Care Assistant 2: Numbers employed (Full Time Equivalent)]]=0,"",DATA[[#This Row],[Care Assistant 2: Current 2021/22 Maximum hourly pay rate ADJUSTED 2]]*DATA[[#This Row],[Care Assistant 2: Numbers employed (Full Time Equivalent)]]),"")</f>
        <v/>
      </c>
      <c r="PT45" s="30" t="str">
        <f>IFERROR(IF(DATA[[#This Row],[Care Assistant 2: Numbers employed (Full Time Equivalent)]]=0,"",DATA[[#This Row],[Care Assistant 2: Previous 2020/21 Minimum hourly pay rate ADJUSTED 2]]*DATA[[#This Row],[Care Assistant 2: Numbers employed (Full Time Equivalent)]]),"")</f>
        <v/>
      </c>
      <c r="PU45" s="30" t="str">
        <f>IFERROR(IF(DATA[[#This Row],[Care Assistant 2: Numbers employed (Full Time Equivalent)]]=0,"",DATA[[#This Row],[Care Assistant 2: Previous 2020/21 Maximum hourly pay rate ADJUSTED 2]]*DATA[[#This Row],[Care Assistant 2: Numbers employed (Full Time Equivalent)]]),"")</f>
        <v/>
      </c>
      <c r="PV45" s="30" t="str">
        <f>IFERROR(IF(DATA[[#This Row],[Care Assistant 3: Numbers employed (Full Time Equivalent)]]=0,"",DATA[[#This Row],[Care Assistant 3: Current 2021/22 Minimum hourly pay rate ADJUSTED 2]]*DATA[[#This Row],[Care Assistant 3: Numbers employed (Full Time Equivalent)]]),"")</f>
        <v/>
      </c>
      <c r="PW45" s="30" t="str">
        <f>IFERROR(IF(DATA[[#This Row],[Care Assistant 3: Numbers employed (Full Time Equivalent)]]=0,"",DATA[[#This Row],[Care Assistant 3: Current 2021/22 Maximum hourly pay rate ADJUSTED 2]]*DATA[[#This Row],[Care Assistant 3: Numbers employed (Full Time Equivalent)]]),"")</f>
        <v/>
      </c>
      <c r="PX45" s="30" t="str">
        <f>IFERROR(IF(DATA[[#This Row],[Care Assistant 3: Numbers employed (Full Time Equivalent)]]=0,"",DATA[[#This Row],[Care Assistant 3: Previous 2020/21 Minimum hourly pay rate ADJUSTED 2]]*DATA[[#This Row],[Care Assistant 3: Numbers employed (Full Time Equivalent)]]),"")</f>
        <v/>
      </c>
      <c r="PY45" s="30" t="str">
        <f>IFERROR(IF(DATA[[#This Row],[Care Assistant 3: Numbers employed (Full Time Equivalent)]]=0,"",DATA[[#This Row],[Care Assistant 3: Previous 2020/21 Maximum hourly pay rate ADJUSTED 2]]*DATA[[#This Row],[Care Assistant 3: Numbers employed (Full Time Equivalent)]]),"")</f>
        <v/>
      </c>
      <c r="PZ45" s="30" t="str">
        <f>IFERROR(IF(DATA[[#This Row],[Care Assistant 4: Numbers employed (Full Time Equivalent)]]=0,"",DATA[[#This Row],[Care Assistant 4: Current 2021/22 Minimum hourly pay rate ADJUSTED 2]]*DATA[[#This Row],[Care Assistant 4: Numbers employed (Full Time Equivalent)]]),"")</f>
        <v/>
      </c>
      <c r="QA45" s="30" t="str">
        <f>IFERROR(IF(DATA[[#This Row],[Care Assistant 4: Numbers employed (Full Time Equivalent)]]=0,"",DATA[[#This Row],[Care Assistant 4: Current 2021/22 Maximum hourly pay rate ADJUSTED 2]]*DATA[[#This Row],[Care Assistant 4: Numbers employed (Full Time Equivalent)]]),"")</f>
        <v/>
      </c>
      <c r="QB45" s="30" t="str">
        <f>IFERROR(IF(DATA[[#This Row],[Care Assistant 4: Numbers employed (Full Time Equivalent)]]=0,"",DATA[[#This Row],[Care Assistant 4: Previous 2020/21 Minimum hourly pay rate ADJUSTED 2]]*DATA[[#This Row],[Care Assistant 4: Numbers employed (Full Time Equivalent)]]),"")</f>
        <v/>
      </c>
      <c r="QC45" s="30" t="str">
        <f>IFERROR(IF(DATA[[#This Row],[Care Assistant 4: Numbers employed (Full Time Equivalent)]]=0,"",DATA[[#This Row],[Care Assistant 4: Previous 2020/21 Maximum hourly pay rate ADJUSTED 2]]*DATA[[#This Row],[Care Assistant 4: Numbers employed (Full Time Equivalent)]]),"")</f>
        <v/>
      </c>
      <c r="QD45" s="30">
        <f>IFERROR(IF(DATA[[#This Row],[Administrative Officer 1: Numbers employed (Full Time Equivalent)]]=0,"",DATA[[#This Row],[Administrative Officer 1: Current 2021/22 Minimum hourly pay rate ADJUSTED 2]]*DATA[[#This Row],[Administrative Officer 1: Numbers employed (Full Time Equivalent)]]),"")</f>
        <v>10.3</v>
      </c>
      <c r="QE45" s="30">
        <f>IFERROR(IF(DATA[[#This Row],[Administrative Officer 1: Numbers employed (Full Time Equivalent)]]=0,"",DATA[[#This Row],[Administrative Officer 1: Current 2021/22 Maximum hourly pay rate ADJUSTED 2]]*DATA[[#This Row],[Administrative Officer 1: Numbers employed (Full Time Equivalent)]]),"")</f>
        <v>10.3</v>
      </c>
      <c r="QF45" s="30">
        <f>IFERROR(IF(DATA[[#This Row],[Administrative Officer 1: Numbers employed (Full Time Equivalent)]]=0,"",DATA[[#This Row],[Administrative Officer 1: Previous 2020/21 Minimum hourly pay rate ADJUSTED 2]]*DATA[[#This Row],[Administrative Officer 1: Numbers employed (Full Time Equivalent)]]),"")</f>
        <v>10.1</v>
      </c>
      <c r="QG45" s="30">
        <f>IFERROR(IF(DATA[[#This Row],[Administrative Officer 1: Numbers employed (Full Time Equivalent)]]=0,"",DATA[[#This Row],[Administrative Officer 1: Previous 2020/21 Maximum hourly pay rate ADJUSTED 2]]*DATA[[#This Row],[Administrative Officer 1: Numbers employed (Full Time Equivalent)]]),"")</f>
        <v>10.1</v>
      </c>
      <c r="QH45" s="30" t="str">
        <f>IFERROR(IF(DATA[[#This Row],[Administrative Officer 2: Numbers employed (Full Time Equivalent)]]=0,"",DATA[[#This Row],[Administrative Officer 2: Current 2021/22 Minimum hourly pay rate ADJUSTED 2]]*DATA[[#This Row],[Administrative Officer 2: Numbers employed (Full Time Equivalent)]]),"")</f>
        <v/>
      </c>
      <c r="QI45" s="30" t="str">
        <f>IFERROR(IF(DATA[[#This Row],[Administrative Officer 2: Numbers employed (Full Time Equivalent)]]=0,"",DATA[[#This Row],[Administrative Officer 2: Current 2021/22 Maximum hourly pay rate ADJUSTED 2]]*DATA[[#This Row],[Administrative Officer 2: Numbers employed (Full Time Equivalent)]]),"")</f>
        <v/>
      </c>
      <c r="QJ45" s="30" t="str">
        <f>IFERROR(IF(DATA[[#This Row],[Administrative Officer 2: Numbers employed (Full Time Equivalent)]]=0,"",DATA[[#This Row],[Administrative Officer 2: Previous 2020/21 Minimum hourly pay rate ADJUSTED 2]]*DATA[[#This Row],[Administrative Officer 2: Numbers employed (Full Time Equivalent)]]),"")</f>
        <v/>
      </c>
      <c r="QK45" s="30" t="str">
        <f>IFERROR(IF(DATA[[#This Row],[Administrative Officer 2: Numbers employed (Full Time Equivalent)]]=0,"",DATA[[#This Row],[Administrative Officer 2: Previous 2020/21 Maximum hourly pay rate ADJUSTED 2]]*DATA[[#This Row],[Administrative Officer 2: Numbers employed (Full Time Equivalent)]]),"")</f>
        <v/>
      </c>
      <c r="QL45" s="30" t="str">
        <f>IFERROR(IF(DATA[[#This Row],[Administrative Officer 3: Numbers employed (Full Time Equivalent)]]=0,"",DATA[[#This Row],[Administrative Officer 3: Current 2021/22 Minimum hourly pay rate ADJUSTED 2]]*DATA[[#This Row],[Administrative Officer 3: Numbers employed (Full Time Equivalent)]]),"")</f>
        <v/>
      </c>
      <c r="QM45" s="30" t="str">
        <f>IFERROR(IF(DATA[[#This Row],[Administrative Officer 3: Numbers employed (Full Time Equivalent)]]=0,"",DATA[[#This Row],[Administrative Officer 3: Current 2021/22 Maximum hourly pay rate ADJUSTED 2]]*DATA[[#This Row],[Administrative Officer 3: Numbers employed (Full Time Equivalent)]]),"")</f>
        <v/>
      </c>
      <c r="QN45" s="30" t="str">
        <f>IFERROR(IF(DATA[[#This Row],[Administrative Officer 3: Numbers employed (Full Time Equivalent)]]=0,"",DATA[[#This Row],[Administrative Officer 3: Previous 2020/21 Minimum hourly pay rate ADJUSTED 2]]*DATA[[#This Row],[Administrative Officer 3: Numbers employed (Full Time Equivalent)]]),"")</f>
        <v/>
      </c>
      <c r="QO45" s="30" t="str">
        <f>IFERROR(IF(DATA[[#This Row],[Administrative Officer 3: Numbers employed (Full Time Equivalent)]]=0,"",DATA[[#This Row],[Administrative Officer 3: Previous 2020/21 Maximum hourly pay rate ADJUSTED 2]]*DATA[[#This Row],[Administrative Officer 3: Numbers employed (Full Time Equivalent)]]),"")</f>
        <v/>
      </c>
      <c r="QP45" s="28" t="str">
        <f>IFERROR(IF(DATA[[#This Row],[Other staff 1: Numbers employed (Full Time Equivalent)]]=0,"",DATA[[#This Row],[Other staff 1: Current 2021/22 Minimum hourly pay rate ADJUSTED 2]]*DATA[[#This Row],[Other staff 1: Numbers employed (Full Time Equivalent)]]),"")</f>
        <v/>
      </c>
      <c r="QQ45" s="28" t="str">
        <f>IFERROR(IF(DATA[[#This Row],[Other staff 1: Numbers employed (Full Time Equivalent)]]=0,"",DATA[[#This Row],[Other staff 1: Current 2021/22 Maximum hourly pay rate ADJUSTED 2]]*DATA[[#This Row],[Other staff 1: Numbers employed (Full Time Equivalent)]]),"")</f>
        <v/>
      </c>
      <c r="QR45" s="28" t="str">
        <f>IFERROR(IF(DATA[[#This Row],[Other staff 1: Numbers employed (Full Time Equivalent)]]=0,"",DATA[[#This Row],[Other staff 1: Previous 2020/21 Minimum hourly pay rate ADJUSTED 2]]*DATA[[#This Row],[Other staff 1: Numbers employed (Full Time Equivalent)]]),"")</f>
        <v/>
      </c>
      <c r="QS45" s="28" t="str">
        <f>IFERROR(IF(DATA[[#This Row],[Other staff 1: Numbers employed (Full Time Equivalent)]]=0,"",DATA[[#This Row],[Other staff 1: Previous 2020/21 Maximum hourly pay rate ADJUSTED 2]]*DATA[[#This Row],[Other staff 1: Numbers employed (Full Time Equivalent)]]),"")</f>
        <v/>
      </c>
      <c r="QT45" s="28" t="str">
        <f>IFERROR(IF(DATA[[#This Row],[Other staff 2: Numbers employed (Full Time Equivalent)]]=0,"",DATA[[#This Row],[Other staff 2: Current 2021/22 Minimum hourly pay rate ADJUSTED 2]]*DATA[[#This Row],[Other staff 2: Numbers employed (Full Time Equivalent)]]),"")</f>
        <v/>
      </c>
      <c r="QU45" s="28" t="str">
        <f>IFERROR(IF(DATA[[#This Row],[Other staff 2: Numbers employed (Full Time Equivalent)]]=0,"",DATA[[#This Row],[Other staff 2: Current 2021/22 Maximum hourly pay rate ADJUSTED 2]]*DATA[[#This Row],[Other staff 2: Numbers employed (Full Time Equivalent)]]),"")</f>
        <v/>
      </c>
      <c r="QV45" s="28" t="str">
        <f>IFERROR(IF(DATA[[#This Row],[Other staff 2: Numbers employed (Full Time Equivalent)]]=0,"",DATA[[#This Row],[Other staff 2: Previous 2020/21 Minimum hourly pay rate ADJUSTED 2]]*DATA[[#This Row],[Other staff 2: Numbers employed (Full Time Equivalent)]]),"")</f>
        <v/>
      </c>
      <c r="QW45" s="28" t="str">
        <f>IFERROR(IF(DATA[[#This Row],[Other staff 2: Numbers employed (Full Time Equivalent)]]=0,"",DATA[[#This Row],[Other staff 2: Previous 2020/21 Maximum hourly pay rate ADJUSTED 2]]*DATA[[#This Row],[Other staff 2: Numbers employed (Full Time Equivalent)]]),"")</f>
        <v/>
      </c>
      <c r="QX45" s="28" t="str">
        <f>IFERROR(IF(DATA[[#This Row],[Other staff 3: Numbers employed (Full Time Equivalent)]]=0,"",DATA[[#This Row],[Other staff 3: Current 2021/22 Minimum hourly pay rate ADJUSTED 2]]*DATA[[#This Row],[Other staff 3: Numbers employed (Full Time Equivalent)]]),"")</f>
        <v/>
      </c>
      <c r="QY45" s="28" t="str">
        <f>IFERROR(IF(DATA[[#This Row],[Other staff 3: Numbers employed (Full Time Equivalent)]]=0,"",DATA[[#This Row],[Other staff 3: Current 2021/22 Maximum hourly pay rate ADJUSTED 2]]*DATA[[#This Row],[Other staff 3: Numbers employed (Full Time Equivalent)]]),"")</f>
        <v/>
      </c>
      <c r="QZ45" s="28" t="str">
        <f>IFERROR(IF(DATA[[#This Row],[Other staff 3: Numbers employed (Full Time Equivalent)]]=0,"",DATA[[#This Row],[Other staff 3: Previous 2020/21 Minimum hourly pay rate ADJUSTED 2]]*DATA[[#This Row],[Other staff 3: Numbers employed (Full Time Equivalent)]]),"")</f>
        <v/>
      </c>
      <c r="RA45" s="28" t="str">
        <f>IFERROR(IF(DATA[[#This Row],[Other staff 3: Numbers employed (Full Time Equivalent)]]=0,"",DATA[[#This Row],[Other staff 3: Previous 2020/21 Maximum hourly pay rate ADJUSTED 2]]*DATA[[#This Row],[Other staff 3: Numbers employed (Full Time Equivalent)]]),"")</f>
        <v/>
      </c>
      <c r="RB45"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0.14000000000000001</v>
      </c>
      <c r="RC45"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45"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2</v>
      </c>
      <c r="RE45"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5"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5"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17</v>
      </c>
      <c r="RH45"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45"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45"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5"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45"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45"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5"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45"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45"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6" spans="7:484" x14ac:dyDescent="0.25">
      <c r="G46" s="2">
        <v>40</v>
      </c>
      <c r="H46" s="2">
        <v>0</v>
      </c>
      <c r="I46" s="2">
        <v>31</v>
      </c>
      <c r="J46" s="2">
        <v>0</v>
      </c>
      <c r="K46" s="2">
        <v>1</v>
      </c>
      <c r="L46" s="2" t="s">
        <v>240</v>
      </c>
      <c r="M46" s="2" t="s">
        <v>328</v>
      </c>
      <c r="R46" s="2">
        <v>21.44</v>
      </c>
      <c r="S46" s="2">
        <v>21.44</v>
      </c>
      <c r="T46" s="2">
        <v>20.6142</v>
      </c>
      <c r="U46" s="2">
        <v>20.6142</v>
      </c>
      <c r="V46" s="2">
        <v>0.14000000000000001</v>
      </c>
      <c r="W46" s="2">
        <v>0</v>
      </c>
      <c r="X46" s="2">
        <v>0</v>
      </c>
      <c r="Y46" s="2">
        <v>0</v>
      </c>
      <c r="Z46" s="2">
        <v>0</v>
      </c>
      <c r="AA46" s="2">
        <v>1</v>
      </c>
      <c r="AB46" s="2" t="s">
        <v>315</v>
      </c>
      <c r="AC46" s="2">
        <v>13.03</v>
      </c>
      <c r="AD46" s="2">
        <v>13.03</v>
      </c>
      <c r="AE46" s="2">
        <v>12.709199999999999</v>
      </c>
      <c r="AF46" s="2">
        <v>12.709199999999999</v>
      </c>
      <c r="AG46" s="2">
        <v>2.6</v>
      </c>
      <c r="AH46" s="2" t="s">
        <v>315</v>
      </c>
      <c r="AI46" s="2">
        <v>0</v>
      </c>
      <c r="AJ46" s="2">
        <v>0</v>
      </c>
      <c r="AK46" s="2">
        <v>0</v>
      </c>
      <c r="AL46" s="2">
        <v>0</v>
      </c>
      <c r="AM46" s="2">
        <v>0</v>
      </c>
      <c r="AN46" s="2" t="s">
        <v>315</v>
      </c>
      <c r="AO46" s="2">
        <v>0</v>
      </c>
      <c r="AP46" s="2">
        <v>0</v>
      </c>
      <c r="AQ46" s="2">
        <v>0</v>
      </c>
      <c r="AR46" s="2">
        <v>0</v>
      </c>
      <c r="AS46" s="2">
        <v>0</v>
      </c>
      <c r="AT46" s="2" t="s">
        <v>316</v>
      </c>
      <c r="AU46" s="2">
        <v>9.8000000000000007</v>
      </c>
      <c r="AV46" s="2">
        <v>10.3</v>
      </c>
      <c r="AW46" s="2">
        <v>9.59</v>
      </c>
      <c r="AX46" s="2">
        <v>10.09</v>
      </c>
      <c r="AY46" s="2">
        <v>15</v>
      </c>
      <c r="AZ46" s="2" t="s">
        <v>316</v>
      </c>
      <c r="BA46" s="2">
        <v>0</v>
      </c>
      <c r="BB46" s="2">
        <v>0</v>
      </c>
      <c r="BC46" s="2">
        <v>0</v>
      </c>
      <c r="BD46" s="2">
        <v>0</v>
      </c>
      <c r="BE46" s="2">
        <v>0</v>
      </c>
      <c r="BF46" s="2" t="s">
        <v>316</v>
      </c>
      <c r="BG46" s="2">
        <v>0</v>
      </c>
      <c r="BH46" s="2">
        <v>0</v>
      </c>
      <c r="BI46" s="2">
        <v>0</v>
      </c>
      <c r="BJ46" s="2">
        <v>0</v>
      </c>
      <c r="BK46" s="2">
        <v>0</v>
      </c>
      <c r="BL46" s="2" t="s">
        <v>316</v>
      </c>
      <c r="BM46" s="2">
        <v>0</v>
      </c>
      <c r="BN46" s="2">
        <v>0</v>
      </c>
      <c r="BO46" s="2">
        <v>0</v>
      </c>
      <c r="BP46" s="2">
        <v>0</v>
      </c>
      <c r="BQ46" s="2">
        <v>0</v>
      </c>
      <c r="BR46" s="2" t="s">
        <v>496</v>
      </c>
      <c r="BS46" s="2">
        <v>10.3</v>
      </c>
      <c r="BT46" s="2">
        <v>10.3</v>
      </c>
      <c r="BU46" s="2">
        <v>9.9041999999999994</v>
      </c>
      <c r="BV46" s="2">
        <v>9.9041999999999994</v>
      </c>
      <c r="BW46" s="2">
        <v>1</v>
      </c>
      <c r="BX46" s="2" t="s">
        <v>317</v>
      </c>
      <c r="BY46" s="2">
        <v>0</v>
      </c>
      <c r="BZ46" s="2">
        <v>0</v>
      </c>
      <c r="CA46" s="2">
        <v>0</v>
      </c>
      <c r="CB46" s="2">
        <v>0</v>
      </c>
      <c r="CC46" s="2">
        <v>0</v>
      </c>
      <c r="CD46" s="2" t="s">
        <v>317</v>
      </c>
      <c r="CE46" s="2">
        <v>0</v>
      </c>
      <c r="CF46" s="2">
        <v>0</v>
      </c>
      <c r="CG46" s="2">
        <v>0</v>
      </c>
      <c r="CH46" s="2">
        <v>0</v>
      </c>
      <c r="CI46" s="2">
        <v>0</v>
      </c>
      <c r="CJ46" s="2" t="s">
        <v>497</v>
      </c>
      <c r="CK46" s="2">
        <v>0</v>
      </c>
      <c r="CL46" s="2">
        <v>0</v>
      </c>
      <c r="CM46" s="2">
        <v>0</v>
      </c>
      <c r="CN46" s="2">
        <v>0</v>
      </c>
      <c r="CO46" s="2">
        <v>2</v>
      </c>
      <c r="CP46" s="2" t="s">
        <v>318</v>
      </c>
      <c r="CQ46" s="2">
        <v>0</v>
      </c>
      <c r="CR46" s="2">
        <v>0</v>
      </c>
      <c r="CS46" s="2">
        <v>0</v>
      </c>
      <c r="CT46" s="2">
        <v>0</v>
      </c>
      <c r="CU46" s="2">
        <v>0</v>
      </c>
      <c r="CV46" s="2" t="s">
        <v>318</v>
      </c>
      <c r="CW46" s="2">
        <v>0</v>
      </c>
      <c r="CX46" s="2">
        <v>0</v>
      </c>
      <c r="CY46" s="2">
        <v>0</v>
      </c>
      <c r="CZ46" s="2">
        <v>0</v>
      </c>
      <c r="DA46" s="2">
        <v>0</v>
      </c>
      <c r="DB46" s="2">
        <v>0.05</v>
      </c>
      <c r="DC46" s="2">
        <v>0</v>
      </c>
      <c r="DD46" s="2">
        <v>0</v>
      </c>
      <c r="DE46" s="2">
        <v>0</v>
      </c>
      <c r="DF46" s="2">
        <v>0</v>
      </c>
      <c r="DG46" s="2">
        <v>0</v>
      </c>
      <c r="DH46" s="2">
        <v>0</v>
      </c>
      <c r="DI46" s="2">
        <v>588.5</v>
      </c>
      <c r="DJ46" s="2">
        <v>0</v>
      </c>
      <c r="DK46" s="2">
        <v>0</v>
      </c>
      <c r="DL46" s="2">
        <v>20.75</v>
      </c>
      <c r="DM46" s="2">
        <v>0</v>
      </c>
      <c r="DN46" s="2">
        <v>28.5</v>
      </c>
      <c r="DO46" s="2">
        <v>15.58</v>
      </c>
      <c r="DP46" s="2">
        <v>17.32</v>
      </c>
      <c r="DQ46" s="2">
        <v>15.58</v>
      </c>
      <c r="DR46" s="18">
        <v>43922</v>
      </c>
      <c r="DS46" s="18">
        <v>44286</v>
      </c>
      <c r="DT46" s="2">
        <v>30014</v>
      </c>
      <c r="DU46" s="2">
        <v>59163.71</v>
      </c>
      <c r="DV46" s="2">
        <v>402673</v>
      </c>
      <c r="DW46" s="2">
        <v>22505</v>
      </c>
      <c r="DX46" s="2">
        <v>0</v>
      </c>
      <c r="DY46" s="2">
        <v>0</v>
      </c>
      <c r="DZ46" s="2">
        <v>0</v>
      </c>
      <c r="EA46" s="2">
        <v>0</v>
      </c>
      <c r="EB46" s="2">
        <v>11403</v>
      </c>
      <c r="EC46" s="2">
        <v>460</v>
      </c>
      <c r="ED46" s="2">
        <v>0</v>
      </c>
      <c r="EE46" s="2">
        <v>1061.28</v>
      </c>
      <c r="EF46" s="2">
        <v>0</v>
      </c>
      <c r="EG46" s="2">
        <v>3107</v>
      </c>
      <c r="EH46" s="2" t="s">
        <v>324</v>
      </c>
      <c r="EI46" s="2">
        <v>0</v>
      </c>
      <c r="EJ46" s="2" t="s">
        <v>324</v>
      </c>
      <c r="EK46" s="2">
        <v>0</v>
      </c>
      <c r="EL46" s="2">
        <v>0</v>
      </c>
      <c r="EM46" s="2">
        <v>0</v>
      </c>
      <c r="EN46" s="2">
        <v>0</v>
      </c>
      <c r="EO46" s="2">
        <v>0</v>
      </c>
      <c r="EP46" s="2">
        <v>1200</v>
      </c>
      <c r="EQ46" s="2">
        <v>0</v>
      </c>
      <c r="ER46" s="2">
        <v>0</v>
      </c>
      <c r="ES46" s="2">
        <v>0</v>
      </c>
      <c r="ET46" s="2" t="s">
        <v>498</v>
      </c>
      <c r="EU46" s="2">
        <v>2194</v>
      </c>
      <c r="EV46" s="2" t="s">
        <v>324</v>
      </c>
      <c r="EW46" s="2">
        <v>0</v>
      </c>
      <c r="EX46" s="2">
        <v>0</v>
      </c>
      <c r="EY46" s="2">
        <v>0</v>
      </c>
      <c r="EZ46" s="2" t="s">
        <v>326</v>
      </c>
      <c r="FA46" s="2">
        <v>0</v>
      </c>
      <c r="FB46" s="2" t="s">
        <v>326</v>
      </c>
      <c r="FC46" s="2">
        <v>0</v>
      </c>
      <c r="FD46" s="2"/>
      <c r="FE46" s="2">
        <v>0</v>
      </c>
      <c r="FF46" s="2">
        <v>0</v>
      </c>
      <c r="FG46" s="2"/>
      <c r="FH46" s="19">
        <v>44480.624513888892</v>
      </c>
      <c r="FI46" s="2" t="s">
        <v>345</v>
      </c>
      <c r="FJ46" s="2">
        <f>SUM(DATA[[#This Row],[Number of Home support clients:]],DATA[[#This Row],[Number of supported living clients:]])</f>
        <v>31</v>
      </c>
      <c r="FK46"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31-40</v>
      </c>
      <c r="FL46"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21.44</v>
      </c>
      <c r="FM46"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21.44</v>
      </c>
      <c r="FN46"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20.6142</v>
      </c>
      <c r="FO46"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20.6142</v>
      </c>
      <c r="FP46"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46"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46"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46"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46"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13.03</v>
      </c>
      <c r="FU46"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13.03</v>
      </c>
      <c r="FV46"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12.709199999999999</v>
      </c>
      <c r="FW46"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12.709199999999999</v>
      </c>
      <c r="FX46"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6"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6"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6"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6"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6"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6"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6"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6"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9.8000000000000007</v>
      </c>
      <c r="GG46"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10.3</v>
      </c>
      <c r="GH46"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9.59</v>
      </c>
      <c r="GI46"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10.09</v>
      </c>
      <c r="GJ46"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46"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46"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46"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46"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46"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46"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46"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46"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6"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6"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6"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6"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10.3</v>
      </c>
      <c r="GW46"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10.3</v>
      </c>
      <c r="GX46"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9.9041999999999994</v>
      </c>
      <c r="GY46"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9.9041999999999994</v>
      </c>
      <c r="GZ46"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46"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46"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46"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46"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6"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6"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6"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6"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46"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46"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46"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46"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46"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46"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46"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46"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6"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6"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6"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6"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21.44</v>
      </c>
      <c r="HU46"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21.44</v>
      </c>
      <c r="HV46"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20.6142</v>
      </c>
      <c r="HW46"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20.6142</v>
      </c>
      <c r="HX46"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46"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46"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46"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46"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13.03</v>
      </c>
      <c r="IC46"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13.03</v>
      </c>
      <c r="ID46"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12.709199999999999</v>
      </c>
      <c r="IE46"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12.709199999999999</v>
      </c>
      <c r="IF46"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6"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6"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6"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6"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6"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6"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6"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6"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9.8000000000000007</v>
      </c>
      <c r="IO46"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10.3</v>
      </c>
      <c r="IP46"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9.59</v>
      </c>
      <c r="IQ46"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10.09</v>
      </c>
      <c r="IR46"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46"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46"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46"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46"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46"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46"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46"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46"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6"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6"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6"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6"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10.3</v>
      </c>
      <c r="JE46"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10.3</v>
      </c>
      <c r="JF46"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9.9041999999999994</v>
      </c>
      <c r="JG46"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9.9041999999999994</v>
      </c>
      <c r="JH46"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46"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46"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46"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46"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6"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6"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6"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6"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46"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46"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46"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46"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46"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46"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46"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46"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6"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6"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6"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6"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3.74</v>
      </c>
      <c r="KC46" s="21">
        <f>SUM(DATA[[#This Row],[Care Assistant 1: Numbers employed (Full Time Equivalent)]],DATA[[#This Row],[Care Assistant 2: Numbers employed (Full Time Equivalent)]],DATA[[#This Row],[Care Assistant 3: Numbers employed (Full Time Equivalent)]],DATA[[#This Row],[Care Assistant 4: Numbers employed (Full Time Equivalent)]])</f>
        <v>15</v>
      </c>
      <c r="KD46" s="21">
        <f>SUM(DATA[[#This Row],[Administrative Officer 1: Numbers employed (Full Time Equivalent)]],DATA[[#This Row],[Administrative Officer 2: Numbers employed (Full Time Equivalent)]])</f>
        <v>1</v>
      </c>
      <c r="KE46" s="21">
        <f>SUM(DATA[[#This Row],[Other staff 1: Numbers employed (Full Time Equivalent)]],DATA[[#This Row],[Other staff 2: Numbers employed (Full Time Equivalent)]],DATA[[#This Row],[Other staff 3: Numbers employed (Full Time Equivalent)]])</f>
        <v>2</v>
      </c>
      <c r="KF46" s="21">
        <f>SUM(DATA[[#This Row],[Total FTE Management Employees]:[Total FTE Other Employees]])</f>
        <v>21.740000000000002</v>
      </c>
      <c r="KG46" s="21" t="str">
        <f>IF(SUM(DATA[[#This Row],[Home Support service split percentage (Expenditure):]],DATA[[#This Row],[Supported Living service split percentage (Expenditure):]])&gt;0, IF(DATA[[#This Row],[Home Support service split percentage (Expenditure):]]&gt;0.5,"Home Support","Supported Living"), "Unknown")</f>
        <v>Supported Living</v>
      </c>
      <c r="KH46" s="21">
        <f>SUM(DATA[[#This Row],[Home Support: Birmingham City Council]:[Home Support: Self-funded]])</f>
        <v>0</v>
      </c>
      <c r="KI46" s="21">
        <f>SUM(DATA[[#This Row],[Supported Living: Birmingham City Council]:[Supported Living: Self-funded]])</f>
        <v>637.75</v>
      </c>
      <c r="KJ46"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6"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6"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6"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6" s="21" t="b">
        <f>SUM(DATA[[#This Row],[Number of hours of care charged for in last full accounting year]:[Corporate Overheads: Other  - please specify (category) 1]])&gt;0</f>
        <v>1</v>
      </c>
      <c r="KO46" s="21">
        <f>SUM(DATA[[#This Row],[Total annual expenditure: Management staff]:[Total annual expenditure: Training and development]])</f>
        <v>495744.71</v>
      </c>
      <c r="KP46" s="21">
        <f>SUM(DATA[[#This Row],[Recruitment &amp; advertising (including DBS checks)]:[Non-Staffing Direct Cost: Other  - please specify (amount) 2]])</f>
        <v>4628.28</v>
      </c>
      <c r="KQ46" s="21">
        <f>SUM(DATA[[#This Row],[Insurance ]:[Indirect costs: Other 2 - please specify (amount)]])</f>
        <v>3394</v>
      </c>
      <c r="KR46" s="21">
        <f>SUM(DATA[[#This Row],[Central / Regional Management]],DATA[[#This Row],[Support Services (finance / HR / Payroll / legal etc.)]],DATA[[#This Row],[Corporate Overheads: Other  - please specify (amount) 1]],DATA[[#This Row],[Corporate Overheads: Other  - please specify (amount) 2]])</f>
        <v>0</v>
      </c>
      <c r="KS46"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1.9712037715732658</v>
      </c>
      <c r="KT46"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13.416172452855335</v>
      </c>
      <c r="KU46"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0.74981675218231492</v>
      </c>
      <c r="KV46"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46"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46"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46"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46"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0.37992270273872192</v>
      </c>
      <c r="LA46"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1.5326181115479443E-2</v>
      </c>
      <c r="LB46"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46" s="30">
        <f>IF(OR(NOT(DATA[[#This Row],[Care consumables &amp; uniforms]]&gt;0),NOT(DATA[[#This Row],[Number of hours of care charged for in last full accounting year]]&gt;0)),0,DATA[[#This Row],[Care consumables &amp; uniforms]]/DATA[[#This Row],[Number of hours of care charged for in last full accounting year]])</f>
        <v>3.5359498900513091E-2</v>
      </c>
      <c r="LD46" s="30">
        <f>IF(OR(NOT(DATA[[#This Row],[Electronic call monitoring]]&gt;0),NOT(DATA[[#This Row],[Number of hours of care charged for in last full accounting year]]&gt;0)),0,DATA[[#This Row],[Electronic call monitoring]]/DATA[[#This Row],[Number of hours of care charged for in last full accounting year]])</f>
        <v>0</v>
      </c>
      <c r="LE46" s="30">
        <f>IF(OR(NOT(DATA[[#This Row],[IT Equipment &amp; Telephoney]]&gt;0),NOT(DATA[[#This Row],[Number of hours of care charged for in last full accounting year]]&gt;0)),0,DATA[[#This Row],[IT Equipment &amp; Telephoney]]/DATA[[#This Row],[Number of hours of care charged for in last full accounting year]])</f>
        <v>0.10351835809955354</v>
      </c>
      <c r="LF46"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46"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46" s="30">
        <f>IF(OR(NOT(DATA[[#This Row],[Insurance ]]&gt;0),NOT(DATA[[#This Row],[Number of hours of care charged for in last full accounting year]]&gt;0)),0,DATA[[#This Row],[Insurance ]]/DATA[[#This Row],[Number of hours of care charged for in last full accounting year]])</f>
        <v>0</v>
      </c>
      <c r="LI46"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46" s="30">
        <f>IF(OR(NOT(DATA[[#This Row],[Repairs and maintenance]]&gt;0),NOT(DATA[[#This Row],[Number of hours of care charged for in last full accounting year]]&gt;0)),0,DATA[[#This Row],[Repairs and maintenance]]/DATA[[#This Row],[Number of hours of care charged for in last full accounting year]])</f>
        <v>0</v>
      </c>
      <c r="LK46"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46" s="30">
        <f>IF(OR(NOT(DATA[[#This Row],[Registration &amp; Inspection fees ]]&gt;0),NOT(DATA[[#This Row],[Number of hours of care charged for in last full accounting year]]&gt;0)),0,DATA[[#This Row],[Registration &amp; Inspection fees ]]/DATA[[#This Row],[Number of hours of care charged for in last full accounting year]])</f>
        <v>3.9981342040381153E-2</v>
      </c>
      <c r="LM46" s="30">
        <f>IF(OR(NOT(DATA[[#This Row],[Subscriptions]]&gt;0),NOT(DATA[[#This Row],[Number of hours of care charged for in last full accounting year]]&gt;0)),0,DATA[[#This Row],[Subscriptions]]/DATA[[#This Row],[Number of hours of care charged for in last full accounting year]])</f>
        <v>0</v>
      </c>
      <c r="LN46" s="30">
        <f>IF(OR(NOT(DATA[[#This Row],[Cost of finance]]&gt;0),NOT(DATA[[#This Row],[Number of hours of care charged for in last full accounting year]]&gt;0)),0,DATA[[#This Row],[Cost of finance]]/DATA[[#This Row],[Number of hours of care charged for in last full accounting year]])</f>
        <v>0</v>
      </c>
      <c r="LO46" s="30">
        <f>IF(OR(NOT(DATA[[#This Row],[Other non-staff current expenses]]&gt;0),NOT(DATA[[#This Row],[Number of hours of care charged for in last full accounting year]]&gt;0)),0,DATA[[#This Row],[Other non-staff current expenses]]/DATA[[#This Row],[Number of hours of care charged for in last full accounting year]])</f>
        <v>0</v>
      </c>
      <c r="LP46"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7.3099220363830208E-2</v>
      </c>
      <c r="LQ46"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6" s="30">
        <f>IF(OR(NOT(DATA[[#This Row],[Central / Regional Management]]&gt;0),NOT(DATA[[#This Row],[Number of hours of care charged for in last full accounting year]]&gt;0)),0,DATA[[#This Row],[Central / Regional Management]]/DATA[[#This Row],[Number of hours of care charged for in last full accounting year]])</f>
        <v>0</v>
      </c>
      <c r="LS46"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46"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46"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6" s="30">
        <f>SUM(DATA[[#This Row],[Management staff HOURLY RATE]:[Corporate Overheads: Other  - please specify (amount) 2 HOURLY RATE]])</f>
        <v>16.784400279869391</v>
      </c>
      <c r="LW46" s="30" t="str">
        <f>IF(OR(NOT(DATA[[#This Row],[Net Operating Profit]]&gt;0),NOT(DATA[[#This Row],[Number of hours of care charged for in last full accounting year]]&gt;0)),"",DATA[[#This Row],[Net Operating Profit]]/DATA[[#This Row],[Number of hours of care charged for in last full accounting year]])</f>
        <v/>
      </c>
      <c r="LX46" s="30">
        <f>IF(OR(NOT(DATA[[#This Row],[Return on Capital employed]]&gt;0),NOT(DATA[[#This Row],[Number of hours of care charged for in last full accounting year]]&gt;0)),0,DATA[[#This Row],[Return on Capital employed]]/DATA[[#This Row],[Number of hours of care charged for in last full accounting year]])</f>
        <v>0</v>
      </c>
      <c r="LY46" s="31">
        <v>40</v>
      </c>
      <c r="LZ46" s="30" t="s">
        <v>345</v>
      </c>
      <c r="MA46" s="30" t="b">
        <f>DATA[[#This Row],[Number of Home support clients:]]&gt;0</f>
        <v>0</v>
      </c>
      <c r="MB46" s="30" t="b">
        <f>DATA[[#This Row],[Number of supported living clients:]]&gt;0</f>
        <v>1</v>
      </c>
      <c r="MC46" s="30" t="b">
        <f>DATA[[#This Row],[Total Home Support Hours]]&gt;0</f>
        <v>0</v>
      </c>
      <c r="MD46" s="30" t="b">
        <f>DATA[[#This Row],[Total Supported Living Hours]]&gt;0</f>
        <v>1</v>
      </c>
      <c r="ME46" s="30" t="b">
        <f>DATA[[#This Row],[Home Support service split percentage (Expenditure):]]&gt;0.5</f>
        <v>0</v>
      </c>
      <c r="MF46" s="30" t="b">
        <f>DATA[[#This Row],[Agency staff HOURLY RATE]]=0</f>
        <v>1</v>
      </c>
      <c r="MG46" s="30">
        <f>IFERROR(IF(AVERAGE(DATA[[#This Row],[Registered manager: Current 2021/22 Minimum hourly pay rate ADJUSTED]],DATA[[#This Row],[Registered manager: Current 2021/22 Maximum hourly pay rate ADJUSTED]])&lt;LIVING_WAGE_22_23,DATA[[#This Row],[Registered manager: Numbers employed (Full Time Equivalent)]],0),"")</f>
        <v>0</v>
      </c>
      <c r="MH46" s="30" t="str">
        <f>IFERROR(IF(AVERAGE(DATA[[#This Row],[Deputy manager: Current 2021/22 Minimum hourly pay rate ADJUSTED]],DATA[[#This Row],[Deputy manager: Current 2021/22 Maximum hourly pay rate ADJUSTED]])&lt;LIVING_WAGE_22_23,DATA[[#This Row],[Deputy manager: Numbers employed (Full Time Equivalent)]],0),"")</f>
        <v/>
      </c>
      <c r="MI46" s="30">
        <f>IFERROR(IF(AVERAGE(DATA[[#This Row],[Other manager 1: Current 2021/22 Minimum hourly pay rate ADJUSTED]],DATA[[#This Row],[Other manager 1: Current 2021/22 Maximum hourly pay rate ADJUSTED]])&lt;LIVING_WAGE_22_23,DATA[[#This Row],[Other manager 1: Numbers employed (Full Time Equivalent)]],0),"")</f>
        <v>0</v>
      </c>
      <c r="MJ46" s="30" t="str">
        <f>IFERROR(IF(AVERAGE(DATA[[#This Row],[Other manager 2: Current 2021/22 Minimum hourly pay rate ADJUSTED]],DATA[[#This Row],[Other manager 2: Current 2021/22 Maximum hourly pay rate ADJUSTED]])&lt;LIVING_WAGE_22_23,DATA[[#This Row],[Other manager 2: Numbers employed (Full Time Equivalent)]],0),"")</f>
        <v/>
      </c>
      <c r="MK46" s="30" t="str">
        <f>IFERROR(IF(AVERAGE(DATA[[#This Row],[Other manager 3: Current 2021/22 Minimum hourly pay rate ADJUSTED]],DATA[[#This Row],[Other manager 3: Current 2021/22 Maximum hourly pay rate ADJUSTED]])&lt;LIVING_WAGE_22_23,DATA[[#This Row],[Other manager 3: Numbers employed (Full Time Equivalent)]],0),"")</f>
        <v/>
      </c>
      <c r="ML46" s="30">
        <f>IFERROR(IF(AVERAGE(DATA[[#This Row],[Care Assistant 1: Current 2021/22 Minimum hourly pay rate ADJUSTED]],DATA[[#This Row],[Care Assistant 1: Current 2021/22 Maximum hourly pay rate ADJUSTED]])&lt;LIVING_WAGE_22_23,DATA[[#This Row],[Care Assistant 1: Numbers employed (Full Time Equivalent)]],0),"")</f>
        <v>0</v>
      </c>
      <c r="MM46" s="30" t="str">
        <f>IFERROR(IF(AVERAGE(DATA[[#This Row],[Care Assistant 2: Current 2021/22 Minimum hourly pay rate ADJUSTED]],DATA[[#This Row],[Care Assistant 2: Current 2021/22 Maximum hourly pay rate ADJUSTED]])&lt;LIVING_WAGE_22_23,DATA[[#This Row],[Care Assistant 2: Numbers employed (Full Time Equivalent)]],0),"")</f>
        <v/>
      </c>
      <c r="MN46" s="30" t="str">
        <f>IFERROR(IF(AVERAGE(DATA[[#This Row],[Care Assistant 3: Current 2021/22 Minimum hourly pay rate ADJUSTED]],DATA[[#This Row],[Care Assistant 3: Current 2021/22 Maximum hourly pay rate ADJUSTED]])&lt;LIVING_WAGE_22_23,DATA[[#This Row],[Care Assistant 3: Numbers employed (Full Time Equivalent)]],0),"")</f>
        <v/>
      </c>
      <c r="MO46" s="30" t="str">
        <f>IFERROR(IF(AVERAGE(DATA[[#This Row],[Care Assistant 4: Current 2021/22 Minimum hourly pay rate ADJUSTED]],DATA[[#This Row],[Care Assistant 4: Current 2021/22 Maximum hourly pay rate ADJUSTED]])&lt;LIVING_WAGE_22_23,DATA[[#This Row],[Care Assistant 4: Numbers employed (Full Time Equivalent)]],0),"")</f>
        <v/>
      </c>
      <c r="MP46"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46"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46" s="30" t="str">
        <f>IFERROR(IF(AVERAGE(DATA[[#This Row],[Other staff 1: Current 2021/22 Minimum hourly pay rate ADJUSTED]],DATA[[#This Row],[Other staff 1: Current 2021/22 Maximum hourly pay rate ADJUSTED]])&lt;LIVING_WAGE_22_23,DATA[[#This Row],[Other staff 1: Numbers employed (Full Time Equivalent)]],0),"")</f>
        <v/>
      </c>
      <c r="MS46" s="30" t="str">
        <f>IFERROR(IF(AVERAGE(DATA[[#This Row],[Other staff 2: Current 2021/22 Minimum hourly pay rate ADJUSTED]],DATA[[#This Row],[Other staff 2: Current 2021/22 Maximum hourly pay rate ADJUSTED]])&lt;LIVING_WAGE_22_23,DATA[[#This Row],[Other staff 2: Numbers employed (Full Time Equivalent)]],0),"")</f>
        <v/>
      </c>
      <c r="MT46" s="30" t="str">
        <f>IFERROR(IF(AVERAGE(DATA[[#This Row],[Other staff 3: Current 2021/22 Minimum hourly pay rate ADJUSTED]],DATA[[#This Row],[Other staff 3: Current 2021/22 Maximum hourly pay rate ADJUSTED]])&lt;LIVING_WAGE_22_23,DATA[[#This Row],[Other staff 3: Numbers employed (Full Time Equivalent)]],0),"")</f>
        <v/>
      </c>
      <c r="MU46" s="30">
        <f>SUM(DATA[[#This Row],[Registered Manager FTE earning less than NLW 23yrs 2022/23]:[Other staff 3 FTE earning less than NLW 23yrs 2022/23]])</f>
        <v>0</v>
      </c>
      <c r="MV46"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46"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46"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46"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6"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6"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46"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46"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46"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6"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46"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46"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46"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46"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6" s="30" t="b">
        <v>0</v>
      </c>
      <c r="NK46" s="30" t="b">
        <v>1</v>
      </c>
      <c r="NL46" s="30" t="s">
        <v>972</v>
      </c>
      <c r="NM46" s="30">
        <f>SUM(DATA[[#This Row],[Management staff HOURLY RATE]:[Training and development HOURLY RATE]])</f>
        <v>16.517115679349637</v>
      </c>
      <c r="NN46" s="30">
        <f>SUM(DATA[[#This Row],[Recruitment &amp; advertising (including DBS checks) HOURLY RATE]:[Non-Staffing Direct Cost: Other  - please specify (amount) 2 HOURLY RATE]])</f>
        <v>0.15420403811554606</v>
      </c>
      <c r="NO46" s="30">
        <f>SUM(DATA[[#This Row],[Insurance  HOURLY RATE]:[Indirect costs: Other  - please specify (amount) 2 HOURLY RATE]])</f>
        <v>0.11308056240421135</v>
      </c>
      <c r="NP46" s="30">
        <f>SUM(DATA[[#This Row],[Central / Regional Management HOURLY RATE]:[Corporate Overheads: Other  - please specify (amount) 2 HOURLY RATE]])</f>
        <v>0</v>
      </c>
      <c r="NQ46"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46" s="30" t="str">
        <f>IFERROR(IF(AVERAGE(DATA[[#This Row],[Deputy manager: Current 2021/22 Minimum hourly pay rate ADJUSTED]],DATA[[#This Row],[Deputy manager: Current 2021/22 Maximum hourly pay rate ADJUSTED]])&lt;REAL_LIVING_WAGE_22_23,DATA[[#This Row],[Deputy manager: Numbers employed (Full Time Equivalent)]],0),"")</f>
        <v/>
      </c>
      <c r="NS46" s="30">
        <f>IFERROR(IF(AVERAGE(DATA[[#This Row],[Other manager 1: Current 2021/22 Minimum hourly pay rate ADJUSTED]],DATA[[#This Row],[Other manager 1: Current 2021/22 Maximum hourly pay rate ADJUSTED]])&lt;REAL_LIVING_WAGE_22_23,DATA[[#This Row],[Other manager 1: Numbers employed (Full Time Equivalent)]],0),"")</f>
        <v>0</v>
      </c>
      <c r="NT46" s="30" t="str">
        <f>IFERROR(IF(AVERAGE(DATA[[#This Row],[Other manager 2: Current 2021/22 Minimum hourly pay rate ADJUSTED]],DATA[[#This Row],[Other manager 2: Current 2021/22 Maximum hourly pay rate ADJUSTED]])&lt;REAL_LIVING_WAGE_22_23,DATA[[#This Row],[Other manager 2: Numbers employed (Full Time Equivalent)]],0),"")</f>
        <v/>
      </c>
      <c r="NU46" s="30" t="str">
        <f>IFERROR(IF(AVERAGE(DATA[[#This Row],[Other manager 3: Current 2021/22 Minimum hourly pay rate ADJUSTED]],DATA[[#This Row],[Other manager 3: Current 2021/22 Maximum hourly pay rate ADJUSTED]])&lt;REAL_LIVING_WAGE_22_23,DATA[[#This Row],[Other manager 3: Numbers employed (Full Time Equivalent)]],0),"")</f>
        <v/>
      </c>
      <c r="NV46" s="30">
        <f>IFERROR(IF(AVERAGE(DATA[[#This Row],[Care Assistant 1: Current 2021/22 Minimum hourly pay rate ADJUSTED]],DATA[[#This Row],[Care Assistant 1: Current 2021/22 Maximum hourly pay rate ADJUSTED]])&lt;REAL_LIVING_WAGE_22_23,DATA[[#This Row],[Care Assistant 1: Numbers employed (Full Time Equivalent)]],0),"")</f>
        <v>0</v>
      </c>
      <c r="NW46"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46"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46"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6"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46"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46" s="30" t="str">
        <f>IFERROR(IF(AVERAGE(DATA[[#This Row],[Other staff 1: Current 2021/22 Minimum hourly pay rate ADJUSTED]],DATA[[#This Row],[Other staff 1: Current 2021/22 Maximum hourly pay rate ADJUSTED]])&lt;REAL_LIVING_WAGE_22_23,DATA[[#This Row],[Other staff 1: Numbers employed (Full Time Equivalent)]],0),"")</f>
        <v/>
      </c>
      <c r="OC46" s="30" t="str">
        <f>IFERROR(IF(AVERAGE(DATA[[#This Row],[Other staff 2: Current 2021/22 Minimum hourly pay rate ADJUSTED]],DATA[[#This Row],[Other staff 2: Current 2021/22 Maximum hourly pay rate ADJUSTED]])&lt;REAL_LIVING_WAGE_22_23,DATA[[#This Row],[Other staff 2: Numbers employed (Full Time Equivalent)]],0),"")</f>
        <v/>
      </c>
      <c r="OD46" s="30" t="str">
        <f>IFERROR(IF(AVERAGE(DATA[[#This Row],[Other staff 3: Current 2021/22 Minimum hourly pay rate ADJUSTED]],DATA[[#This Row],[Other staff 3: Current 2021/22 Maximum hourly pay rate ADJUSTED]])&lt;REAL_LIVING_WAGE_22_23,DATA[[#This Row],[Other staff 3: Numbers employed (Full Time Equivalent)]],0),"")</f>
        <v/>
      </c>
      <c r="OE46" s="30">
        <f>SUM(DATA[[#This Row],[Registered Manager FTE earning less than RLW 23yrs 2022/23]:[Other staff 3 FTE earning less than RLW 23yrs 2022/23]])</f>
        <v>0</v>
      </c>
      <c r="OF46"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46"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46"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46"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6"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6"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46"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46"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46"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6"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46"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46"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46"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46"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6" s="30">
        <f>IFERROR(IF(DATA[[#This Row],[Registered manager: Numbers employed (Full Time Equivalent)]]=0,"",DATA[[#This Row],[Registered manager: Current 2021/22 Minimum hourly pay rate ADJUSTED 2]]*DATA[[#This Row],[Registered manager: Numbers employed (Full Time Equivalent)]]),"")</f>
        <v>3.0016000000000003</v>
      </c>
      <c r="OU46" s="30">
        <f>IFERROR(IF(DATA[[#This Row],[Registered manager: Numbers employed (Full Time Equivalent)]]=0,"",DATA[[#This Row],[Registered manager: Current 2021/22 Maximum hourly pay rate ADJUSTED 2]]*DATA[[#This Row],[Registered manager: Numbers employed (Full Time Equivalent)]]),"")</f>
        <v>3.0016000000000003</v>
      </c>
      <c r="OV46" s="30">
        <f>IFERROR(IF(DATA[[#This Row],[Registered manager: Numbers employed (Full Time Equivalent)]]=0,"",DATA[[#This Row],[Registered manager: Previous 2020/21 Minimum hourly pay rate ADJUSTED 2]]*DATA[[#This Row],[Registered manager: Numbers employed (Full Time Equivalent)]]),"")</f>
        <v>2.8859880000000002</v>
      </c>
      <c r="OW46" s="30">
        <f>IFERROR(IF(DATA[[#This Row],[Registered manager: Numbers employed (Full Time Equivalent)]]=0,"",DATA[[#This Row],[Registered manager: Previous 2020/21 Maximum hourly pay rate ADJUSTED 2]]*DATA[[#This Row],[Registered manager: Numbers employed (Full Time Equivalent)]]),"")</f>
        <v>2.8859880000000002</v>
      </c>
      <c r="OX46" s="30" t="str">
        <f>IFERROR(IF(DATA[[#This Row],[Deputy manager: Numbers employed (Full Time Equivalent)]]=0,"",DATA[[#This Row],[Deputy manager: Current 2021/22 Minimum hourly pay rate ADJUSTED 2]]*DATA[[#This Row],[Deputy manager: Numbers employed (Full Time Equivalent)]]),"")</f>
        <v/>
      </c>
      <c r="OY46" s="30" t="str">
        <f>IFERROR(IF(DATA[[#This Row],[Deputy manager: Numbers employed (Full Time Equivalent)]]=0,"",DATA[[#This Row],[Deputy manager: Current 2021/22 Maximum hourly pay rate ADJUSTED 2]]*DATA[[#This Row],[Deputy manager: Numbers employed (Full Time Equivalent)]]),"")</f>
        <v/>
      </c>
      <c r="OZ46" s="30" t="str">
        <f>IFERROR(IF(DATA[[#This Row],[Deputy manager: Numbers employed (Full Time Equivalent)]]=0,"",DATA[[#This Row],[Deputy manager: Previous 2020/21 Minimum hourly pay rate ADJUSTED 2]]*DATA[[#This Row],[Deputy manager: Numbers employed (Full Time Equivalent)]]),"")</f>
        <v/>
      </c>
      <c r="PA46" s="30" t="str">
        <f>IFERROR(IF(DATA[[#This Row],[Deputy manager: Numbers employed (Full Time Equivalent)]]=0,"",DATA[[#This Row],[Deputy manager: Previous 2020/21 Maximum hourly pay rate ADJUSTED 2]]*DATA[[#This Row],[Deputy manager: Numbers employed (Full Time Equivalent)]]),"")</f>
        <v/>
      </c>
      <c r="PB46" s="30">
        <f>IFERROR(IF(DATA[[#This Row],[Other manager 1: Numbers employed (Full Time Equivalent)]]=0,"",DATA[[#This Row],[Other manager 1: Current 2021/22 Minimum hourly pay rate ADJUSTED 2]]*DATA[[#This Row],[Other manager 1: Numbers employed (Full Time Equivalent)]]),"")</f>
        <v>33.878</v>
      </c>
      <c r="PC46" s="30">
        <f>IFERROR(IF(DATA[[#This Row],[Other manager 1: Numbers employed (Full Time Equivalent)]]=0,"",DATA[[#This Row],[Other manager 1: Current 2021/22 Maximum hourly pay rate ADJUSTED 2]]*DATA[[#This Row],[Other manager 1: Numbers employed (Full Time Equivalent)]]),"")</f>
        <v>33.878</v>
      </c>
      <c r="PD46" s="30">
        <f>IFERROR(IF(DATA[[#This Row],[Other manager 1: Numbers employed (Full Time Equivalent)]]=0,"",DATA[[#This Row],[Other manager 1: Previous 2020/21 Minimum hourly pay rate ADJUSTED 2]]*DATA[[#This Row],[Other manager 1: Numbers employed (Full Time Equivalent)]]),"")</f>
        <v>33.04392</v>
      </c>
      <c r="PE46" s="30">
        <f>IFERROR(IF(DATA[[#This Row],[Other manager 1: Numbers employed (Full Time Equivalent)]]=0,"",DATA[[#This Row],[Other manager 1: Previous 2020/21 Maximum hourly pay rate ADJUSTED 2]]*DATA[[#This Row],[Other manager 1: Numbers employed (Full Time Equivalent)]]),"")</f>
        <v>33.04392</v>
      </c>
      <c r="PF46" s="30" t="str">
        <f>IFERROR(IF(DATA[[#This Row],[Other manager 2: Numbers employed (Full Time Equivalent)]]=0,"",DATA[[#This Row],[Other manager 2: Current 2021/22 Minimum hourly pay rate ADJUSTED 2]]*DATA[[#This Row],[Other manager 2: Numbers employed (Full Time Equivalent)]]),"")</f>
        <v/>
      </c>
      <c r="PG46" s="30" t="str">
        <f>IFERROR(IF(DATA[[#This Row],[Other manager 2: Numbers employed (Full Time Equivalent)]]=0,"",DATA[[#This Row],[Other manager 2: Current 2021/22 Maximum hourly pay rate ADJUSTED 2]]*DATA[[#This Row],[Other manager 2: Numbers employed (Full Time Equivalent)]]),"")</f>
        <v/>
      </c>
      <c r="PH46" s="30" t="str">
        <f>IFERROR(IF(DATA[[#This Row],[Other manager 2: Numbers employed (Full Time Equivalent)]]=0,"",DATA[[#This Row],[Other manager 2: Previous 2020/21 Minimum hourly pay rate ADJUSTED 2]]*DATA[[#This Row],[Other manager 2: Numbers employed (Full Time Equivalent)]]),"")</f>
        <v/>
      </c>
      <c r="PI46" s="30" t="str">
        <f>IFERROR(IF(DATA[[#This Row],[Other manager 2: Numbers employed (Full Time Equivalent)]]=0,"",DATA[[#This Row],[Other manager 2: Previous 2020/21 Maximum hourly pay rate ADJUSTED 2]]*DATA[[#This Row],[Other manager 2: Numbers employed (Full Time Equivalent)]]),"")</f>
        <v/>
      </c>
      <c r="PJ46" s="30" t="str">
        <f>IFERROR(IF(DATA[[#This Row],[Other manager 3: Numbers employed (Full Time Equivalent)]]=0,"",DATA[[#This Row],[Other manager 3: Current 2021/22 Minimum hourly pay rate ADJUSTED 2]]*DATA[[#This Row],[Other manager 3: Numbers employed (Full Time Equivalent)]]),"")</f>
        <v/>
      </c>
      <c r="PK46" s="30" t="str">
        <f>IFERROR(IF(DATA[[#This Row],[Other manager 3: Numbers employed (Full Time Equivalent)]]=0,"",DATA[[#This Row],[Other manager 3: Current 2021/22 Maximum hourly pay rate ADJUSTED 2]]*DATA[[#This Row],[Other manager 3: Numbers employed (Full Time Equivalent)]]),"")</f>
        <v/>
      </c>
      <c r="PL46" s="30" t="str">
        <f>IFERROR(IF(DATA[[#This Row],[Other manager 3: Numbers employed (Full Time Equivalent)]]=0,"",DATA[[#This Row],[Other manager 3: Previous 2020/21 Minimum hourly pay rate ADJUSTED 2]]*DATA[[#This Row],[Other manager 3: Numbers employed (Full Time Equivalent)]]),"")</f>
        <v/>
      </c>
      <c r="PM46" s="30" t="str">
        <f>IFERROR(IF(DATA[[#This Row],[Other manager 3: Numbers employed (Full Time Equivalent)]]=0,"",DATA[[#This Row],[Other manager 3: Previous 2020/21 Maximum hourly pay rate ADJUSTED 2]]*DATA[[#This Row],[Other manager 3: Numbers employed (Full Time Equivalent)]]),"")</f>
        <v/>
      </c>
      <c r="PN46" s="30">
        <f>IFERROR(IF(DATA[[#This Row],[Care Assistant 1: Numbers employed (Full Time Equivalent)]]=0,"",DATA[[#This Row],[Care Assistant 1: Current 2021/22 Minimum hourly pay rate ADJUSTED 2]]*DATA[[#This Row],[Care Assistant 1: Numbers employed (Full Time Equivalent)]]),"")</f>
        <v>147</v>
      </c>
      <c r="PO46" s="30">
        <f>IFERROR(IF(DATA[[#This Row],[Care Assistant 1: Numbers employed (Full Time Equivalent)]]=0,"",DATA[[#This Row],[Care Assistant 1: Current 2021/22 Maximum hourly pay rate ADJUSTED 2]]*DATA[[#This Row],[Care Assistant 1: Numbers employed (Full Time Equivalent)]]),"")</f>
        <v>154.5</v>
      </c>
      <c r="PP46" s="30">
        <f>IFERROR(IF(DATA[[#This Row],[Care Assistant 1: Numbers employed (Full Time Equivalent)]]=0,"",DATA[[#This Row],[Care Assistant 1: Previous 2020/21 Minimum hourly pay rate ADJUSTED 2]]*DATA[[#This Row],[Care Assistant 1: Numbers employed (Full Time Equivalent)]]),"")</f>
        <v>143.85</v>
      </c>
      <c r="PQ46" s="30">
        <f>IFERROR(IF(DATA[[#This Row],[Care Assistant 1: Numbers employed (Full Time Equivalent)]]=0,"",DATA[[#This Row],[Care Assistant 1: Previous 2020/21 Maximum hourly pay rate ADJUSTED 2]]*DATA[[#This Row],[Care Assistant 1: Numbers employed (Full Time Equivalent)]]),"")</f>
        <v>151.35</v>
      </c>
      <c r="PR46" s="30" t="str">
        <f>IFERROR(IF(DATA[[#This Row],[Care Assistant 2: Numbers employed (Full Time Equivalent)]]=0,"",DATA[[#This Row],[Care Assistant 2: Current 2021/22 Minimum hourly pay rate ADJUSTED 2]]*DATA[[#This Row],[Care Assistant 2: Numbers employed (Full Time Equivalent)]]),"")</f>
        <v/>
      </c>
      <c r="PS46" s="30" t="str">
        <f>IFERROR(IF(DATA[[#This Row],[Care Assistant 2: Numbers employed (Full Time Equivalent)]]=0,"",DATA[[#This Row],[Care Assistant 2: Current 2021/22 Maximum hourly pay rate ADJUSTED 2]]*DATA[[#This Row],[Care Assistant 2: Numbers employed (Full Time Equivalent)]]),"")</f>
        <v/>
      </c>
      <c r="PT46" s="30" t="str">
        <f>IFERROR(IF(DATA[[#This Row],[Care Assistant 2: Numbers employed (Full Time Equivalent)]]=0,"",DATA[[#This Row],[Care Assistant 2: Previous 2020/21 Minimum hourly pay rate ADJUSTED 2]]*DATA[[#This Row],[Care Assistant 2: Numbers employed (Full Time Equivalent)]]),"")</f>
        <v/>
      </c>
      <c r="PU46" s="30" t="str">
        <f>IFERROR(IF(DATA[[#This Row],[Care Assistant 2: Numbers employed (Full Time Equivalent)]]=0,"",DATA[[#This Row],[Care Assistant 2: Previous 2020/21 Maximum hourly pay rate ADJUSTED 2]]*DATA[[#This Row],[Care Assistant 2: Numbers employed (Full Time Equivalent)]]),"")</f>
        <v/>
      </c>
      <c r="PV46" s="30" t="str">
        <f>IFERROR(IF(DATA[[#This Row],[Care Assistant 3: Numbers employed (Full Time Equivalent)]]=0,"",DATA[[#This Row],[Care Assistant 3: Current 2021/22 Minimum hourly pay rate ADJUSTED 2]]*DATA[[#This Row],[Care Assistant 3: Numbers employed (Full Time Equivalent)]]),"")</f>
        <v/>
      </c>
      <c r="PW46" s="30" t="str">
        <f>IFERROR(IF(DATA[[#This Row],[Care Assistant 3: Numbers employed (Full Time Equivalent)]]=0,"",DATA[[#This Row],[Care Assistant 3: Current 2021/22 Maximum hourly pay rate ADJUSTED 2]]*DATA[[#This Row],[Care Assistant 3: Numbers employed (Full Time Equivalent)]]),"")</f>
        <v/>
      </c>
      <c r="PX46" s="30" t="str">
        <f>IFERROR(IF(DATA[[#This Row],[Care Assistant 3: Numbers employed (Full Time Equivalent)]]=0,"",DATA[[#This Row],[Care Assistant 3: Previous 2020/21 Minimum hourly pay rate ADJUSTED 2]]*DATA[[#This Row],[Care Assistant 3: Numbers employed (Full Time Equivalent)]]),"")</f>
        <v/>
      </c>
      <c r="PY46" s="30" t="str">
        <f>IFERROR(IF(DATA[[#This Row],[Care Assistant 3: Numbers employed (Full Time Equivalent)]]=0,"",DATA[[#This Row],[Care Assistant 3: Previous 2020/21 Maximum hourly pay rate ADJUSTED 2]]*DATA[[#This Row],[Care Assistant 3: Numbers employed (Full Time Equivalent)]]),"")</f>
        <v/>
      </c>
      <c r="PZ46" s="30" t="str">
        <f>IFERROR(IF(DATA[[#This Row],[Care Assistant 4: Numbers employed (Full Time Equivalent)]]=0,"",DATA[[#This Row],[Care Assistant 4: Current 2021/22 Minimum hourly pay rate ADJUSTED 2]]*DATA[[#This Row],[Care Assistant 4: Numbers employed (Full Time Equivalent)]]),"")</f>
        <v/>
      </c>
      <c r="QA46" s="30" t="str">
        <f>IFERROR(IF(DATA[[#This Row],[Care Assistant 4: Numbers employed (Full Time Equivalent)]]=0,"",DATA[[#This Row],[Care Assistant 4: Current 2021/22 Maximum hourly pay rate ADJUSTED 2]]*DATA[[#This Row],[Care Assistant 4: Numbers employed (Full Time Equivalent)]]),"")</f>
        <v/>
      </c>
      <c r="QB46" s="30" t="str">
        <f>IFERROR(IF(DATA[[#This Row],[Care Assistant 4: Numbers employed (Full Time Equivalent)]]=0,"",DATA[[#This Row],[Care Assistant 4: Previous 2020/21 Minimum hourly pay rate ADJUSTED 2]]*DATA[[#This Row],[Care Assistant 4: Numbers employed (Full Time Equivalent)]]),"")</f>
        <v/>
      </c>
      <c r="QC46" s="30" t="str">
        <f>IFERROR(IF(DATA[[#This Row],[Care Assistant 4: Numbers employed (Full Time Equivalent)]]=0,"",DATA[[#This Row],[Care Assistant 4: Previous 2020/21 Maximum hourly pay rate ADJUSTED 2]]*DATA[[#This Row],[Care Assistant 4: Numbers employed (Full Time Equivalent)]]),"")</f>
        <v/>
      </c>
      <c r="QD46" s="30">
        <f>IFERROR(IF(DATA[[#This Row],[Administrative Officer 1: Numbers employed (Full Time Equivalent)]]=0,"",DATA[[#This Row],[Administrative Officer 1: Current 2021/22 Minimum hourly pay rate ADJUSTED 2]]*DATA[[#This Row],[Administrative Officer 1: Numbers employed (Full Time Equivalent)]]),"")</f>
        <v>10.3</v>
      </c>
      <c r="QE46" s="30">
        <f>IFERROR(IF(DATA[[#This Row],[Administrative Officer 1: Numbers employed (Full Time Equivalent)]]=0,"",DATA[[#This Row],[Administrative Officer 1: Current 2021/22 Maximum hourly pay rate ADJUSTED 2]]*DATA[[#This Row],[Administrative Officer 1: Numbers employed (Full Time Equivalent)]]),"")</f>
        <v>10.3</v>
      </c>
      <c r="QF46" s="30">
        <f>IFERROR(IF(DATA[[#This Row],[Administrative Officer 1: Numbers employed (Full Time Equivalent)]]=0,"",DATA[[#This Row],[Administrative Officer 1: Previous 2020/21 Minimum hourly pay rate ADJUSTED 2]]*DATA[[#This Row],[Administrative Officer 1: Numbers employed (Full Time Equivalent)]]),"")</f>
        <v>9.9041999999999994</v>
      </c>
      <c r="QG46" s="30">
        <f>IFERROR(IF(DATA[[#This Row],[Administrative Officer 1: Numbers employed (Full Time Equivalent)]]=0,"",DATA[[#This Row],[Administrative Officer 1: Previous 2020/21 Maximum hourly pay rate ADJUSTED 2]]*DATA[[#This Row],[Administrative Officer 1: Numbers employed (Full Time Equivalent)]]),"")</f>
        <v>9.9041999999999994</v>
      </c>
      <c r="QH46" s="30" t="str">
        <f>IFERROR(IF(DATA[[#This Row],[Administrative Officer 2: Numbers employed (Full Time Equivalent)]]=0,"",DATA[[#This Row],[Administrative Officer 2: Current 2021/22 Minimum hourly pay rate ADJUSTED 2]]*DATA[[#This Row],[Administrative Officer 2: Numbers employed (Full Time Equivalent)]]),"")</f>
        <v/>
      </c>
      <c r="QI46" s="30" t="str">
        <f>IFERROR(IF(DATA[[#This Row],[Administrative Officer 2: Numbers employed (Full Time Equivalent)]]=0,"",DATA[[#This Row],[Administrative Officer 2: Current 2021/22 Maximum hourly pay rate ADJUSTED 2]]*DATA[[#This Row],[Administrative Officer 2: Numbers employed (Full Time Equivalent)]]),"")</f>
        <v/>
      </c>
      <c r="QJ46" s="30" t="str">
        <f>IFERROR(IF(DATA[[#This Row],[Administrative Officer 2: Numbers employed (Full Time Equivalent)]]=0,"",DATA[[#This Row],[Administrative Officer 2: Previous 2020/21 Minimum hourly pay rate ADJUSTED 2]]*DATA[[#This Row],[Administrative Officer 2: Numbers employed (Full Time Equivalent)]]),"")</f>
        <v/>
      </c>
      <c r="QK46" s="30" t="str">
        <f>IFERROR(IF(DATA[[#This Row],[Administrative Officer 2: Numbers employed (Full Time Equivalent)]]=0,"",DATA[[#This Row],[Administrative Officer 2: Previous 2020/21 Maximum hourly pay rate ADJUSTED 2]]*DATA[[#This Row],[Administrative Officer 2: Numbers employed (Full Time Equivalent)]]),"")</f>
        <v/>
      </c>
      <c r="QL46" s="30" t="str">
        <f>IFERROR(IF(DATA[[#This Row],[Administrative Officer 3: Numbers employed (Full Time Equivalent)]]=0,"",DATA[[#This Row],[Administrative Officer 3: Current 2021/22 Minimum hourly pay rate ADJUSTED 2]]*DATA[[#This Row],[Administrative Officer 3: Numbers employed (Full Time Equivalent)]]),"")</f>
        <v/>
      </c>
      <c r="QM46" s="30" t="str">
        <f>IFERROR(IF(DATA[[#This Row],[Administrative Officer 3: Numbers employed (Full Time Equivalent)]]=0,"",DATA[[#This Row],[Administrative Officer 3: Current 2021/22 Maximum hourly pay rate ADJUSTED 2]]*DATA[[#This Row],[Administrative Officer 3: Numbers employed (Full Time Equivalent)]]),"")</f>
        <v/>
      </c>
      <c r="QN46" s="30" t="str">
        <f>IFERROR(IF(DATA[[#This Row],[Administrative Officer 3: Numbers employed (Full Time Equivalent)]]=0,"",DATA[[#This Row],[Administrative Officer 3: Previous 2020/21 Minimum hourly pay rate ADJUSTED 2]]*DATA[[#This Row],[Administrative Officer 3: Numbers employed (Full Time Equivalent)]]),"")</f>
        <v/>
      </c>
      <c r="QO46" s="30" t="str">
        <f>IFERROR(IF(DATA[[#This Row],[Administrative Officer 3: Numbers employed (Full Time Equivalent)]]=0,"",DATA[[#This Row],[Administrative Officer 3: Previous 2020/21 Maximum hourly pay rate ADJUSTED 2]]*DATA[[#This Row],[Administrative Officer 3: Numbers employed (Full Time Equivalent)]]),"")</f>
        <v/>
      </c>
      <c r="QP46" s="28" t="str">
        <f>IFERROR(IF(DATA[[#This Row],[Other staff 1: Numbers employed (Full Time Equivalent)]]=0,"",DATA[[#This Row],[Other staff 1: Current 2021/22 Minimum hourly pay rate ADJUSTED 2]]*DATA[[#This Row],[Other staff 1: Numbers employed (Full Time Equivalent)]]),"")</f>
        <v/>
      </c>
      <c r="QQ46" s="28" t="str">
        <f>IFERROR(IF(DATA[[#This Row],[Other staff 1: Numbers employed (Full Time Equivalent)]]=0,"",DATA[[#This Row],[Other staff 1: Current 2021/22 Maximum hourly pay rate ADJUSTED 2]]*DATA[[#This Row],[Other staff 1: Numbers employed (Full Time Equivalent)]]),"")</f>
        <v/>
      </c>
      <c r="QR46" s="28" t="str">
        <f>IFERROR(IF(DATA[[#This Row],[Other staff 1: Numbers employed (Full Time Equivalent)]]=0,"",DATA[[#This Row],[Other staff 1: Previous 2020/21 Minimum hourly pay rate ADJUSTED 2]]*DATA[[#This Row],[Other staff 1: Numbers employed (Full Time Equivalent)]]),"")</f>
        <v/>
      </c>
      <c r="QS46" s="28" t="str">
        <f>IFERROR(IF(DATA[[#This Row],[Other staff 1: Numbers employed (Full Time Equivalent)]]=0,"",DATA[[#This Row],[Other staff 1: Previous 2020/21 Maximum hourly pay rate ADJUSTED 2]]*DATA[[#This Row],[Other staff 1: Numbers employed (Full Time Equivalent)]]),"")</f>
        <v/>
      </c>
      <c r="QT46" s="28" t="str">
        <f>IFERROR(IF(DATA[[#This Row],[Other staff 2: Numbers employed (Full Time Equivalent)]]=0,"",DATA[[#This Row],[Other staff 2: Current 2021/22 Minimum hourly pay rate ADJUSTED 2]]*DATA[[#This Row],[Other staff 2: Numbers employed (Full Time Equivalent)]]),"")</f>
        <v/>
      </c>
      <c r="QU46" s="28" t="str">
        <f>IFERROR(IF(DATA[[#This Row],[Other staff 2: Numbers employed (Full Time Equivalent)]]=0,"",DATA[[#This Row],[Other staff 2: Current 2021/22 Maximum hourly pay rate ADJUSTED 2]]*DATA[[#This Row],[Other staff 2: Numbers employed (Full Time Equivalent)]]),"")</f>
        <v/>
      </c>
      <c r="QV46" s="28" t="str">
        <f>IFERROR(IF(DATA[[#This Row],[Other staff 2: Numbers employed (Full Time Equivalent)]]=0,"",DATA[[#This Row],[Other staff 2: Previous 2020/21 Minimum hourly pay rate ADJUSTED 2]]*DATA[[#This Row],[Other staff 2: Numbers employed (Full Time Equivalent)]]),"")</f>
        <v/>
      </c>
      <c r="QW46" s="28" t="str">
        <f>IFERROR(IF(DATA[[#This Row],[Other staff 2: Numbers employed (Full Time Equivalent)]]=0,"",DATA[[#This Row],[Other staff 2: Previous 2020/21 Maximum hourly pay rate ADJUSTED 2]]*DATA[[#This Row],[Other staff 2: Numbers employed (Full Time Equivalent)]]),"")</f>
        <v/>
      </c>
      <c r="QX46" s="28" t="str">
        <f>IFERROR(IF(DATA[[#This Row],[Other staff 3: Numbers employed (Full Time Equivalent)]]=0,"",DATA[[#This Row],[Other staff 3: Current 2021/22 Minimum hourly pay rate ADJUSTED 2]]*DATA[[#This Row],[Other staff 3: Numbers employed (Full Time Equivalent)]]),"")</f>
        <v/>
      </c>
      <c r="QY46" s="28" t="str">
        <f>IFERROR(IF(DATA[[#This Row],[Other staff 3: Numbers employed (Full Time Equivalent)]]=0,"",DATA[[#This Row],[Other staff 3: Current 2021/22 Maximum hourly pay rate ADJUSTED 2]]*DATA[[#This Row],[Other staff 3: Numbers employed (Full Time Equivalent)]]),"")</f>
        <v/>
      </c>
      <c r="QZ46" s="28" t="str">
        <f>IFERROR(IF(DATA[[#This Row],[Other staff 3: Numbers employed (Full Time Equivalent)]]=0,"",DATA[[#This Row],[Other staff 3: Previous 2020/21 Minimum hourly pay rate ADJUSTED 2]]*DATA[[#This Row],[Other staff 3: Numbers employed (Full Time Equivalent)]]),"")</f>
        <v/>
      </c>
      <c r="RA46" s="28" t="str">
        <f>IFERROR(IF(DATA[[#This Row],[Other staff 3: Numbers employed (Full Time Equivalent)]]=0,"",DATA[[#This Row],[Other staff 3: Previous 2020/21 Maximum hourly pay rate ADJUSTED 2]]*DATA[[#This Row],[Other staff 3: Numbers employed (Full Time Equivalent)]]),"")</f>
        <v/>
      </c>
      <c r="RB46"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0.14000000000000001</v>
      </c>
      <c r="RC46"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46"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2.6</v>
      </c>
      <c r="RE46"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6"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6"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15</v>
      </c>
      <c r="RH46"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46"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46"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6"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46"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46"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6"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46"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46"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7" spans="7:484" x14ac:dyDescent="0.25">
      <c r="G47" s="2">
        <v>41</v>
      </c>
      <c r="H47" s="2">
        <v>32</v>
      </c>
      <c r="I47" s="2">
        <v>0</v>
      </c>
      <c r="J47" s="2">
        <v>1</v>
      </c>
      <c r="L47" s="2" t="s">
        <v>328</v>
      </c>
      <c r="M47" s="2" t="s">
        <v>328</v>
      </c>
      <c r="R47" s="2">
        <v>35</v>
      </c>
      <c r="S47" s="2">
        <v>35</v>
      </c>
      <c r="T47" s="2">
        <v>35</v>
      </c>
      <c r="U47" s="2">
        <v>35</v>
      </c>
      <c r="V47" s="2">
        <v>2</v>
      </c>
      <c r="W47" s="2">
        <v>35</v>
      </c>
      <c r="X47" s="2">
        <v>35</v>
      </c>
      <c r="Y47" s="2">
        <v>35</v>
      </c>
      <c r="Z47" s="2">
        <v>35</v>
      </c>
      <c r="AA47" s="2">
        <v>1</v>
      </c>
      <c r="AB47" s="2" t="s">
        <v>315</v>
      </c>
      <c r="AC47" s="2">
        <v>0</v>
      </c>
      <c r="AD47" s="2">
        <v>0</v>
      </c>
      <c r="AE47" s="2">
        <v>0</v>
      </c>
      <c r="AF47" s="2">
        <v>0</v>
      </c>
      <c r="AG47" s="2">
        <v>0</v>
      </c>
      <c r="AH47" s="2" t="s">
        <v>315</v>
      </c>
      <c r="AI47" s="2">
        <v>0</v>
      </c>
      <c r="AJ47" s="2">
        <v>0</v>
      </c>
      <c r="AK47" s="2">
        <v>0</v>
      </c>
      <c r="AL47" s="2">
        <v>0</v>
      </c>
      <c r="AM47" s="2">
        <v>0</v>
      </c>
      <c r="AN47" s="2" t="s">
        <v>315</v>
      </c>
      <c r="AO47" s="2">
        <v>0</v>
      </c>
      <c r="AP47" s="2">
        <v>0</v>
      </c>
      <c r="AQ47" s="2">
        <v>0</v>
      </c>
      <c r="AR47" s="2">
        <v>0</v>
      </c>
      <c r="AS47" s="2">
        <v>0</v>
      </c>
      <c r="AT47" s="2" t="s">
        <v>316</v>
      </c>
      <c r="AU47" s="2">
        <v>8.91</v>
      </c>
      <c r="AV47" s="2">
        <v>8.91</v>
      </c>
      <c r="AW47" s="2">
        <v>8.7200000000000006</v>
      </c>
      <c r="AX47" s="2">
        <v>8.7200000000000006</v>
      </c>
      <c r="AY47" s="2">
        <v>35</v>
      </c>
      <c r="AZ47" s="2" t="s">
        <v>316</v>
      </c>
      <c r="BA47" s="2">
        <v>0</v>
      </c>
      <c r="BB47" s="2">
        <v>0</v>
      </c>
      <c r="BC47" s="2">
        <v>0</v>
      </c>
      <c r="BD47" s="2">
        <v>0</v>
      </c>
      <c r="BE47" s="2">
        <v>0</v>
      </c>
      <c r="BF47" s="2" t="s">
        <v>316</v>
      </c>
      <c r="BG47" s="2">
        <v>0</v>
      </c>
      <c r="BH47" s="2">
        <v>0</v>
      </c>
      <c r="BI47" s="2">
        <v>0</v>
      </c>
      <c r="BJ47" s="2">
        <v>0</v>
      </c>
      <c r="BK47" s="2">
        <v>0</v>
      </c>
      <c r="BL47" s="2" t="s">
        <v>316</v>
      </c>
      <c r="BM47" s="2">
        <v>0</v>
      </c>
      <c r="BN47" s="2">
        <v>0</v>
      </c>
      <c r="BO47" s="2">
        <v>0</v>
      </c>
      <c r="BP47" s="2">
        <v>0</v>
      </c>
      <c r="BQ47" s="2">
        <v>0</v>
      </c>
      <c r="BR47" s="2" t="s">
        <v>317</v>
      </c>
      <c r="BS47" s="2">
        <v>15</v>
      </c>
      <c r="BT47" s="2">
        <v>15</v>
      </c>
      <c r="BU47" s="2">
        <v>15</v>
      </c>
      <c r="BV47" s="2">
        <v>15</v>
      </c>
      <c r="BW47" s="2">
        <v>2</v>
      </c>
      <c r="BX47" s="2" t="s">
        <v>317</v>
      </c>
      <c r="BY47" s="2">
        <v>0</v>
      </c>
      <c r="BZ47" s="2">
        <v>0</v>
      </c>
      <c r="CA47" s="2">
        <v>0</v>
      </c>
      <c r="CB47" s="2">
        <v>0</v>
      </c>
      <c r="CC47" s="2">
        <v>0</v>
      </c>
      <c r="CD47" s="2" t="s">
        <v>317</v>
      </c>
      <c r="CE47" s="2">
        <v>0</v>
      </c>
      <c r="CF47" s="2">
        <v>0</v>
      </c>
      <c r="CG47" s="2">
        <v>0</v>
      </c>
      <c r="CH47" s="2">
        <v>0</v>
      </c>
      <c r="CI47" s="2">
        <v>0</v>
      </c>
      <c r="CJ47" s="2" t="s">
        <v>318</v>
      </c>
      <c r="CK47" s="2">
        <v>0</v>
      </c>
      <c r="CL47" s="2">
        <v>0</v>
      </c>
      <c r="CM47" s="2">
        <v>0</v>
      </c>
      <c r="CN47" s="2">
        <v>0</v>
      </c>
      <c r="CO47" s="2">
        <v>0</v>
      </c>
      <c r="CP47" s="2" t="s">
        <v>318</v>
      </c>
      <c r="CQ47" s="2">
        <v>0</v>
      </c>
      <c r="CR47" s="2">
        <v>0</v>
      </c>
      <c r="CS47" s="2">
        <v>0</v>
      </c>
      <c r="CT47" s="2">
        <v>0</v>
      </c>
      <c r="CU47" s="2">
        <v>0</v>
      </c>
      <c r="CV47" s="2" t="s">
        <v>318</v>
      </c>
      <c r="CW47" s="2">
        <v>0</v>
      </c>
      <c r="CX47" s="2">
        <v>0</v>
      </c>
      <c r="CY47" s="2">
        <v>0</v>
      </c>
      <c r="CZ47" s="2">
        <v>0</v>
      </c>
      <c r="DA47" s="2">
        <v>0</v>
      </c>
      <c r="DB47" s="2"/>
      <c r="DC47" s="2">
        <v>429</v>
      </c>
      <c r="DD47" s="2">
        <v>0</v>
      </c>
      <c r="DE47" s="2">
        <v>0</v>
      </c>
      <c r="DF47" s="2">
        <v>0</v>
      </c>
      <c r="DG47" s="2">
        <v>116.5</v>
      </c>
      <c r="DH47" s="2">
        <v>5</v>
      </c>
      <c r="DI47" s="2">
        <v>0</v>
      </c>
      <c r="DJ47" s="2">
        <v>0</v>
      </c>
      <c r="DK47" s="2">
        <v>0</v>
      </c>
      <c r="DL47" s="2">
        <v>0</v>
      </c>
      <c r="DM47" s="2">
        <v>0</v>
      </c>
      <c r="DN47" s="2">
        <v>0</v>
      </c>
      <c r="DO47" s="2">
        <v>0</v>
      </c>
      <c r="DP47" s="2">
        <v>15.68</v>
      </c>
      <c r="DQ47" s="2">
        <v>0</v>
      </c>
      <c r="DR47" s="18">
        <v>43983</v>
      </c>
      <c r="DS47" s="18">
        <v>44347</v>
      </c>
      <c r="DT47" s="2">
        <v>0</v>
      </c>
      <c r="DU47" s="2">
        <v>47145</v>
      </c>
      <c r="DV47" s="2">
        <v>128900</v>
      </c>
      <c r="DW47" s="2">
        <v>34500</v>
      </c>
      <c r="DX47" s="2">
        <v>219797</v>
      </c>
      <c r="DY47" s="2">
        <v>0</v>
      </c>
      <c r="DZ47" s="2">
        <v>30267</v>
      </c>
      <c r="EA47" s="2">
        <v>0</v>
      </c>
      <c r="EB47" s="2">
        <v>11132</v>
      </c>
      <c r="EC47" s="2">
        <v>1934</v>
      </c>
      <c r="ED47" s="2">
        <v>4500</v>
      </c>
      <c r="EE47" s="2">
        <v>5054</v>
      </c>
      <c r="EF47" s="2">
        <v>8713</v>
      </c>
      <c r="EG47" s="2">
        <v>4228</v>
      </c>
      <c r="EH47" s="2" t="s">
        <v>500</v>
      </c>
      <c r="EI47" s="2">
        <v>3118</v>
      </c>
      <c r="EJ47" s="2" t="s">
        <v>324</v>
      </c>
      <c r="EK47" s="2">
        <v>0</v>
      </c>
      <c r="EL47" s="2">
        <v>55</v>
      </c>
      <c r="EM47" s="2">
        <v>50</v>
      </c>
      <c r="EN47" s="2">
        <v>5230</v>
      </c>
      <c r="EO47" s="2">
        <v>34081</v>
      </c>
      <c r="EP47" s="2">
        <v>0</v>
      </c>
      <c r="EQ47" s="2">
        <v>35</v>
      </c>
      <c r="ER47" s="2">
        <v>1031</v>
      </c>
      <c r="ES47" s="2">
        <v>593</v>
      </c>
      <c r="ET47" s="2" t="s">
        <v>324</v>
      </c>
      <c r="EU47" s="2">
        <v>0</v>
      </c>
      <c r="EV47" s="2" t="s">
        <v>324</v>
      </c>
      <c r="EW47" s="2">
        <v>0</v>
      </c>
      <c r="EX47" s="2">
        <v>0</v>
      </c>
      <c r="EY47" s="2">
        <v>550</v>
      </c>
      <c r="EZ47" s="2" t="s">
        <v>326</v>
      </c>
      <c r="FA47" s="2">
        <v>0</v>
      </c>
      <c r="FB47" s="2" t="s">
        <v>326</v>
      </c>
      <c r="FC47" s="2">
        <v>0</v>
      </c>
      <c r="FD47" s="2"/>
      <c r="FE47" s="2">
        <v>0</v>
      </c>
      <c r="FF47" s="2">
        <v>0</v>
      </c>
      <c r="FG47" s="2"/>
      <c r="FH47" s="19">
        <v>44480.624560185184</v>
      </c>
      <c r="FI47" s="2" t="s">
        <v>345</v>
      </c>
      <c r="FJ47" s="2">
        <f>SUM(DATA[[#This Row],[Number of Home support clients:]],DATA[[#This Row],[Number of supported living clients:]])</f>
        <v>32</v>
      </c>
      <c r="FK47"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31-40</v>
      </c>
      <c r="FL47"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35</v>
      </c>
      <c r="FM47"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35</v>
      </c>
      <c r="FN47"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35</v>
      </c>
      <c r="FO47"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35</v>
      </c>
      <c r="FP47"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35</v>
      </c>
      <c r="FQ47"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35</v>
      </c>
      <c r="FR47"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35</v>
      </c>
      <c r="FS47"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35</v>
      </c>
      <c r="FT47"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47"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47"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47"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47"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7"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7"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7"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7"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7"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7"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7"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7"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47"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47"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47"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8.7200000000000006</v>
      </c>
      <c r="GJ47"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47"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47"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47"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47"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47"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47"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47"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47"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7"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7"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7"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7"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15</v>
      </c>
      <c r="GW47"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15</v>
      </c>
      <c r="GX47"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15</v>
      </c>
      <c r="GY47"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15</v>
      </c>
      <c r="GZ47"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47"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47"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47"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47"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7"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7"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7"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7"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47"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47"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47"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47"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47"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47"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47"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47"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7"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7"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7"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7"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35</v>
      </c>
      <c r="HU47"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35</v>
      </c>
      <c r="HV47"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35</v>
      </c>
      <c r="HW47"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35</v>
      </c>
      <c r="HX47"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35</v>
      </c>
      <c r="HY47"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35</v>
      </c>
      <c r="HZ47"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35</v>
      </c>
      <c r="IA47"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35</v>
      </c>
      <c r="IB47"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47"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47"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47"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47"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7"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7"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7"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7"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7"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7"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7"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7"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47"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47"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47"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8.7200000000000006</v>
      </c>
      <c r="IR47"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47"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47"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47"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47"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47"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47"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47"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47"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7"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7"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7"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7"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15</v>
      </c>
      <c r="JE47"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15</v>
      </c>
      <c r="JF47"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15</v>
      </c>
      <c r="JG47"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15</v>
      </c>
      <c r="JH47"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47"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47"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47"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47"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7"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7"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7"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7"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47"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47"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47"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47"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47"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47"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47"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47"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7"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7"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7"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7"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47" s="21">
        <f>SUM(DATA[[#This Row],[Care Assistant 1: Numbers employed (Full Time Equivalent)]],DATA[[#This Row],[Care Assistant 2: Numbers employed (Full Time Equivalent)]],DATA[[#This Row],[Care Assistant 3: Numbers employed (Full Time Equivalent)]],DATA[[#This Row],[Care Assistant 4: Numbers employed (Full Time Equivalent)]])</f>
        <v>35</v>
      </c>
      <c r="KD47" s="21">
        <f>SUM(DATA[[#This Row],[Administrative Officer 1: Numbers employed (Full Time Equivalent)]],DATA[[#This Row],[Administrative Officer 2: Numbers employed (Full Time Equivalent)]])</f>
        <v>2</v>
      </c>
      <c r="KE47" s="21">
        <f>SUM(DATA[[#This Row],[Other staff 1: Numbers employed (Full Time Equivalent)]],DATA[[#This Row],[Other staff 2: Numbers employed (Full Time Equivalent)]],DATA[[#This Row],[Other staff 3: Numbers employed (Full Time Equivalent)]])</f>
        <v>0</v>
      </c>
      <c r="KF47" s="21">
        <f>SUM(DATA[[#This Row],[Total FTE Management Employees]:[Total FTE Other Employees]])</f>
        <v>40</v>
      </c>
      <c r="KG47" s="21" t="str">
        <f>IF(SUM(DATA[[#This Row],[Home Support service split percentage (Expenditure):]],DATA[[#This Row],[Supported Living service split percentage (Expenditure):]])&gt;0, IF(DATA[[#This Row],[Home Support service split percentage (Expenditure):]]&gt;0.5,"Home Support","Supported Living"), "Unknown")</f>
        <v>Home Support</v>
      </c>
      <c r="KH47" s="21">
        <f>SUM(DATA[[#This Row],[Home Support: Birmingham City Council]:[Home Support: Self-funded]])</f>
        <v>550.5</v>
      </c>
      <c r="KI47" s="21">
        <f>SUM(DATA[[#This Row],[Supported Living: Birmingham City Council]:[Supported Living: Self-funded]])</f>
        <v>0</v>
      </c>
      <c r="KJ47"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7"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7"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7"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7" s="21" t="b">
        <f>SUM(DATA[[#This Row],[Number of hours of care charged for in last full accounting year]:[Corporate Overheads: Other  - please specify (category) 1]])&gt;0</f>
        <v>1</v>
      </c>
      <c r="KO47" s="21">
        <f>SUM(DATA[[#This Row],[Total annual expenditure: Management staff]:[Total annual expenditure: Training and development]])</f>
        <v>471741</v>
      </c>
      <c r="KP47" s="21">
        <f>SUM(DATA[[#This Row],[Recruitment &amp; advertising (including DBS checks)]:[Non-Staffing Direct Cost: Other  - please specify (amount) 2]])</f>
        <v>27547</v>
      </c>
      <c r="KQ47" s="21">
        <f>SUM(DATA[[#This Row],[Insurance ]:[Indirect costs: Other 2 - please specify (amount)]])</f>
        <v>41075</v>
      </c>
      <c r="KR47" s="21">
        <f>SUM(DATA[[#This Row],[Central / Regional Management]],DATA[[#This Row],[Support Services (finance / HR / Payroll / legal etc.)]],DATA[[#This Row],[Corporate Overheads: Other  - please specify (amount) 1]],DATA[[#This Row],[Corporate Overheads: Other  - please specify (amount) 2]])</f>
        <v>550</v>
      </c>
      <c r="KS47"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47"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47"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47"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47"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47"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47"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47"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47"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47"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47" s="30">
        <f>IF(OR(NOT(DATA[[#This Row],[Care consumables &amp; uniforms]]&gt;0),NOT(DATA[[#This Row],[Number of hours of care charged for in last full accounting year]]&gt;0)),0,DATA[[#This Row],[Care consumables &amp; uniforms]]/DATA[[#This Row],[Number of hours of care charged for in last full accounting year]])</f>
        <v>0</v>
      </c>
      <c r="LD47" s="30">
        <f>IF(OR(NOT(DATA[[#This Row],[Electronic call monitoring]]&gt;0),NOT(DATA[[#This Row],[Number of hours of care charged for in last full accounting year]]&gt;0)),0,DATA[[#This Row],[Electronic call monitoring]]/DATA[[#This Row],[Number of hours of care charged for in last full accounting year]])</f>
        <v>0</v>
      </c>
      <c r="LE47" s="30">
        <f>IF(OR(NOT(DATA[[#This Row],[IT Equipment &amp; Telephoney]]&gt;0),NOT(DATA[[#This Row],[Number of hours of care charged for in last full accounting year]]&gt;0)),0,DATA[[#This Row],[IT Equipment &amp; Telephoney]]/DATA[[#This Row],[Number of hours of care charged for in last full accounting year]])</f>
        <v>0</v>
      </c>
      <c r="LF47"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47"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47" s="30">
        <f>IF(OR(NOT(DATA[[#This Row],[Insurance ]]&gt;0),NOT(DATA[[#This Row],[Number of hours of care charged for in last full accounting year]]&gt;0)),0,DATA[[#This Row],[Insurance ]]/DATA[[#This Row],[Number of hours of care charged for in last full accounting year]])</f>
        <v>0</v>
      </c>
      <c r="LI47"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47" s="30">
        <f>IF(OR(NOT(DATA[[#This Row],[Repairs and maintenance]]&gt;0),NOT(DATA[[#This Row],[Number of hours of care charged for in last full accounting year]]&gt;0)),0,DATA[[#This Row],[Repairs and maintenance]]/DATA[[#This Row],[Number of hours of care charged for in last full accounting year]])</f>
        <v>0</v>
      </c>
      <c r="LK47"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47" s="30">
        <f>IF(OR(NOT(DATA[[#This Row],[Registration &amp; Inspection fees ]]&gt;0),NOT(DATA[[#This Row],[Number of hours of care charged for in last full accounting year]]&gt;0)),0,DATA[[#This Row],[Registration &amp; Inspection fees ]]/DATA[[#This Row],[Number of hours of care charged for in last full accounting year]])</f>
        <v>0</v>
      </c>
      <c r="LM47" s="30">
        <f>IF(OR(NOT(DATA[[#This Row],[Subscriptions]]&gt;0),NOT(DATA[[#This Row],[Number of hours of care charged for in last full accounting year]]&gt;0)),0,DATA[[#This Row],[Subscriptions]]/DATA[[#This Row],[Number of hours of care charged for in last full accounting year]])</f>
        <v>0</v>
      </c>
      <c r="LN47" s="30">
        <f>IF(OR(NOT(DATA[[#This Row],[Cost of finance]]&gt;0),NOT(DATA[[#This Row],[Number of hours of care charged for in last full accounting year]]&gt;0)),0,DATA[[#This Row],[Cost of finance]]/DATA[[#This Row],[Number of hours of care charged for in last full accounting year]])</f>
        <v>0</v>
      </c>
      <c r="LO47" s="30">
        <f>IF(OR(NOT(DATA[[#This Row],[Other non-staff current expenses]]&gt;0),NOT(DATA[[#This Row],[Number of hours of care charged for in last full accounting year]]&gt;0)),0,DATA[[#This Row],[Other non-staff current expenses]]/DATA[[#This Row],[Number of hours of care charged for in last full accounting year]])</f>
        <v>0</v>
      </c>
      <c r="LP47"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47"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7" s="30">
        <f>IF(OR(NOT(DATA[[#This Row],[Central / Regional Management]]&gt;0),NOT(DATA[[#This Row],[Number of hours of care charged for in last full accounting year]]&gt;0)),0,DATA[[#This Row],[Central / Regional Management]]/DATA[[#This Row],[Number of hours of care charged for in last full accounting year]])</f>
        <v>0</v>
      </c>
      <c r="LS47"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47"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47"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7" s="30">
        <f>SUM(DATA[[#This Row],[Management staff HOURLY RATE]:[Corporate Overheads: Other  - please specify (amount) 2 HOURLY RATE]])</f>
        <v>0</v>
      </c>
      <c r="LW47" s="30" t="str">
        <f>IF(OR(NOT(DATA[[#This Row],[Net Operating Profit]]&gt;0),NOT(DATA[[#This Row],[Number of hours of care charged for in last full accounting year]]&gt;0)),"",DATA[[#This Row],[Net Operating Profit]]/DATA[[#This Row],[Number of hours of care charged for in last full accounting year]])</f>
        <v/>
      </c>
      <c r="LX47" s="30">
        <f>IF(OR(NOT(DATA[[#This Row],[Return on Capital employed]]&gt;0),NOT(DATA[[#This Row],[Number of hours of care charged for in last full accounting year]]&gt;0)),0,DATA[[#This Row],[Return on Capital employed]]/DATA[[#This Row],[Number of hours of care charged for in last full accounting year]])</f>
        <v>0</v>
      </c>
      <c r="LY47" s="31">
        <v>41</v>
      </c>
      <c r="LZ47" s="30" t="s">
        <v>345</v>
      </c>
      <c r="MA47" s="30" t="b">
        <f>DATA[[#This Row],[Number of Home support clients:]]&gt;0</f>
        <v>1</v>
      </c>
      <c r="MB47" s="30" t="b">
        <f>DATA[[#This Row],[Number of supported living clients:]]&gt;0</f>
        <v>0</v>
      </c>
      <c r="MC47" s="30" t="b">
        <f>DATA[[#This Row],[Total Home Support Hours]]&gt;0</f>
        <v>1</v>
      </c>
      <c r="MD47" s="30" t="b">
        <f>DATA[[#This Row],[Total Supported Living Hours]]&gt;0</f>
        <v>0</v>
      </c>
      <c r="ME47" s="30" t="b">
        <f>DATA[[#This Row],[Home Support service split percentage (Expenditure):]]&gt;0.5</f>
        <v>1</v>
      </c>
      <c r="MF47" s="30" t="b">
        <f>DATA[[#This Row],[Agency staff HOURLY RATE]]=0</f>
        <v>1</v>
      </c>
      <c r="MG47" s="30">
        <f>IFERROR(IF(AVERAGE(DATA[[#This Row],[Registered manager: Current 2021/22 Minimum hourly pay rate ADJUSTED]],DATA[[#This Row],[Registered manager: Current 2021/22 Maximum hourly pay rate ADJUSTED]])&lt;LIVING_WAGE_22_23,DATA[[#This Row],[Registered manager: Numbers employed (Full Time Equivalent)]],0),"")</f>
        <v>0</v>
      </c>
      <c r="MH47" s="30">
        <f>IFERROR(IF(AVERAGE(DATA[[#This Row],[Deputy manager: Current 2021/22 Minimum hourly pay rate ADJUSTED]],DATA[[#This Row],[Deputy manager: Current 2021/22 Maximum hourly pay rate ADJUSTED]])&lt;LIVING_WAGE_22_23,DATA[[#This Row],[Deputy manager: Numbers employed (Full Time Equivalent)]],0),"")</f>
        <v>0</v>
      </c>
      <c r="MI47" s="30" t="str">
        <f>IFERROR(IF(AVERAGE(DATA[[#This Row],[Other manager 1: Current 2021/22 Minimum hourly pay rate ADJUSTED]],DATA[[#This Row],[Other manager 1: Current 2021/22 Maximum hourly pay rate ADJUSTED]])&lt;LIVING_WAGE_22_23,DATA[[#This Row],[Other manager 1: Numbers employed (Full Time Equivalent)]],0),"")</f>
        <v/>
      </c>
      <c r="MJ47" s="30" t="str">
        <f>IFERROR(IF(AVERAGE(DATA[[#This Row],[Other manager 2: Current 2021/22 Minimum hourly pay rate ADJUSTED]],DATA[[#This Row],[Other manager 2: Current 2021/22 Maximum hourly pay rate ADJUSTED]])&lt;LIVING_WAGE_22_23,DATA[[#This Row],[Other manager 2: Numbers employed (Full Time Equivalent)]],0),"")</f>
        <v/>
      </c>
      <c r="MK47" s="30" t="str">
        <f>IFERROR(IF(AVERAGE(DATA[[#This Row],[Other manager 3: Current 2021/22 Minimum hourly pay rate ADJUSTED]],DATA[[#This Row],[Other manager 3: Current 2021/22 Maximum hourly pay rate ADJUSTED]])&lt;LIVING_WAGE_22_23,DATA[[#This Row],[Other manager 3: Numbers employed (Full Time Equivalent)]],0),"")</f>
        <v/>
      </c>
      <c r="ML47" s="30">
        <f>IFERROR(IF(AVERAGE(DATA[[#This Row],[Care Assistant 1: Current 2021/22 Minimum hourly pay rate ADJUSTED]],DATA[[#This Row],[Care Assistant 1: Current 2021/22 Maximum hourly pay rate ADJUSTED]])&lt;LIVING_WAGE_22_23,DATA[[#This Row],[Care Assistant 1: Numbers employed (Full Time Equivalent)]],0),"")</f>
        <v>35</v>
      </c>
      <c r="MM47" s="30" t="str">
        <f>IFERROR(IF(AVERAGE(DATA[[#This Row],[Care Assistant 2: Current 2021/22 Minimum hourly pay rate ADJUSTED]],DATA[[#This Row],[Care Assistant 2: Current 2021/22 Maximum hourly pay rate ADJUSTED]])&lt;LIVING_WAGE_22_23,DATA[[#This Row],[Care Assistant 2: Numbers employed (Full Time Equivalent)]],0),"")</f>
        <v/>
      </c>
      <c r="MN47" s="30" t="str">
        <f>IFERROR(IF(AVERAGE(DATA[[#This Row],[Care Assistant 3: Current 2021/22 Minimum hourly pay rate ADJUSTED]],DATA[[#This Row],[Care Assistant 3: Current 2021/22 Maximum hourly pay rate ADJUSTED]])&lt;LIVING_WAGE_22_23,DATA[[#This Row],[Care Assistant 3: Numbers employed (Full Time Equivalent)]],0),"")</f>
        <v/>
      </c>
      <c r="MO47" s="30" t="str">
        <f>IFERROR(IF(AVERAGE(DATA[[#This Row],[Care Assistant 4: Current 2021/22 Minimum hourly pay rate ADJUSTED]],DATA[[#This Row],[Care Assistant 4: Current 2021/22 Maximum hourly pay rate ADJUSTED]])&lt;LIVING_WAGE_22_23,DATA[[#This Row],[Care Assistant 4: Numbers employed (Full Time Equivalent)]],0),"")</f>
        <v/>
      </c>
      <c r="MP47"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47"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47" s="30" t="str">
        <f>IFERROR(IF(AVERAGE(DATA[[#This Row],[Other staff 1: Current 2021/22 Minimum hourly pay rate ADJUSTED]],DATA[[#This Row],[Other staff 1: Current 2021/22 Maximum hourly pay rate ADJUSTED]])&lt;LIVING_WAGE_22_23,DATA[[#This Row],[Other staff 1: Numbers employed (Full Time Equivalent)]],0),"")</f>
        <v/>
      </c>
      <c r="MS47" s="30" t="str">
        <f>IFERROR(IF(AVERAGE(DATA[[#This Row],[Other staff 2: Current 2021/22 Minimum hourly pay rate ADJUSTED]],DATA[[#This Row],[Other staff 2: Current 2021/22 Maximum hourly pay rate ADJUSTED]])&lt;LIVING_WAGE_22_23,DATA[[#This Row],[Other staff 2: Numbers employed (Full Time Equivalent)]],0),"")</f>
        <v/>
      </c>
      <c r="MT47" s="30" t="str">
        <f>IFERROR(IF(AVERAGE(DATA[[#This Row],[Other staff 3: Current 2021/22 Minimum hourly pay rate ADJUSTED]],DATA[[#This Row],[Other staff 3: Current 2021/22 Maximum hourly pay rate ADJUSTED]])&lt;LIVING_WAGE_22_23,DATA[[#This Row],[Other staff 3: Numbers employed (Full Time Equivalent)]],0),"")</f>
        <v/>
      </c>
      <c r="MU47" s="30">
        <f>SUM(DATA[[#This Row],[Registered Manager FTE earning less than NLW 23yrs 2022/23]:[Other staff 3 FTE earning less than NLW 23yrs 2022/23]])</f>
        <v>35</v>
      </c>
      <c r="MV47"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47"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47"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47"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7"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7"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20.649999999999995</v>
      </c>
      <c r="NB47"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47"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47"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7"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47"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47"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47"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47"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7" s="30" t="b">
        <v>0</v>
      </c>
      <c r="NK47" s="30" t="b">
        <v>1</v>
      </c>
      <c r="NL47" s="30" t="s">
        <v>972</v>
      </c>
      <c r="NM47" s="30">
        <f>SUM(DATA[[#This Row],[Management staff HOURLY RATE]:[Training and development HOURLY RATE]])</f>
        <v>0</v>
      </c>
      <c r="NN47" s="30">
        <f>SUM(DATA[[#This Row],[Recruitment &amp; advertising (including DBS checks) HOURLY RATE]:[Non-Staffing Direct Cost: Other  - please specify (amount) 2 HOURLY RATE]])</f>
        <v>0</v>
      </c>
      <c r="NO47" s="30">
        <f>SUM(DATA[[#This Row],[Insurance  HOURLY RATE]:[Indirect costs: Other  - please specify (amount) 2 HOURLY RATE]])</f>
        <v>0</v>
      </c>
      <c r="NP47" s="30">
        <f>SUM(DATA[[#This Row],[Central / Regional Management HOURLY RATE]:[Corporate Overheads: Other  - please specify (amount) 2 HOURLY RATE]])</f>
        <v>0</v>
      </c>
      <c r="NQ47"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47" s="30">
        <f>IFERROR(IF(AVERAGE(DATA[[#This Row],[Deputy manager: Current 2021/22 Minimum hourly pay rate ADJUSTED]],DATA[[#This Row],[Deputy manager: Current 2021/22 Maximum hourly pay rate ADJUSTED]])&lt;REAL_LIVING_WAGE_22_23,DATA[[#This Row],[Deputy manager: Numbers employed (Full Time Equivalent)]],0),"")</f>
        <v>0</v>
      </c>
      <c r="NS47" s="30" t="str">
        <f>IFERROR(IF(AVERAGE(DATA[[#This Row],[Other manager 1: Current 2021/22 Minimum hourly pay rate ADJUSTED]],DATA[[#This Row],[Other manager 1: Current 2021/22 Maximum hourly pay rate ADJUSTED]])&lt;REAL_LIVING_WAGE_22_23,DATA[[#This Row],[Other manager 1: Numbers employed (Full Time Equivalent)]],0),"")</f>
        <v/>
      </c>
      <c r="NT47" s="30" t="str">
        <f>IFERROR(IF(AVERAGE(DATA[[#This Row],[Other manager 2: Current 2021/22 Minimum hourly pay rate ADJUSTED]],DATA[[#This Row],[Other manager 2: Current 2021/22 Maximum hourly pay rate ADJUSTED]])&lt;REAL_LIVING_WAGE_22_23,DATA[[#This Row],[Other manager 2: Numbers employed (Full Time Equivalent)]],0),"")</f>
        <v/>
      </c>
      <c r="NU47" s="30" t="str">
        <f>IFERROR(IF(AVERAGE(DATA[[#This Row],[Other manager 3: Current 2021/22 Minimum hourly pay rate ADJUSTED]],DATA[[#This Row],[Other manager 3: Current 2021/22 Maximum hourly pay rate ADJUSTED]])&lt;REAL_LIVING_WAGE_22_23,DATA[[#This Row],[Other manager 3: Numbers employed (Full Time Equivalent)]],0),"")</f>
        <v/>
      </c>
      <c r="NV47" s="30">
        <f>IFERROR(IF(AVERAGE(DATA[[#This Row],[Care Assistant 1: Current 2021/22 Minimum hourly pay rate ADJUSTED]],DATA[[#This Row],[Care Assistant 1: Current 2021/22 Maximum hourly pay rate ADJUSTED]])&lt;REAL_LIVING_WAGE_22_23,DATA[[#This Row],[Care Assistant 1: Numbers employed (Full Time Equivalent)]],0),"")</f>
        <v>35</v>
      </c>
      <c r="NW47"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47"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47"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7"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47"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47" s="30" t="str">
        <f>IFERROR(IF(AVERAGE(DATA[[#This Row],[Other staff 1: Current 2021/22 Minimum hourly pay rate ADJUSTED]],DATA[[#This Row],[Other staff 1: Current 2021/22 Maximum hourly pay rate ADJUSTED]])&lt;REAL_LIVING_WAGE_22_23,DATA[[#This Row],[Other staff 1: Numbers employed (Full Time Equivalent)]],0),"")</f>
        <v/>
      </c>
      <c r="OC47" s="30" t="str">
        <f>IFERROR(IF(AVERAGE(DATA[[#This Row],[Other staff 2: Current 2021/22 Minimum hourly pay rate ADJUSTED]],DATA[[#This Row],[Other staff 2: Current 2021/22 Maximum hourly pay rate ADJUSTED]])&lt;REAL_LIVING_WAGE_22_23,DATA[[#This Row],[Other staff 2: Numbers employed (Full Time Equivalent)]],0),"")</f>
        <v/>
      </c>
      <c r="OD47" s="30" t="str">
        <f>IFERROR(IF(AVERAGE(DATA[[#This Row],[Other staff 3: Current 2021/22 Minimum hourly pay rate ADJUSTED]],DATA[[#This Row],[Other staff 3: Current 2021/22 Maximum hourly pay rate ADJUSTED]])&lt;REAL_LIVING_WAGE_22_23,DATA[[#This Row],[Other staff 3: Numbers employed (Full Time Equivalent)]],0),"")</f>
        <v/>
      </c>
      <c r="OE47" s="30">
        <f>SUM(DATA[[#This Row],[Registered Manager FTE earning less than RLW 23yrs 2022/23]:[Other staff 3 FTE earning less than RLW 23yrs 2022/23]])</f>
        <v>35</v>
      </c>
      <c r="OF47"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47"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47"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47"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7"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7"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34.650000000000006</v>
      </c>
      <c r="OL47"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47"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47"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7"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47"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47"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47"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47"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7" s="30">
        <f>IFERROR(IF(DATA[[#This Row],[Registered manager: Numbers employed (Full Time Equivalent)]]=0,"",DATA[[#This Row],[Registered manager: Current 2021/22 Minimum hourly pay rate ADJUSTED 2]]*DATA[[#This Row],[Registered manager: Numbers employed (Full Time Equivalent)]]),"")</f>
        <v>70</v>
      </c>
      <c r="OU47" s="30">
        <f>IFERROR(IF(DATA[[#This Row],[Registered manager: Numbers employed (Full Time Equivalent)]]=0,"",DATA[[#This Row],[Registered manager: Current 2021/22 Maximum hourly pay rate ADJUSTED 2]]*DATA[[#This Row],[Registered manager: Numbers employed (Full Time Equivalent)]]),"")</f>
        <v>70</v>
      </c>
      <c r="OV47" s="30">
        <f>IFERROR(IF(DATA[[#This Row],[Registered manager: Numbers employed (Full Time Equivalent)]]=0,"",DATA[[#This Row],[Registered manager: Previous 2020/21 Minimum hourly pay rate ADJUSTED 2]]*DATA[[#This Row],[Registered manager: Numbers employed (Full Time Equivalent)]]),"")</f>
        <v>70</v>
      </c>
      <c r="OW47" s="30">
        <f>IFERROR(IF(DATA[[#This Row],[Registered manager: Numbers employed (Full Time Equivalent)]]=0,"",DATA[[#This Row],[Registered manager: Previous 2020/21 Maximum hourly pay rate ADJUSTED 2]]*DATA[[#This Row],[Registered manager: Numbers employed (Full Time Equivalent)]]),"")</f>
        <v>70</v>
      </c>
      <c r="OX47" s="30">
        <f>IFERROR(IF(DATA[[#This Row],[Deputy manager: Numbers employed (Full Time Equivalent)]]=0,"",DATA[[#This Row],[Deputy manager: Current 2021/22 Minimum hourly pay rate ADJUSTED 2]]*DATA[[#This Row],[Deputy manager: Numbers employed (Full Time Equivalent)]]),"")</f>
        <v>35</v>
      </c>
      <c r="OY47" s="30">
        <f>IFERROR(IF(DATA[[#This Row],[Deputy manager: Numbers employed (Full Time Equivalent)]]=0,"",DATA[[#This Row],[Deputy manager: Current 2021/22 Maximum hourly pay rate ADJUSTED 2]]*DATA[[#This Row],[Deputy manager: Numbers employed (Full Time Equivalent)]]),"")</f>
        <v>35</v>
      </c>
      <c r="OZ47" s="30">
        <f>IFERROR(IF(DATA[[#This Row],[Deputy manager: Numbers employed (Full Time Equivalent)]]=0,"",DATA[[#This Row],[Deputy manager: Previous 2020/21 Minimum hourly pay rate ADJUSTED 2]]*DATA[[#This Row],[Deputy manager: Numbers employed (Full Time Equivalent)]]),"")</f>
        <v>35</v>
      </c>
      <c r="PA47" s="30">
        <f>IFERROR(IF(DATA[[#This Row],[Deputy manager: Numbers employed (Full Time Equivalent)]]=0,"",DATA[[#This Row],[Deputy manager: Previous 2020/21 Maximum hourly pay rate ADJUSTED 2]]*DATA[[#This Row],[Deputy manager: Numbers employed (Full Time Equivalent)]]),"")</f>
        <v>35</v>
      </c>
      <c r="PB47" s="30" t="str">
        <f>IFERROR(IF(DATA[[#This Row],[Other manager 1: Numbers employed (Full Time Equivalent)]]=0,"",DATA[[#This Row],[Other manager 1: Current 2021/22 Minimum hourly pay rate ADJUSTED 2]]*DATA[[#This Row],[Other manager 1: Numbers employed (Full Time Equivalent)]]),"")</f>
        <v/>
      </c>
      <c r="PC47" s="30" t="str">
        <f>IFERROR(IF(DATA[[#This Row],[Other manager 1: Numbers employed (Full Time Equivalent)]]=0,"",DATA[[#This Row],[Other manager 1: Current 2021/22 Maximum hourly pay rate ADJUSTED 2]]*DATA[[#This Row],[Other manager 1: Numbers employed (Full Time Equivalent)]]),"")</f>
        <v/>
      </c>
      <c r="PD47" s="30" t="str">
        <f>IFERROR(IF(DATA[[#This Row],[Other manager 1: Numbers employed (Full Time Equivalent)]]=0,"",DATA[[#This Row],[Other manager 1: Previous 2020/21 Minimum hourly pay rate ADJUSTED 2]]*DATA[[#This Row],[Other manager 1: Numbers employed (Full Time Equivalent)]]),"")</f>
        <v/>
      </c>
      <c r="PE47" s="30" t="str">
        <f>IFERROR(IF(DATA[[#This Row],[Other manager 1: Numbers employed (Full Time Equivalent)]]=0,"",DATA[[#This Row],[Other manager 1: Previous 2020/21 Maximum hourly pay rate ADJUSTED 2]]*DATA[[#This Row],[Other manager 1: Numbers employed (Full Time Equivalent)]]),"")</f>
        <v/>
      </c>
      <c r="PF47" s="30" t="str">
        <f>IFERROR(IF(DATA[[#This Row],[Other manager 2: Numbers employed (Full Time Equivalent)]]=0,"",DATA[[#This Row],[Other manager 2: Current 2021/22 Minimum hourly pay rate ADJUSTED 2]]*DATA[[#This Row],[Other manager 2: Numbers employed (Full Time Equivalent)]]),"")</f>
        <v/>
      </c>
      <c r="PG47" s="30" t="str">
        <f>IFERROR(IF(DATA[[#This Row],[Other manager 2: Numbers employed (Full Time Equivalent)]]=0,"",DATA[[#This Row],[Other manager 2: Current 2021/22 Maximum hourly pay rate ADJUSTED 2]]*DATA[[#This Row],[Other manager 2: Numbers employed (Full Time Equivalent)]]),"")</f>
        <v/>
      </c>
      <c r="PH47" s="30" t="str">
        <f>IFERROR(IF(DATA[[#This Row],[Other manager 2: Numbers employed (Full Time Equivalent)]]=0,"",DATA[[#This Row],[Other manager 2: Previous 2020/21 Minimum hourly pay rate ADJUSTED 2]]*DATA[[#This Row],[Other manager 2: Numbers employed (Full Time Equivalent)]]),"")</f>
        <v/>
      </c>
      <c r="PI47" s="30" t="str">
        <f>IFERROR(IF(DATA[[#This Row],[Other manager 2: Numbers employed (Full Time Equivalent)]]=0,"",DATA[[#This Row],[Other manager 2: Previous 2020/21 Maximum hourly pay rate ADJUSTED 2]]*DATA[[#This Row],[Other manager 2: Numbers employed (Full Time Equivalent)]]),"")</f>
        <v/>
      </c>
      <c r="PJ47" s="30" t="str">
        <f>IFERROR(IF(DATA[[#This Row],[Other manager 3: Numbers employed (Full Time Equivalent)]]=0,"",DATA[[#This Row],[Other manager 3: Current 2021/22 Minimum hourly pay rate ADJUSTED 2]]*DATA[[#This Row],[Other manager 3: Numbers employed (Full Time Equivalent)]]),"")</f>
        <v/>
      </c>
      <c r="PK47" s="30" t="str">
        <f>IFERROR(IF(DATA[[#This Row],[Other manager 3: Numbers employed (Full Time Equivalent)]]=0,"",DATA[[#This Row],[Other manager 3: Current 2021/22 Maximum hourly pay rate ADJUSTED 2]]*DATA[[#This Row],[Other manager 3: Numbers employed (Full Time Equivalent)]]),"")</f>
        <v/>
      </c>
      <c r="PL47" s="30" t="str">
        <f>IFERROR(IF(DATA[[#This Row],[Other manager 3: Numbers employed (Full Time Equivalent)]]=0,"",DATA[[#This Row],[Other manager 3: Previous 2020/21 Minimum hourly pay rate ADJUSTED 2]]*DATA[[#This Row],[Other manager 3: Numbers employed (Full Time Equivalent)]]),"")</f>
        <v/>
      </c>
      <c r="PM47" s="30" t="str">
        <f>IFERROR(IF(DATA[[#This Row],[Other manager 3: Numbers employed (Full Time Equivalent)]]=0,"",DATA[[#This Row],[Other manager 3: Previous 2020/21 Maximum hourly pay rate ADJUSTED 2]]*DATA[[#This Row],[Other manager 3: Numbers employed (Full Time Equivalent)]]),"")</f>
        <v/>
      </c>
      <c r="PN47" s="30">
        <f>IFERROR(IF(DATA[[#This Row],[Care Assistant 1: Numbers employed (Full Time Equivalent)]]=0,"",DATA[[#This Row],[Care Assistant 1: Current 2021/22 Minimum hourly pay rate ADJUSTED 2]]*DATA[[#This Row],[Care Assistant 1: Numbers employed (Full Time Equivalent)]]),"")</f>
        <v>311.85000000000002</v>
      </c>
      <c r="PO47" s="30">
        <f>IFERROR(IF(DATA[[#This Row],[Care Assistant 1: Numbers employed (Full Time Equivalent)]]=0,"",DATA[[#This Row],[Care Assistant 1: Current 2021/22 Maximum hourly pay rate ADJUSTED 2]]*DATA[[#This Row],[Care Assistant 1: Numbers employed (Full Time Equivalent)]]),"")</f>
        <v>311.85000000000002</v>
      </c>
      <c r="PP47" s="30">
        <f>IFERROR(IF(DATA[[#This Row],[Care Assistant 1: Numbers employed (Full Time Equivalent)]]=0,"",DATA[[#This Row],[Care Assistant 1: Previous 2020/21 Minimum hourly pay rate ADJUSTED 2]]*DATA[[#This Row],[Care Assistant 1: Numbers employed (Full Time Equivalent)]]),"")</f>
        <v>305.20000000000005</v>
      </c>
      <c r="PQ47" s="30">
        <f>IFERROR(IF(DATA[[#This Row],[Care Assistant 1: Numbers employed (Full Time Equivalent)]]=0,"",DATA[[#This Row],[Care Assistant 1: Previous 2020/21 Maximum hourly pay rate ADJUSTED 2]]*DATA[[#This Row],[Care Assistant 1: Numbers employed (Full Time Equivalent)]]),"")</f>
        <v>305.20000000000005</v>
      </c>
      <c r="PR47" s="30" t="str">
        <f>IFERROR(IF(DATA[[#This Row],[Care Assistant 2: Numbers employed (Full Time Equivalent)]]=0,"",DATA[[#This Row],[Care Assistant 2: Current 2021/22 Minimum hourly pay rate ADJUSTED 2]]*DATA[[#This Row],[Care Assistant 2: Numbers employed (Full Time Equivalent)]]),"")</f>
        <v/>
      </c>
      <c r="PS47" s="30" t="str">
        <f>IFERROR(IF(DATA[[#This Row],[Care Assistant 2: Numbers employed (Full Time Equivalent)]]=0,"",DATA[[#This Row],[Care Assistant 2: Current 2021/22 Maximum hourly pay rate ADJUSTED 2]]*DATA[[#This Row],[Care Assistant 2: Numbers employed (Full Time Equivalent)]]),"")</f>
        <v/>
      </c>
      <c r="PT47" s="30" t="str">
        <f>IFERROR(IF(DATA[[#This Row],[Care Assistant 2: Numbers employed (Full Time Equivalent)]]=0,"",DATA[[#This Row],[Care Assistant 2: Previous 2020/21 Minimum hourly pay rate ADJUSTED 2]]*DATA[[#This Row],[Care Assistant 2: Numbers employed (Full Time Equivalent)]]),"")</f>
        <v/>
      </c>
      <c r="PU47" s="30" t="str">
        <f>IFERROR(IF(DATA[[#This Row],[Care Assistant 2: Numbers employed (Full Time Equivalent)]]=0,"",DATA[[#This Row],[Care Assistant 2: Previous 2020/21 Maximum hourly pay rate ADJUSTED 2]]*DATA[[#This Row],[Care Assistant 2: Numbers employed (Full Time Equivalent)]]),"")</f>
        <v/>
      </c>
      <c r="PV47" s="30" t="str">
        <f>IFERROR(IF(DATA[[#This Row],[Care Assistant 3: Numbers employed (Full Time Equivalent)]]=0,"",DATA[[#This Row],[Care Assistant 3: Current 2021/22 Minimum hourly pay rate ADJUSTED 2]]*DATA[[#This Row],[Care Assistant 3: Numbers employed (Full Time Equivalent)]]),"")</f>
        <v/>
      </c>
      <c r="PW47" s="30" t="str">
        <f>IFERROR(IF(DATA[[#This Row],[Care Assistant 3: Numbers employed (Full Time Equivalent)]]=0,"",DATA[[#This Row],[Care Assistant 3: Current 2021/22 Maximum hourly pay rate ADJUSTED 2]]*DATA[[#This Row],[Care Assistant 3: Numbers employed (Full Time Equivalent)]]),"")</f>
        <v/>
      </c>
      <c r="PX47" s="30" t="str">
        <f>IFERROR(IF(DATA[[#This Row],[Care Assistant 3: Numbers employed (Full Time Equivalent)]]=0,"",DATA[[#This Row],[Care Assistant 3: Previous 2020/21 Minimum hourly pay rate ADJUSTED 2]]*DATA[[#This Row],[Care Assistant 3: Numbers employed (Full Time Equivalent)]]),"")</f>
        <v/>
      </c>
      <c r="PY47" s="30" t="str">
        <f>IFERROR(IF(DATA[[#This Row],[Care Assistant 3: Numbers employed (Full Time Equivalent)]]=0,"",DATA[[#This Row],[Care Assistant 3: Previous 2020/21 Maximum hourly pay rate ADJUSTED 2]]*DATA[[#This Row],[Care Assistant 3: Numbers employed (Full Time Equivalent)]]),"")</f>
        <v/>
      </c>
      <c r="PZ47" s="30" t="str">
        <f>IFERROR(IF(DATA[[#This Row],[Care Assistant 4: Numbers employed (Full Time Equivalent)]]=0,"",DATA[[#This Row],[Care Assistant 4: Current 2021/22 Minimum hourly pay rate ADJUSTED 2]]*DATA[[#This Row],[Care Assistant 4: Numbers employed (Full Time Equivalent)]]),"")</f>
        <v/>
      </c>
      <c r="QA47" s="30" t="str">
        <f>IFERROR(IF(DATA[[#This Row],[Care Assistant 4: Numbers employed (Full Time Equivalent)]]=0,"",DATA[[#This Row],[Care Assistant 4: Current 2021/22 Maximum hourly pay rate ADJUSTED 2]]*DATA[[#This Row],[Care Assistant 4: Numbers employed (Full Time Equivalent)]]),"")</f>
        <v/>
      </c>
      <c r="QB47" s="30" t="str">
        <f>IFERROR(IF(DATA[[#This Row],[Care Assistant 4: Numbers employed (Full Time Equivalent)]]=0,"",DATA[[#This Row],[Care Assistant 4: Previous 2020/21 Minimum hourly pay rate ADJUSTED 2]]*DATA[[#This Row],[Care Assistant 4: Numbers employed (Full Time Equivalent)]]),"")</f>
        <v/>
      </c>
      <c r="QC47" s="30" t="str">
        <f>IFERROR(IF(DATA[[#This Row],[Care Assistant 4: Numbers employed (Full Time Equivalent)]]=0,"",DATA[[#This Row],[Care Assistant 4: Previous 2020/21 Maximum hourly pay rate ADJUSTED 2]]*DATA[[#This Row],[Care Assistant 4: Numbers employed (Full Time Equivalent)]]),"")</f>
        <v/>
      </c>
      <c r="QD47" s="30">
        <f>IFERROR(IF(DATA[[#This Row],[Administrative Officer 1: Numbers employed (Full Time Equivalent)]]=0,"",DATA[[#This Row],[Administrative Officer 1: Current 2021/22 Minimum hourly pay rate ADJUSTED 2]]*DATA[[#This Row],[Administrative Officer 1: Numbers employed (Full Time Equivalent)]]),"")</f>
        <v>30</v>
      </c>
      <c r="QE47" s="30">
        <f>IFERROR(IF(DATA[[#This Row],[Administrative Officer 1: Numbers employed (Full Time Equivalent)]]=0,"",DATA[[#This Row],[Administrative Officer 1: Current 2021/22 Maximum hourly pay rate ADJUSTED 2]]*DATA[[#This Row],[Administrative Officer 1: Numbers employed (Full Time Equivalent)]]),"")</f>
        <v>30</v>
      </c>
      <c r="QF47" s="30">
        <f>IFERROR(IF(DATA[[#This Row],[Administrative Officer 1: Numbers employed (Full Time Equivalent)]]=0,"",DATA[[#This Row],[Administrative Officer 1: Previous 2020/21 Minimum hourly pay rate ADJUSTED 2]]*DATA[[#This Row],[Administrative Officer 1: Numbers employed (Full Time Equivalent)]]),"")</f>
        <v>30</v>
      </c>
      <c r="QG47" s="30">
        <f>IFERROR(IF(DATA[[#This Row],[Administrative Officer 1: Numbers employed (Full Time Equivalent)]]=0,"",DATA[[#This Row],[Administrative Officer 1: Previous 2020/21 Maximum hourly pay rate ADJUSTED 2]]*DATA[[#This Row],[Administrative Officer 1: Numbers employed (Full Time Equivalent)]]),"")</f>
        <v>30</v>
      </c>
      <c r="QH47" s="30" t="str">
        <f>IFERROR(IF(DATA[[#This Row],[Administrative Officer 2: Numbers employed (Full Time Equivalent)]]=0,"",DATA[[#This Row],[Administrative Officer 2: Current 2021/22 Minimum hourly pay rate ADJUSTED 2]]*DATA[[#This Row],[Administrative Officer 2: Numbers employed (Full Time Equivalent)]]),"")</f>
        <v/>
      </c>
      <c r="QI47" s="30" t="str">
        <f>IFERROR(IF(DATA[[#This Row],[Administrative Officer 2: Numbers employed (Full Time Equivalent)]]=0,"",DATA[[#This Row],[Administrative Officer 2: Current 2021/22 Maximum hourly pay rate ADJUSTED 2]]*DATA[[#This Row],[Administrative Officer 2: Numbers employed (Full Time Equivalent)]]),"")</f>
        <v/>
      </c>
      <c r="QJ47" s="30" t="str">
        <f>IFERROR(IF(DATA[[#This Row],[Administrative Officer 2: Numbers employed (Full Time Equivalent)]]=0,"",DATA[[#This Row],[Administrative Officer 2: Previous 2020/21 Minimum hourly pay rate ADJUSTED 2]]*DATA[[#This Row],[Administrative Officer 2: Numbers employed (Full Time Equivalent)]]),"")</f>
        <v/>
      </c>
      <c r="QK47" s="30" t="str">
        <f>IFERROR(IF(DATA[[#This Row],[Administrative Officer 2: Numbers employed (Full Time Equivalent)]]=0,"",DATA[[#This Row],[Administrative Officer 2: Previous 2020/21 Maximum hourly pay rate ADJUSTED 2]]*DATA[[#This Row],[Administrative Officer 2: Numbers employed (Full Time Equivalent)]]),"")</f>
        <v/>
      </c>
      <c r="QL47" s="30" t="str">
        <f>IFERROR(IF(DATA[[#This Row],[Administrative Officer 3: Numbers employed (Full Time Equivalent)]]=0,"",DATA[[#This Row],[Administrative Officer 3: Current 2021/22 Minimum hourly pay rate ADJUSTED 2]]*DATA[[#This Row],[Administrative Officer 3: Numbers employed (Full Time Equivalent)]]),"")</f>
        <v/>
      </c>
      <c r="QM47" s="30" t="str">
        <f>IFERROR(IF(DATA[[#This Row],[Administrative Officer 3: Numbers employed (Full Time Equivalent)]]=0,"",DATA[[#This Row],[Administrative Officer 3: Current 2021/22 Maximum hourly pay rate ADJUSTED 2]]*DATA[[#This Row],[Administrative Officer 3: Numbers employed (Full Time Equivalent)]]),"")</f>
        <v/>
      </c>
      <c r="QN47" s="30" t="str">
        <f>IFERROR(IF(DATA[[#This Row],[Administrative Officer 3: Numbers employed (Full Time Equivalent)]]=0,"",DATA[[#This Row],[Administrative Officer 3: Previous 2020/21 Minimum hourly pay rate ADJUSTED 2]]*DATA[[#This Row],[Administrative Officer 3: Numbers employed (Full Time Equivalent)]]),"")</f>
        <v/>
      </c>
      <c r="QO47" s="30" t="str">
        <f>IFERROR(IF(DATA[[#This Row],[Administrative Officer 3: Numbers employed (Full Time Equivalent)]]=0,"",DATA[[#This Row],[Administrative Officer 3: Previous 2020/21 Maximum hourly pay rate ADJUSTED 2]]*DATA[[#This Row],[Administrative Officer 3: Numbers employed (Full Time Equivalent)]]),"")</f>
        <v/>
      </c>
      <c r="QP47" s="28" t="str">
        <f>IFERROR(IF(DATA[[#This Row],[Other staff 1: Numbers employed (Full Time Equivalent)]]=0,"",DATA[[#This Row],[Other staff 1: Current 2021/22 Minimum hourly pay rate ADJUSTED 2]]*DATA[[#This Row],[Other staff 1: Numbers employed (Full Time Equivalent)]]),"")</f>
        <v/>
      </c>
      <c r="QQ47" s="28" t="str">
        <f>IFERROR(IF(DATA[[#This Row],[Other staff 1: Numbers employed (Full Time Equivalent)]]=0,"",DATA[[#This Row],[Other staff 1: Current 2021/22 Maximum hourly pay rate ADJUSTED 2]]*DATA[[#This Row],[Other staff 1: Numbers employed (Full Time Equivalent)]]),"")</f>
        <v/>
      </c>
      <c r="QR47" s="28" t="str">
        <f>IFERROR(IF(DATA[[#This Row],[Other staff 1: Numbers employed (Full Time Equivalent)]]=0,"",DATA[[#This Row],[Other staff 1: Previous 2020/21 Minimum hourly pay rate ADJUSTED 2]]*DATA[[#This Row],[Other staff 1: Numbers employed (Full Time Equivalent)]]),"")</f>
        <v/>
      </c>
      <c r="QS47" s="28" t="str">
        <f>IFERROR(IF(DATA[[#This Row],[Other staff 1: Numbers employed (Full Time Equivalent)]]=0,"",DATA[[#This Row],[Other staff 1: Previous 2020/21 Maximum hourly pay rate ADJUSTED 2]]*DATA[[#This Row],[Other staff 1: Numbers employed (Full Time Equivalent)]]),"")</f>
        <v/>
      </c>
      <c r="QT47" s="28" t="str">
        <f>IFERROR(IF(DATA[[#This Row],[Other staff 2: Numbers employed (Full Time Equivalent)]]=0,"",DATA[[#This Row],[Other staff 2: Current 2021/22 Minimum hourly pay rate ADJUSTED 2]]*DATA[[#This Row],[Other staff 2: Numbers employed (Full Time Equivalent)]]),"")</f>
        <v/>
      </c>
      <c r="QU47" s="28" t="str">
        <f>IFERROR(IF(DATA[[#This Row],[Other staff 2: Numbers employed (Full Time Equivalent)]]=0,"",DATA[[#This Row],[Other staff 2: Current 2021/22 Maximum hourly pay rate ADJUSTED 2]]*DATA[[#This Row],[Other staff 2: Numbers employed (Full Time Equivalent)]]),"")</f>
        <v/>
      </c>
      <c r="QV47" s="28" t="str">
        <f>IFERROR(IF(DATA[[#This Row],[Other staff 2: Numbers employed (Full Time Equivalent)]]=0,"",DATA[[#This Row],[Other staff 2: Previous 2020/21 Minimum hourly pay rate ADJUSTED 2]]*DATA[[#This Row],[Other staff 2: Numbers employed (Full Time Equivalent)]]),"")</f>
        <v/>
      </c>
      <c r="QW47" s="28" t="str">
        <f>IFERROR(IF(DATA[[#This Row],[Other staff 2: Numbers employed (Full Time Equivalent)]]=0,"",DATA[[#This Row],[Other staff 2: Previous 2020/21 Maximum hourly pay rate ADJUSTED 2]]*DATA[[#This Row],[Other staff 2: Numbers employed (Full Time Equivalent)]]),"")</f>
        <v/>
      </c>
      <c r="QX47" s="28" t="str">
        <f>IFERROR(IF(DATA[[#This Row],[Other staff 3: Numbers employed (Full Time Equivalent)]]=0,"",DATA[[#This Row],[Other staff 3: Current 2021/22 Minimum hourly pay rate ADJUSTED 2]]*DATA[[#This Row],[Other staff 3: Numbers employed (Full Time Equivalent)]]),"")</f>
        <v/>
      </c>
      <c r="QY47" s="28" t="str">
        <f>IFERROR(IF(DATA[[#This Row],[Other staff 3: Numbers employed (Full Time Equivalent)]]=0,"",DATA[[#This Row],[Other staff 3: Current 2021/22 Maximum hourly pay rate ADJUSTED 2]]*DATA[[#This Row],[Other staff 3: Numbers employed (Full Time Equivalent)]]),"")</f>
        <v/>
      </c>
      <c r="QZ47" s="28" t="str">
        <f>IFERROR(IF(DATA[[#This Row],[Other staff 3: Numbers employed (Full Time Equivalent)]]=0,"",DATA[[#This Row],[Other staff 3: Previous 2020/21 Minimum hourly pay rate ADJUSTED 2]]*DATA[[#This Row],[Other staff 3: Numbers employed (Full Time Equivalent)]]),"")</f>
        <v/>
      </c>
      <c r="RA47" s="28" t="str">
        <f>IFERROR(IF(DATA[[#This Row],[Other staff 3: Numbers employed (Full Time Equivalent)]]=0,"",DATA[[#This Row],[Other staff 3: Previous 2020/21 Maximum hourly pay rate ADJUSTED 2]]*DATA[[#This Row],[Other staff 3: Numbers employed (Full Time Equivalent)]]),"")</f>
        <v/>
      </c>
      <c r="RB47"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2</v>
      </c>
      <c r="RC47"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47"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47"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7"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7"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35</v>
      </c>
      <c r="RH47"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47"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47"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7"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2</v>
      </c>
      <c r="RL47"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47"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7"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47"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47"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8" spans="7:484" x14ac:dyDescent="0.25">
      <c r="G48" s="2">
        <v>42</v>
      </c>
      <c r="H48" s="2">
        <v>0</v>
      </c>
      <c r="I48" s="2">
        <v>65</v>
      </c>
      <c r="J48" s="2">
        <v>0</v>
      </c>
      <c r="K48" s="2">
        <v>1</v>
      </c>
      <c r="L48" s="2" t="s">
        <v>328</v>
      </c>
      <c r="M48" s="2" t="s">
        <v>328</v>
      </c>
      <c r="R48" s="2">
        <v>1</v>
      </c>
      <c r="S48" s="2">
        <v>0</v>
      </c>
      <c r="T48" s="2">
        <v>0</v>
      </c>
      <c r="U48" s="2">
        <v>0</v>
      </c>
      <c r="V48" s="2">
        <v>0</v>
      </c>
      <c r="W48" s="2">
        <v>0</v>
      </c>
      <c r="X48" s="2">
        <v>0</v>
      </c>
      <c r="Y48" s="2">
        <v>0</v>
      </c>
      <c r="Z48" s="2">
        <v>0</v>
      </c>
      <c r="AA48" s="2">
        <v>0</v>
      </c>
      <c r="AB48" s="2" t="s">
        <v>501</v>
      </c>
      <c r="AC48" s="2">
        <v>12.82</v>
      </c>
      <c r="AD48" s="2">
        <v>12.82</v>
      </c>
      <c r="AE48" s="2">
        <v>12.82</v>
      </c>
      <c r="AF48" s="2">
        <v>12.82</v>
      </c>
      <c r="AG48" s="2">
        <v>6</v>
      </c>
      <c r="AH48" s="2" t="s">
        <v>315</v>
      </c>
      <c r="AI48" s="2">
        <v>0</v>
      </c>
      <c r="AJ48" s="2">
        <v>0</v>
      </c>
      <c r="AK48" s="2">
        <v>0</v>
      </c>
      <c r="AL48" s="2">
        <v>0</v>
      </c>
      <c r="AM48" s="2">
        <v>0</v>
      </c>
      <c r="AN48" s="2" t="s">
        <v>315</v>
      </c>
      <c r="AO48" s="2">
        <v>0</v>
      </c>
      <c r="AP48" s="2">
        <v>0</v>
      </c>
      <c r="AQ48" s="2">
        <v>0</v>
      </c>
      <c r="AR48" s="2">
        <v>0</v>
      </c>
      <c r="AS48" s="2">
        <v>0</v>
      </c>
      <c r="AT48" s="2" t="s">
        <v>502</v>
      </c>
      <c r="AU48" s="2">
        <v>9.5</v>
      </c>
      <c r="AV48" s="2">
        <v>9.5</v>
      </c>
      <c r="AW48" s="2">
        <v>9</v>
      </c>
      <c r="AX48" s="2">
        <v>9</v>
      </c>
      <c r="AY48" s="2">
        <v>6</v>
      </c>
      <c r="AZ48" s="2" t="s">
        <v>503</v>
      </c>
      <c r="BA48" s="2">
        <v>8.91</v>
      </c>
      <c r="BB48" s="2">
        <v>8.91</v>
      </c>
      <c r="BC48" s="2">
        <v>8.7200000000000006</v>
      </c>
      <c r="BD48" s="2">
        <v>8.7200000000000006</v>
      </c>
      <c r="BE48" s="2">
        <v>89</v>
      </c>
      <c r="BF48" s="2" t="s">
        <v>316</v>
      </c>
      <c r="BG48" s="2">
        <v>0</v>
      </c>
      <c r="BH48" s="2">
        <v>0</v>
      </c>
      <c r="BI48" s="2">
        <v>0</v>
      </c>
      <c r="BJ48" s="2">
        <v>0</v>
      </c>
      <c r="BK48" s="2">
        <v>0</v>
      </c>
      <c r="BL48" s="2" t="s">
        <v>316</v>
      </c>
      <c r="BM48" s="2">
        <v>0</v>
      </c>
      <c r="BN48" s="2">
        <v>0</v>
      </c>
      <c r="BO48" s="2">
        <v>0</v>
      </c>
      <c r="BP48" s="2">
        <v>0</v>
      </c>
      <c r="BQ48" s="2">
        <v>0</v>
      </c>
      <c r="BR48" s="2" t="s">
        <v>317</v>
      </c>
      <c r="BS48" s="2">
        <v>0</v>
      </c>
      <c r="BT48" s="2">
        <v>0</v>
      </c>
      <c r="BU48" s="2">
        <v>0</v>
      </c>
      <c r="BV48" s="2">
        <v>0</v>
      </c>
      <c r="BW48" s="2">
        <v>0</v>
      </c>
      <c r="BX48" s="2" t="s">
        <v>317</v>
      </c>
      <c r="BY48" s="2">
        <v>0</v>
      </c>
      <c r="BZ48" s="2">
        <v>0</v>
      </c>
      <c r="CA48" s="2">
        <v>0</v>
      </c>
      <c r="CB48" s="2">
        <v>0</v>
      </c>
      <c r="CC48" s="2">
        <v>0</v>
      </c>
      <c r="CD48" s="2" t="s">
        <v>317</v>
      </c>
      <c r="CE48" s="2">
        <v>0</v>
      </c>
      <c r="CF48" s="2">
        <v>0</v>
      </c>
      <c r="CG48" s="2">
        <v>0</v>
      </c>
      <c r="CH48" s="2">
        <v>0</v>
      </c>
      <c r="CI48" s="2">
        <v>0</v>
      </c>
      <c r="CJ48" s="2" t="s">
        <v>318</v>
      </c>
      <c r="CK48" s="2">
        <v>0</v>
      </c>
      <c r="CL48" s="2">
        <v>0</v>
      </c>
      <c r="CM48" s="2">
        <v>0</v>
      </c>
      <c r="CN48" s="2">
        <v>0</v>
      </c>
      <c r="CO48" s="2">
        <v>0</v>
      </c>
      <c r="CP48" s="2" t="s">
        <v>318</v>
      </c>
      <c r="CQ48" s="2">
        <v>0</v>
      </c>
      <c r="CR48" s="2">
        <v>0</v>
      </c>
      <c r="CS48" s="2">
        <v>0</v>
      </c>
      <c r="CT48" s="2">
        <v>0</v>
      </c>
      <c r="CU48" s="2">
        <v>0</v>
      </c>
      <c r="CV48" s="2" t="s">
        <v>318</v>
      </c>
      <c r="CW48" s="2">
        <v>0</v>
      </c>
      <c r="CX48" s="2">
        <v>0</v>
      </c>
      <c r="CY48" s="2">
        <v>0</v>
      </c>
      <c r="CZ48" s="2">
        <v>0</v>
      </c>
      <c r="DA48" s="2">
        <v>0</v>
      </c>
      <c r="DB48" s="2">
        <v>0.03</v>
      </c>
      <c r="DC48" s="2">
        <v>0</v>
      </c>
      <c r="DD48" s="2">
        <v>0</v>
      </c>
      <c r="DE48" s="2">
        <v>0</v>
      </c>
      <c r="DF48" s="2">
        <v>0</v>
      </c>
      <c r="DG48" s="2">
        <v>0</v>
      </c>
      <c r="DH48" s="2">
        <v>0</v>
      </c>
      <c r="DI48" s="2">
        <v>2705</v>
      </c>
      <c r="DJ48" s="2">
        <v>302</v>
      </c>
      <c r="DK48" s="2">
        <v>376</v>
      </c>
      <c r="DL48" s="2">
        <v>0</v>
      </c>
      <c r="DM48" s="2">
        <v>116</v>
      </c>
      <c r="DN48" s="2">
        <v>0</v>
      </c>
      <c r="DO48" s="2">
        <v>15.82</v>
      </c>
      <c r="DP48" s="2">
        <v>0</v>
      </c>
      <c r="DQ48" s="2">
        <v>15.27</v>
      </c>
      <c r="DR48" s="18">
        <v>44075</v>
      </c>
      <c r="DS48" s="18">
        <v>44439</v>
      </c>
      <c r="DT48" s="2">
        <v>181948</v>
      </c>
      <c r="DU48" s="2">
        <v>224250</v>
      </c>
      <c r="DV48" s="2">
        <v>1657480</v>
      </c>
      <c r="DW48" s="2">
        <v>0</v>
      </c>
      <c r="DX48" s="2">
        <v>0</v>
      </c>
      <c r="DY48" s="2">
        <v>18000</v>
      </c>
      <c r="DZ48" s="2">
        <v>390</v>
      </c>
      <c r="EA48" s="2">
        <v>0</v>
      </c>
      <c r="EB48" s="2">
        <v>0</v>
      </c>
      <c r="EC48" s="2">
        <v>0</v>
      </c>
      <c r="ED48" s="2">
        <v>0</v>
      </c>
      <c r="EE48" s="2">
        <v>0</v>
      </c>
      <c r="EF48" s="2">
        <v>0</v>
      </c>
      <c r="EG48" s="2">
        <v>0</v>
      </c>
      <c r="EH48" s="2" t="s">
        <v>324</v>
      </c>
      <c r="EI48" s="2">
        <v>0</v>
      </c>
      <c r="EJ48" s="2" t="s">
        <v>324</v>
      </c>
      <c r="EK48" s="2">
        <v>0</v>
      </c>
      <c r="EL48" s="2">
        <v>36166</v>
      </c>
      <c r="EM48" s="2">
        <v>0</v>
      </c>
      <c r="EN48" s="2">
        <v>0</v>
      </c>
      <c r="EO48" s="2">
        <v>0</v>
      </c>
      <c r="EP48" s="2">
        <v>0</v>
      </c>
      <c r="EQ48" s="2">
        <v>0</v>
      </c>
      <c r="ER48" s="2">
        <v>0</v>
      </c>
      <c r="ES48" s="2">
        <v>0</v>
      </c>
      <c r="ET48" s="2" t="s">
        <v>324</v>
      </c>
      <c r="EU48" s="2">
        <v>0</v>
      </c>
      <c r="EV48" s="2" t="s">
        <v>324</v>
      </c>
      <c r="EW48" s="2">
        <v>0</v>
      </c>
      <c r="EX48" s="2">
        <v>0</v>
      </c>
      <c r="EY48" s="2">
        <v>0</v>
      </c>
      <c r="EZ48" s="2" t="s">
        <v>326</v>
      </c>
      <c r="FA48" s="2">
        <v>0</v>
      </c>
      <c r="FB48" s="2" t="s">
        <v>326</v>
      </c>
      <c r="FC48" s="2">
        <v>0</v>
      </c>
      <c r="FD48" s="2"/>
      <c r="FE48" s="2">
        <v>0</v>
      </c>
      <c r="FF48" s="2">
        <v>0</v>
      </c>
      <c r="FG48" s="2"/>
      <c r="FH48" s="19">
        <v>44480.624583333331</v>
      </c>
      <c r="FI48" s="2" t="s">
        <v>327</v>
      </c>
      <c r="FJ48" s="2">
        <f>SUM(DATA[[#This Row],[Number of Home support clients:]],DATA[[#This Row],[Number of supported living clients:]])</f>
        <v>65</v>
      </c>
      <c r="FK48"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61-70</v>
      </c>
      <c r="FL48" s="2" t="str">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
      </c>
      <c r="FM48" s="2" t="str">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
      </c>
      <c r="FN48"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48"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48"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48"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48"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48"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48"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12.82</v>
      </c>
      <c r="FU48"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12.82</v>
      </c>
      <c r="FV48"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12.82</v>
      </c>
      <c r="FW48"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12.82</v>
      </c>
      <c r="FX48"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8"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8"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8"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8"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8"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8"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8"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8"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9.5</v>
      </c>
      <c r="GG48"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9.5</v>
      </c>
      <c r="GH48"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v>
      </c>
      <c r="GI48"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v>
      </c>
      <c r="GJ48"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8.91</v>
      </c>
      <c r="GK48"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8.91</v>
      </c>
      <c r="GL48"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8.7200000000000006</v>
      </c>
      <c r="GM48"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8.7200000000000006</v>
      </c>
      <c r="GN48"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48"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48"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48"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48"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8"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8"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8"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8"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48"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48"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48"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48"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48"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48"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48"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48"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8"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8"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8"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8"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48"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48"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48"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48"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48"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48"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48"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48"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8"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8"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8"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8" s="2" t="str">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
      </c>
      <c r="HU48" s="2" t="str">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
      </c>
      <c r="HV48" s="2" t="str">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
      </c>
      <c r="HW48" s="2" t="str">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
      </c>
      <c r="HX48"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48"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48"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48"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48"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12.82</v>
      </c>
      <c r="IC48"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12.82</v>
      </c>
      <c r="ID48"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12.82</v>
      </c>
      <c r="IE48"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12.82</v>
      </c>
      <c r="IF48"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8"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8"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8"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8"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8"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8"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8"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8"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9.5</v>
      </c>
      <c r="IO48"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9.5</v>
      </c>
      <c r="IP48"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v>
      </c>
      <c r="IQ48"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v>
      </c>
      <c r="IR48"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8.91</v>
      </c>
      <c r="IS48"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8.91</v>
      </c>
      <c r="IT48"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8.7200000000000006</v>
      </c>
      <c r="IU48"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8.7200000000000006</v>
      </c>
      <c r="IV48"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48"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48"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48"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48"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8"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8"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8"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8"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48"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48"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48"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48"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48"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48"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48"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48"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8"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8"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8"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8"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48"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48"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48"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48"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48"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48"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48"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48"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8"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8"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8"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8"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6</v>
      </c>
      <c r="KC48" s="21">
        <f>SUM(DATA[[#This Row],[Care Assistant 1: Numbers employed (Full Time Equivalent)]],DATA[[#This Row],[Care Assistant 2: Numbers employed (Full Time Equivalent)]],DATA[[#This Row],[Care Assistant 3: Numbers employed (Full Time Equivalent)]],DATA[[#This Row],[Care Assistant 4: Numbers employed (Full Time Equivalent)]])</f>
        <v>95</v>
      </c>
      <c r="KD48" s="21">
        <f>SUM(DATA[[#This Row],[Administrative Officer 1: Numbers employed (Full Time Equivalent)]],DATA[[#This Row],[Administrative Officer 2: Numbers employed (Full Time Equivalent)]])</f>
        <v>0</v>
      </c>
      <c r="KE48" s="21">
        <f>SUM(DATA[[#This Row],[Other staff 1: Numbers employed (Full Time Equivalent)]],DATA[[#This Row],[Other staff 2: Numbers employed (Full Time Equivalent)]],DATA[[#This Row],[Other staff 3: Numbers employed (Full Time Equivalent)]])</f>
        <v>0</v>
      </c>
      <c r="KF48" s="21">
        <f>SUM(DATA[[#This Row],[Total FTE Management Employees]:[Total FTE Other Employees]])</f>
        <v>101</v>
      </c>
      <c r="KG48" s="21" t="str">
        <f>IF(SUM(DATA[[#This Row],[Home Support service split percentage (Expenditure):]],DATA[[#This Row],[Supported Living service split percentage (Expenditure):]])&gt;0, IF(DATA[[#This Row],[Home Support service split percentage (Expenditure):]]&gt;0.5,"Home Support","Supported Living"), "Unknown")</f>
        <v>Supported Living</v>
      </c>
      <c r="KH48" s="21">
        <f>SUM(DATA[[#This Row],[Home Support: Birmingham City Council]:[Home Support: Self-funded]])</f>
        <v>0</v>
      </c>
      <c r="KI48" s="21">
        <f>SUM(DATA[[#This Row],[Supported Living: Birmingham City Council]:[Supported Living: Self-funded]])</f>
        <v>3499</v>
      </c>
      <c r="KJ48"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8"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8"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8"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8" s="21" t="b">
        <f>SUM(DATA[[#This Row],[Number of hours of care charged for in last full accounting year]:[Corporate Overheads: Other  - please specify (category) 1]])&gt;0</f>
        <v>1</v>
      </c>
      <c r="KO48" s="21">
        <f>SUM(DATA[[#This Row],[Total annual expenditure: Management staff]:[Total annual expenditure: Training and development]])</f>
        <v>1900120</v>
      </c>
      <c r="KP48" s="21">
        <f>SUM(DATA[[#This Row],[Recruitment &amp; advertising (including DBS checks)]:[Non-Staffing Direct Cost: Other  - please specify (amount) 2]])</f>
        <v>0</v>
      </c>
      <c r="KQ48" s="21">
        <f>SUM(DATA[[#This Row],[Insurance ]:[Indirect costs: Other 2 - please specify (amount)]])</f>
        <v>36166</v>
      </c>
      <c r="KR48" s="21">
        <f>SUM(DATA[[#This Row],[Central / Regional Management]],DATA[[#This Row],[Support Services (finance / HR / Payroll / legal etc.)]],DATA[[#This Row],[Corporate Overheads: Other  - please specify (amount) 1]],DATA[[#This Row],[Corporate Overheads: Other  - please specify (amount) 2]])</f>
        <v>0</v>
      </c>
      <c r="KS48"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1.2324949985710203</v>
      </c>
      <c r="KT48"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9.1096357200958522</v>
      </c>
      <c r="KU48"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48"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48" s="30">
        <f>IF(OR(NOT(DATA[[#This Row],[Total annual expenditure: Agency staff]]&gt;0),NOT(DATA[[#This Row],[Number of hours of care charged for in last full accounting year]]&gt;0)),0,DATA[[#This Row],[Total annual expenditure: Agency staff]]/DATA[[#This Row],[Number of hours of care charged for in last full accounting year]])</f>
        <v>9.892936443379427E-2</v>
      </c>
      <c r="KX48" s="30">
        <f>IF(OR(NOT(DATA[[#This Row],[Total annual expenditure: Travel Cost]]&gt;0),NOT(DATA[[#This Row],[Number of hours of care charged for in last full accounting year]]&gt;0)),0,DATA[[#This Row],[Total annual expenditure: Travel Cost]]/DATA[[#This Row],[Number of hours of care charged for in last full accounting year]])</f>
        <v>2.1434695627322092E-3</v>
      </c>
      <c r="KY48"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48"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48"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48"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48" s="30">
        <f>IF(OR(NOT(DATA[[#This Row],[Care consumables &amp; uniforms]]&gt;0),NOT(DATA[[#This Row],[Number of hours of care charged for in last full accounting year]]&gt;0)),0,DATA[[#This Row],[Care consumables &amp; uniforms]]/DATA[[#This Row],[Number of hours of care charged for in last full accounting year]])</f>
        <v>0</v>
      </c>
      <c r="LD48" s="30">
        <f>IF(OR(NOT(DATA[[#This Row],[Electronic call monitoring]]&gt;0),NOT(DATA[[#This Row],[Number of hours of care charged for in last full accounting year]]&gt;0)),0,DATA[[#This Row],[Electronic call monitoring]]/DATA[[#This Row],[Number of hours of care charged for in last full accounting year]])</f>
        <v>0</v>
      </c>
      <c r="LE48" s="30">
        <f>IF(OR(NOT(DATA[[#This Row],[IT Equipment &amp; Telephoney]]&gt;0),NOT(DATA[[#This Row],[Number of hours of care charged for in last full accounting year]]&gt;0)),0,DATA[[#This Row],[IT Equipment &amp; Telephoney]]/DATA[[#This Row],[Number of hours of care charged for in last full accounting year]])</f>
        <v>0</v>
      </c>
      <c r="LF48"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48"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48" s="30">
        <f>IF(OR(NOT(DATA[[#This Row],[Insurance ]]&gt;0),NOT(DATA[[#This Row],[Number of hours of care charged for in last full accounting year]]&gt;0)),0,DATA[[#This Row],[Insurance ]]/DATA[[#This Row],[Number of hours of care charged for in last full accounting year]])</f>
        <v>0.19877107745070019</v>
      </c>
      <c r="LI48"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48" s="30">
        <f>IF(OR(NOT(DATA[[#This Row],[Repairs and maintenance]]&gt;0),NOT(DATA[[#This Row],[Number of hours of care charged for in last full accounting year]]&gt;0)),0,DATA[[#This Row],[Repairs and maintenance]]/DATA[[#This Row],[Number of hours of care charged for in last full accounting year]])</f>
        <v>0</v>
      </c>
      <c r="LK48"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48" s="30">
        <f>IF(OR(NOT(DATA[[#This Row],[Registration &amp; Inspection fees ]]&gt;0),NOT(DATA[[#This Row],[Number of hours of care charged for in last full accounting year]]&gt;0)),0,DATA[[#This Row],[Registration &amp; Inspection fees ]]/DATA[[#This Row],[Number of hours of care charged for in last full accounting year]])</f>
        <v>0</v>
      </c>
      <c r="LM48" s="30">
        <f>IF(OR(NOT(DATA[[#This Row],[Subscriptions]]&gt;0),NOT(DATA[[#This Row],[Number of hours of care charged for in last full accounting year]]&gt;0)),0,DATA[[#This Row],[Subscriptions]]/DATA[[#This Row],[Number of hours of care charged for in last full accounting year]])</f>
        <v>0</v>
      </c>
      <c r="LN48" s="30">
        <f>IF(OR(NOT(DATA[[#This Row],[Cost of finance]]&gt;0),NOT(DATA[[#This Row],[Number of hours of care charged for in last full accounting year]]&gt;0)),0,DATA[[#This Row],[Cost of finance]]/DATA[[#This Row],[Number of hours of care charged for in last full accounting year]])</f>
        <v>0</v>
      </c>
      <c r="LO48" s="30">
        <f>IF(OR(NOT(DATA[[#This Row],[Other non-staff current expenses]]&gt;0),NOT(DATA[[#This Row],[Number of hours of care charged for in last full accounting year]]&gt;0)),0,DATA[[#This Row],[Other non-staff current expenses]]/DATA[[#This Row],[Number of hours of care charged for in last full accounting year]])</f>
        <v>0</v>
      </c>
      <c r="LP48"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48"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8" s="30">
        <f>IF(OR(NOT(DATA[[#This Row],[Central / Regional Management]]&gt;0),NOT(DATA[[#This Row],[Number of hours of care charged for in last full accounting year]]&gt;0)),0,DATA[[#This Row],[Central / Regional Management]]/DATA[[#This Row],[Number of hours of care charged for in last full accounting year]])</f>
        <v>0</v>
      </c>
      <c r="LS48"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48"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48"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8" s="30">
        <f>SUM(DATA[[#This Row],[Management staff HOURLY RATE]:[Corporate Overheads: Other  - please specify (amount) 2 HOURLY RATE]])</f>
        <v>10.641974630114099</v>
      </c>
      <c r="LW48" s="30" t="str">
        <f>IF(OR(NOT(DATA[[#This Row],[Net Operating Profit]]&gt;0),NOT(DATA[[#This Row],[Number of hours of care charged for in last full accounting year]]&gt;0)),"",DATA[[#This Row],[Net Operating Profit]]/DATA[[#This Row],[Number of hours of care charged for in last full accounting year]])</f>
        <v/>
      </c>
      <c r="LX48" s="30">
        <f>IF(OR(NOT(DATA[[#This Row],[Return on Capital employed]]&gt;0),NOT(DATA[[#This Row],[Number of hours of care charged for in last full accounting year]]&gt;0)),0,DATA[[#This Row],[Return on Capital employed]]/DATA[[#This Row],[Number of hours of care charged for in last full accounting year]])</f>
        <v>0</v>
      </c>
      <c r="LY48" s="31">
        <v>42</v>
      </c>
      <c r="LZ48" s="30" t="s">
        <v>358</v>
      </c>
      <c r="MA48" s="30" t="b">
        <f>DATA[[#This Row],[Number of Home support clients:]]&gt;0</f>
        <v>0</v>
      </c>
      <c r="MB48" s="30" t="b">
        <f>DATA[[#This Row],[Number of supported living clients:]]&gt;0</f>
        <v>1</v>
      </c>
      <c r="MC48" s="30" t="b">
        <f>DATA[[#This Row],[Total Home Support Hours]]&gt;0</f>
        <v>0</v>
      </c>
      <c r="MD48" s="30" t="b">
        <f>DATA[[#This Row],[Total Supported Living Hours]]&gt;0</f>
        <v>1</v>
      </c>
      <c r="ME48" s="30" t="b">
        <f>DATA[[#This Row],[Home Support service split percentage (Expenditure):]]&gt;0.5</f>
        <v>0</v>
      </c>
      <c r="MF48" s="30" t="b">
        <f>DATA[[#This Row],[Agency staff HOURLY RATE]]=0</f>
        <v>0</v>
      </c>
      <c r="MG48" s="30" t="str">
        <f>IFERROR(IF(AVERAGE(DATA[[#This Row],[Registered manager: Current 2021/22 Minimum hourly pay rate ADJUSTED]],DATA[[#This Row],[Registered manager: Current 2021/22 Maximum hourly pay rate ADJUSTED]])&lt;LIVING_WAGE_22_23,DATA[[#This Row],[Registered manager: Numbers employed (Full Time Equivalent)]],0),"")</f>
        <v/>
      </c>
      <c r="MH48" s="30" t="str">
        <f>IFERROR(IF(AVERAGE(DATA[[#This Row],[Deputy manager: Current 2021/22 Minimum hourly pay rate ADJUSTED]],DATA[[#This Row],[Deputy manager: Current 2021/22 Maximum hourly pay rate ADJUSTED]])&lt;LIVING_WAGE_22_23,DATA[[#This Row],[Deputy manager: Numbers employed (Full Time Equivalent)]],0),"")</f>
        <v/>
      </c>
      <c r="MI48" s="30">
        <f>IFERROR(IF(AVERAGE(DATA[[#This Row],[Other manager 1: Current 2021/22 Minimum hourly pay rate ADJUSTED]],DATA[[#This Row],[Other manager 1: Current 2021/22 Maximum hourly pay rate ADJUSTED]])&lt;LIVING_WAGE_22_23,DATA[[#This Row],[Other manager 1: Numbers employed (Full Time Equivalent)]],0),"")</f>
        <v>0</v>
      </c>
      <c r="MJ48" s="30" t="str">
        <f>IFERROR(IF(AVERAGE(DATA[[#This Row],[Other manager 2: Current 2021/22 Minimum hourly pay rate ADJUSTED]],DATA[[#This Row],[Other manager 2: Current 2021/22 Maximum hourly pay rate ADJUSTED]])&lt;LIVING_WAGE_22_23,DATA[[#This Row],[Other manager 2: Numbers employed (Full Time Equivalent)]],0),"")</f>
        <v/>
      </c>
      <c r="MK48" s="30" t="str">
        <f>IFERROR(IF(AVERAGE(DATA[[#This Row],[Other manager 3: Current 2021/22 Minimum hourly pay rate ADJUSTED]],DATA[[#This Row],[Other manager 3: Current 2021/22 Maximum hourly pay rate ADJUSTED]])&lt;LIVING_WAGE_22_23,DATA[[#This Row],[Other manager 3: Numbers employed (Full Time Equivalent)]],0),"")</f>
        <v/>
      </c>
      <c r="ML48" s="30">
        <f>IFERROR(IF(AVERAGE(DATA[[#This Row],[Care Assistant 1: Current 2021/22 Minimum hourly pay rate ADJUSTED]],DATA[[#This Row],[Care Assistant 1: Current 2021/22 Maximum hourly pay rate ADJUSTED]])&lt;LIVING_WAGE_22_23,DATA[[#This Row],[Care Assistant 1: Numbers employed (Full Time Equivalent)]],0),"")</f>
        <v>0</v>
      </c>
      <c r="MM48" s="30">
        <f>IFERROR(IF(AVERAGE(DATA[[#This Row],[Care Assistant 2: Current 2021/22 Minimum hourly pay rate ADJUSTED]],DATA[[#This Row],[Care Assistant 2: Current 2021/22 Maximum hourly pay rate ADJUSTED]])&lt;LIVING_WAGE_22_23,DATA[[#This Row],[Care Assistant 2: Numbers employed (Full Time Equivalent)]],0),"")</f>
        <v>89</v>
      </c>
      <c r="MN48" s="30" t="str">
        <f>IFERROR(IF(AVERAGE(DATA[[#This Row],[Care Assistant 3: Current 2021/22 Minimum hourly pay rate ADJUSTED]],DATA[[#This Row],[Care Assistant 3: Current 2021/22 Maximum hourly pay rate ADJUSTED]])&lt;LIVING_WAGE_22_23,DATA[[#This Row],[Care Assistant 3: Numbers employed (Full Time Equivalent)]],0),"")</f>
        <v/>
      </c>
      <c r="MO48" s="30" t="str">
        <f>IFERROR(IF(AVERAGE(DATA[[#This Row],[Care Assistant 4: Current 2021/22 Minimum hourly pay rate ADJUSTED]],DATA[[#This Row],[Care Assistant 4: Current 2021/22 Maximum hourly pay rate ADJUSTED]])&lt;LIVING_WAGE_22_23,DATA[[#This Row],[Care Assistant 4: Numbers employed (Full Time Equivalent)]],0),"")</f>
        <v/>
      </c>
      <c r="MP48"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48"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48" s="30" t="str">
        <f>IFERROR(IF(AVERAGE(DATA[[#This Row],[Other staff 1: Current 2021/22 Minimum hourly pay rate ADJUSTED]],DATA[[#This Row],[Other staff 1: Current 2021/22 Maximum hourly pay rate ADJUSTED]])&lt;LIVING_WAGE_22_23,DATA[[#This Row],[Other staff 1: Numbers employed (Full Time Equivalent)]],0),"")</f>
        <v/>
      </c>
      <c r="MS48" s="30" t="str">
        <f>IFERROR(IF(AVERAGE(DATA[[#This Row],[Other staff 2: Current 2021/22 Minimum hourly pay rate ADJUSTED]],DATA[[#This Row],[Other staff 2: Current 2021/22 Maximum hourly pay rate ADJUSTED]])&lt;LIVING_WAGE_22_23,DATA[[#This Row],[Other staff 2: Numbers employed (Full Time Equivalent)]],0),"")</f>
        <v/>
      </c>
      <c r="MT48" s="30" t="str">
        <f>IFERROR(IF(AVERAGE(DATA[[#This Row],[Other staff 3: Current 2021/22 Minimum hourly pay rate ADJUSTED]],DATA[[#This Row],[Other staff 3: Current 2021/22 Maximum hourly pay rate ADJUSTED]])&lt;LIVING_WAGE_22_23,DATA[[#This Row],[Other staff 3: Numbers employed (Full Time Equivalent)]],0),"")</f>
        <v/>
      </c>
      <c r="MU48" s="30">
        <f>SUM(DATA[[#This Row],[Registered Manager FTE earning less than NLW 23yrs 2022/23]:[Other staff 3 FTE earning less than NLW 23yrs 2022/23]])</f>
        <v>89</v>
      </c>
      <c r="MV48" s="30" t="str">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
      </c>
      <c r="MW48"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48"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48"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8"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8"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48"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52.509999999999991</v>
      </c>
      <c r="NC48"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48"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8"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48"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48"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48"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48"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8" s="30" t="b">
        <v>1</v>
      </c>
      <c r="NK48" s="30" t="b">
        <v>1</v>
      </c>
      <c r="NL48" s="30" t="s">
        <v>505</v>
      </c>
      <c r="NM48" s="30">
        <f>SUM(DATA[[#This Row],[Management staff HOURLY RATE]:[Training and development HOURLY RATE]])</f>
        <v>10.443203552663398</v>
      </c>
      <c r="NN48" s="30">
        <f>SUM(DATA[[#This Row],[Recruitment &amp; advertising (including DBS checks) HOURLY RATE]:[Non-Staffing Direct Cost: Other  - please specify (amount) 2 HOURLY RATE]])</f>
        <v>0</v>
      </c>
      <c r="NO48" s="30">
        <f>SUM(DATA[[#This Row],[Insurance  HOURLY RATE]:[Indirect costs: Other  - please specify (amount) 2 HOURLY RATE]])</f>
        <v>0.19877107745070019</v>
      </c>
      <c r="NP48" s="30">
        <f>SUM(DATA[[#This Row],[Central / Regional Management HOURLY RATE]:[Corporate Overheads: Other  - please specify (amount) 2 HOURLY RATE]])</f>
        <v>0</v>
      </c>
      <c r="NQ48" s="30" t="str">
        <f>IFERROR(IF(AVERAGE(DATA[[#This Row],[Registered manager: Current 2021/22 Minimum hourly pay rate ADJUSTED]],DATA[[#This Row],[Registered manager: Current 2021/22 Maximum hourly pay rate ADJUSTED]])&lt;REAL_LIVING_WAGE_22_23,DATA[[#This Row],[Registered manager: Numbers employed (Full Time Equivalent)]],0),"")</f>
        <v/>
      </c>
      <c r="NR48" s="30" t="str">
        <f>IFERROR(IF(AVERAGE(DATA[[#This Row],[Deputy manager: Current 2021/22 Minimum hourly pay rate ADJUSTED]],DATA[[#This Row],[Deputy manager: Current 2021/22 Maximum hourly pay rate ADJUSTED]])&lt;REAL_LIVING_WAGE_22_23,DATA[[#This Row],[Deputy manager: Numbers employed (Full Time Equivalent)]],0),"")</f>
        <v/>
      </c>
      <c r="NS48" s="30">
        <f>IFERROR(IF(AVERAGE(DATA[[#This Row],[Other manager 1: Current 2021/22 Minimum hourly pay rate ADJUSTED]],DATA[[#This Row],[Other manager 1: Current 2021/22 Maximum hourly pay rate ADJUSTED]])&lt;REAL_LIVING_WAGE_22_23,DATA[[#This Row],[Other manager 1: Numbers employed (Full Time Equivalent)]],0),"")</f>
        <v>0</v>
      </c>
      <c r="NT48" s="30" t="str">
        <f>IFERROR(IF(AVERAGE(DATA[[#This Row],[Other manager 2: Current 2021/22 Minimum hourly pay rate ADJUSTED]],DATA[[#This Row],[Other manager 2: Current 2021/22 Maximum hourly pay rate ADJUSTED]])&lt;REAL_LIVING_WAGE_22_23,DATA[[#This Row],[Other manager 2: Numbers employed (Full Time Equivalent)]],0),"")</f>
        <v/>
      </c>
      <c r="NU48" s="30" t="str">
        <f>IFERROR(IF(AVERAGE(DATA[[#This Row],[Other manager 3: Current 2021/22 Minimum hourly pay rate ADJUSTED]],DATA[[#This Row],[Other manager 3: Current 2021/22 Maximum hourly pay rate ADJUSTED]])&lt;REAL_LIVING_WAGE_22_23,DATA[[#This Row],[Other manager 3: Numbers employed (Full Time Equivalent)]],0),"")</f>
        <v/>
      </c>
      <c r="NV48" s="30">
        <f>IFERROR(IF(AVERAGE(DATA[[#This Row],[Care Assistant 1: Current 2021/22 Minimum hourly pay rate ADJUSTED]],DATA[[#This Row],[Care Assistant 1: Current 2021/22 Maximum hourly pay rate ADJUSTED]])&lt;REAL_LIVING_WAGE_22_23,DATA[[#This Row],[Care Assistant 1: Numbers employed (Full Time Equivalent)]],0),"")</f>
        <v>6</v>
      </c>
      <c r="NW48" s="30">
        <f>IFERROR(IF(AVERAGE(DATA[[#This Row],[Care Assistant 2: Current 2021/22 Minimum hourly pay rate ADJUSTED]],DATA[[#This Row],[Care Assistant 2: Current 2021/22 Maximum hourly pay rate ADJUSTED]])&lt;REAL_LIVING_WAGE_22_23,DATA[[#This Row],[Care Assistant 2: Numbers employed (Full Time Equivalent)]],0),"")</f>
        <v>89</v>
      </c>
      <c r="NX48"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48"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8"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48"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48" s="30" t="str">
        <f>IFERROR(IF(AVERAGE(DATA[[#This Row],[Other staff 1: Current 2021/22 Minimum hourly pay rate ADJUSTED]],DATA[[#This Row],[Other staff 1: Current 2021/22 Maximum hourly pay rate ADJUSTED]])&lt;REAL_LIVING_WAGE_22_23,DATA[[#This Row],[Other staff 1: Numbers employed (Full Time Equivalent)]],0),"")</f>
        <v/>
      </c>
      <c r="OC48" s="30" t="str">
        <f>IFERROR(IF(AVERAGE(DATA[[#This Row],[Other staff 2: Current 2021/22 Minimum hourly pay rate ADJUSTED]],DATA[[#This Row],[Other staff 2: Current 2021/22 Maximum hourly pay rate ADJUSTED]])&lt;REAL_LIVING_WAGE_22_23,DATA[[#This Row],[Other staff 2: Numbers employed (Full Time Equivalent)]],0),"")</f>
        <v/>
      </c>
      <c r="OD48" s="30" t="str">
        <f>IFERROR(IF(AVERAGE(DATA[[#This Row],[Other staff 3: Current 2021/22 Minimum hourly pay rate ADJUSTED]],DATA[[#This Row],[Other staff 3: Current 2021/22 Maximum hourly pay rate ADJUSTED]])&lt;REAL_LIVING_WAGE_22_23,DATA[[#This Row],[Other staff 3: Numbers employed (Full Time Equivalent)]],0),"")</f>
        <v/>
      </c>
      <c r="OE48" s="30">
        <f>SUM(DATA[[#This Row],[Registered Manager FTE earning less than RLW 23yrs 2022/23]:[Other staff 3 FTE earning less than RLW 23yrs 2022/23]])</f>
        <v>95</v>
      </c>
      <c r="OF48" s="30" t="str">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
      </c>
      <c r="OG48"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48"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48"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8"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8"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2.4000000000000021</v>
      </c>
      <c r="OL48"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88.110000000000014</v>
      </c>
      <c r="OM48"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48"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8"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48"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48"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48"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48"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8" s="30" t="str">
        <f>IFERROR(IF(DATA[[#This Row],[Registered manager: Numbers employed (Full Time Equivalent)]]=0,"",DATA[[#This Row],[Registered manager: Current 2021/22 Minimum hourly pay rate ADJUSTED 2]]*DATA[[#This Row],[Registered manager: Numbers employed (Full Time Equivalent)]]),"")</f>
        <v/>
      </c>
      <c r="OU48" s="30" t="str">
        <f>IFERROR(IF(DATA[[#This Row],[Registered manager: Numbers employed (Full Time Equivalent)]]=0,"",DATA[[#This Row],[Registered manager: Current 2021/22 Maximum hourly pay rate ADJUSTED 2]]*DATA[[#This Row],[Registered manager: Numbers employed (Full Time Equivalent)]]),"")</f>
        <v/>
      </c>
      <c r="OV48" s="30" t="str">
        <f>IFERROR(IF(DATA[[#This Row],[Registered manager: Numbers employed (Full Time Equivalent)]]=0,"",DATA[[#This Row],[Registered manager: Previous 2020/21 Minimum hourly pay rate ADJUSTED 2]]*DATA[[#This Row],[Registered manager: Numbers employed (Full Time Equivalent)]]),"")</f>
        <v/>
      </c>
      <c r="OW48" s="30" t="str">
        <f>IFERROR(IF(DATA[[#This Row],[Registered manager: Numbers employed (Full Time Equivalent)]]=0,"",DATA[[#This Row],[Registered manager: Previous 2020/21 Maximum hourly pay rate ADJUSTED 2]]*DATA[[#This Row],[Registered manager: Numbers employed (Full Time Equivalent)]]),"")</f>
        <v/>
      </c>
      <c r="OX48" s="30" t="str">
        <f>IFERROR(IF(DATA[[#This Row],[Deputy manager: Numbers employed (Full Time Equivalent)]]=0,"",DATA[[#This Row],[Deputy manager: Current 2021/22 Minimum hourly pay rate ADJUSTED 2]]*DATA[[#This Row],[Deputy manager: Numbers employed (Full Time Equivalent)]]),"")</f>
        <v/>
      </c>
      <c r="OY48" s="30" t="str">
        <f>IFERROR(IF(DATA[[#This Row],[Deputy manager: Numbers employed (Full Time Equivalent)]]=0,"",DATA[[#This Row],[Deputy manager: Current 2021/22 Maximum hourly pay rate ADJUSTED 2]]*DATA[[#This Row],[Deputy manager: Numbers employed (Full Time Equivalent)]]),"")</f>
        <v/>
      </c>
      <c r="OZ48" s="30" t="str">
        <f>IFERROR(IF(DATA[[#This Row],[Deputy manager: Numbers employed (Full Time Equivalent)]]=0,"",DATA[[#This Row],[Deputy manager: Previous 2020/21 Minimum hourly pay rate ADJUSTED 2]]*DATA[[#This Row],[Deputy manager: Numbers employed (Full Time Equivalent)]]),"")</f>
        <v/>
      </c>
      <c r="PA48" s="30" t="str">
        <f>IFERROR(IF(DATA[[#This Row],[Deputy manager: Numbers employed (Full Time Equivalent)]]=0,"",DATA[[#This Row],[Deputy manager: Previous 2020/21 Maximum hourly pay rate ADJUSTED 2]]*DATA[[#This Row],[Deputy manager: Numbers employed (Full Time Equivalent)]]),"")</f>
        <v/>
      </c>
      <c r="PB48" s="30">
        <f>IFERROR(IF(DATA[[#This Row],[Other manager 1: Numbers employed (Full Time Equivalent)]]=0,"",DATA[[#This Row],[Other manager 1: Current 2021/22 Minimum hourly pay rate ADJUSTED 2]]*DATA[[#This Row],[Other manager 1: Numbers employed (Full Time Equivalent)]]),"")</f>
        <v>76.92</v>
      </c>
      <c r="PC48" s="30">
        <f>IFERROR(IF(DATA[[#This Row],[Other manager 1: Numbers employed (Full Time Equivalent)]]=0,"",DATA[[#This Row],[Other manager 1: Current 2021/22 Maximum hourly pay rate ADJUSTED 2]]*DATA[[#This Row],[Other manager 1: Numbers employed (Full Time Equivalent)]]),"")</f>
        <v>76.92</v>
      </c>
      <c r="PD48" s="30">
        <f>IFERROR(IF(DATA[[#This Row],[Other manager 1: Numbers employed (Full Time Equivalent)]]=0,"",DATA[[#This Row],[Other manager 1: Previous 2020/21 Minimum hourly pay rate ADJUSTED 2]]*DATA[[#This Row],[Other manager 1: Numbers employed (Full Time Equivalent)]]),"")</f>
        <v>76.92</v>
      </c>
      <c r="PE48" s="30">
        <f>IFERROR(IF(DATA[[#This Row],[Other manager 1: Numbers employed (Full Time Equivalent)]]=0,"",DATA[[#This Row],[Other manager 1: Previous 2020/21 Maximum hourly pay rate ADJUSTED 2]]*DATA[[#This Row],[Other manager 1: Numbers employed (Full Time Equivalent)]]),"")</f>
        <v>76.92</v>
      </c>
      <c r="PF48" s="30" t="str">
        <f>IFERROR(IF(DATA[[#This Row],[Other manager 2: Numbers employed (Full Time Equivalent)]]=0,"",DATA[[#This Row],[Other manager 2: Current 2021/22 Minimum hourly pay rate ADJUSTED 2]]*DATA[[#This Row],[Other manager 2: Numbers employed (Full Time Equivalent)]]),"")</f>
        <v/>
      </c>
      <c r="PG48" s="30" t="str">
        <f>IFERROR(IF(DATA[[#This Row],[Other manager 2: Numbers employed (Full Time Equivalent)]]=0,"",DATA[[#This Row],[Other manager 2: Current 2021/22 Maximum hourly pay rate ADJUSTED 2]]*DATA[[#This Row],[Other manager 2: Numbers employed (Full Time Equivalent)]]),"")</f>
        <v/>
      </c>
      <c r="PH48" s="30" t="str">
        <f>IFERROR(IF(DATA[[#This Row],[Other manager 2: Numbers employed (Full Time Equivalent)]]=0,"",DATA[[#This Row],[Other manager 2: Previous 2020/21 Minimum hourly pay rate ADJUSTED 2]]*DATA[[#This Row],[Other manager 2: Numbers employed (Full Time Equivalent)]]),"")</f>
        <v/>
      </c>
      <c r="PI48" s="30" t="str">
        <f>IFERROR(IF(DATA[[#This Row],[Other manager 2: Numbers employed (Full Time Equivalent)]]=0,"",DATA[[#This Row],[Other manager 2: Previous 2020/21 Maximum hourly pay rate ADJUSTED 2]]*DATA[[#This Row],[Other manager 2: Numbers employed (Full Time Equivalent)]]),"")</f>
        <v/>
      </c>
      <c r="PJ48" s="30" t="str">
        <f>IFERROR(IF(DATA[[#This Row],[Other manager 3: Numbers employed (Full Time Equivalent)]]=0,"",DATA[[#This Row],[Other manager 3: Current 2021/22 Minimum hourly pay rate ADJUSTED 2]]*DATA[[#This Row],[Other manager 3: Numbers employed (Full Time Equivalent)]]),"")</f>
        <v/>
      </c>
      <c r="PK48" s="30" t="str">
        <f>IFERROR(IF(DATA[[#This Row],[Other manager 3: Numbers employed (Full Time Equivalent)]]=0,"",DATA[[#This Row],[Other manager 3: Current 2021/22 Maximum hourly pay rate ADJUSTED 2]]*DATA[[#This Row],[Other manager 3: Numbers employed (Full Time Equivalent)]]),"")</f>
        <v/>
      </c>
      <c r="PL48" s="30" t="str">
        <f>IFERROR(IF(DATA[[#This Row],[Other manager 3: Numbers employed (Full Time Equivalent)]]=0,"",DATA[[#This Row],[Other manager 3: Previous 2020/21 Minimum hourly pay rate ADJUSTED 2]]*DATA[[#This Row],[Other manager 3: Numbers employed (Full Time Equivalent)]]),"")</f>
        <v/>
      </c>
      <c r="PM48" s="30" t="str">
        <f>IFERROR(IF(DATA[[#This Row],[Other manager 3: Numbers employed (Full Time Equivalent)]]=0,"",DATA[[#This Row],[Other manager 3: Previous 2020/21 Maximum hourly pay rate ADJUSTED 2]]*DATA[[#This Row],[Other manager 3: Numbers employed (Full Time Equivalent)]]),"")</f>
        <v/>
      </c>
      <c r="PN48" s="30">
        <f>IFERROR(IF(DATA[[#This Row],[Care Assistant 1: Numbers employed (Full Time Equivalent)]]=0,"",DATA[[#This Row],[Care Assistant 1: Current 2021/22 Minimum hourly pay rate ADJUSTED 2]]*DATA[[#This Row],[Care Assistant 1: Numbers employed (Full Time Equivalent)]]),"")</f>
        <v>57</v>
      </c>
      <c r="PO48" s="30">
        <f>IFERROR(IF(DATA[[#This Row],[Care Assistant 1: Numbers employed (Full Time Equivalent)]]=0,"",DATA[[#This Row],[Care Assistant 1: Current 2021/22 Maximum hourly pay rate ADJUSTED 2]]*DATA[[#This Row],[Care Assistant 1: Numbers employed (Full Time Equivalent)]]),"")</f>
        <v>57</v>
      </c>
      <c r="PP48" s="30">
        <f>IFERROR(IF(DATA[[#This Row],[Care Assistant 1: Numbers employed (Full Time Equivalent)]]=0,"",DATA[[#This Row],[Care Assistant 1: Previous 2020/21 Minimum hourly pay rate ADJUSTED 2]]*DATA[[#This Row],[Care Assistant 1: Numbers employed (Full Time Equivalent)]]),"")</f>
        <v>54</v>
      </c>
      <c r="PQ48" s="30">
        <f>IFERROR(IF(DATA[[#This Row],[Care Assistant 1: Numbers employed (Full Time Equivalent)]]=0,"",DATA[[#This Row],[Care Assistant 1: Previous 2020/21 Maximum hourly pay rate ADJUSTED 2]]*DATA[[#This Row],[Care Assistant 1: Numbers employed (Full Time Equivalent)]]),"")</f>
        <v>54</v>
      </c>
      <c r="PR48" s="30">
        <f>IFERROR(IF(DATA[[#This Row],[Care Assistant 2: Numbers employed (Full Time Equivalent)]]=0,"",DATA[[#This Row],[Care Assistant 2: Current 2021/22 Minimum hourly pay rate ADJUSTED 2]]*DATA[[#This Row],[Care Assistant 2: Numbers employed (Full Time Equivalent)]]),"")</f>
        <v>792.99</v>
      </c>
      <c r="PS48" s="30">
        <f>IFERROR(IF(DATA[[#This Row],[Care Assistant 2: Numbers employed (Full Time Equivalent)]]=0,"",DATA[[#This Row],[Care Assistant 2: Current 2021/22 Maximum hourly pay rate ADJUSTED 2]]*DATA[[#This Row],[Care Assistant 2: Numbers employed (Full Time Equivalent)]]),"")</f>
        <v>792.99</v>
      </c>
      <c r="PT48" s="30">
        <f>IFERROR(IF(DATA[[#This Row],[Care Assistant 2: Numbers employed (Full Time Equivalent)]]=0,"",DATA[[#This Row],[Care Assistant 2: Previous 2020/21 Minimum hourly pay rate ADJUSTED 2]]*DATA[[#This Row],[Care Assistant 2: Numbers employed (Full Time Equivalent)]]),"")</f>
        <v>776.08</v>
      </c>
      <c r="PU48" s="30">
        <f>IFERROR(IF(DATA[[#This Row],[Care Assistant 2: Numbers employed (Full Time Equivalent)]]=0,"",DATA[[#This Row],[Care Assistant 2: Previous 2020/21 Maximum hourly pay rate ADJUSTED 2]]*DATA[[#This Row],[Care Assistant 2: Numbers employed (Full Time Equivalent)]]),"")</f>
        <v>776.08</v>
      </c>
      <c r="PV48" s="30" t="str">
        <f>IFERROR(IF(DATA[[#This Row],[Care Assistant 3: Numbers employed (Full Time Equivalent)]]=0,"",DATA[[#This Row],[Care Assistant 3: Current 2021/22 Minimum hourly pay rate ADJUSTED 2]]*DATA[[#This Row],[Care Assistant 3: Numbers employed (Full Time Equivalent)]]),"")</f>
        <v/>
      </c>
      <c r="PW48" s="30" t="str">
        <f>IFERROR(IF(DATA[[#This Row],[Care Assistant 3: Numbers employed (Full Time Equivalent)]]=0,"",DATA[[#This Row],[Care Assistant 3: Current 2021/22 Maximum hourly pay rate ADJUSTED 2]]*DATA[[#This Row],[Care Assistant 3: Numbers employed (Full Time Equivalent)]]),"")</f>
        <v/>
      </c>
      <c r="PX48" s="30" t="str">
        <f>IFERROR(IF(DATA[[#This Row],[Care Assistant 3: Numbers employed (Full Time Equivalent)]]=0,"",DATA[[#This Row],[Care Assistant 3: Previous 2020/21 Minimum hourly pay rate ADJUSTED 2]]*DATA[[#This Row],[Care Assistant 3: Numbers employed (Full Time Equivalent)]]),"")</f>
        <v/>
      </c>
      <c r="PY48" s="30" t="str">
        <f>IFERROR(IF(DATA[[#This Row],[Care Assistant 3: Numbers employed (Full Time Equivalent)]]=0,"",DATA[[#This Row],[Care Assistant 3: Previous 2020/21 Maximum hourly pay rate ADJUSTED 2]]*DATA[[#This Row],[Care Assistant 3: Numbers employed (Full Time Equivalent)]]),"")</f>
        <v/>
      </c>
      <c r="PZ48" s="30" t="str">
        <f>IFERROR(IF(DATA[[#This Row],[Care Assistant 4: Numbers employed (Full Time Equivalent)]]=0,"",DATA[[#This Row],[Care Assistant 4: Current 2021/22 Minimum hourly pay rate ADJUSTED 2]]*DATA[[#This Row],[Care Assistant 4: Numbers employed (Full Time Equivalent)]]),"")</f>
        <v/>
      </c>
      <c r="QA48" s="30" t="str">
        <f>IFERROR(IF(DATA[[#This Row],[Care Assistant 4: Numbers employed (Full Time Equivalent)]]=0,"",DATA[[#This Row],[Care Assistant 4: Current 2021/22 Maximum hourly pay rate ADJUSTED 2]]*DATA[[#This Row],[Care Assistant 4: Numbers employed (Full Time Equivalent)]]),"")</f>
        <v/>
      </c>
      <c r="QB48" s="30" t="str">
        <f>IFERROR(IF(DATA[[#This Row],[Care Assistant 4: Numbers employed (Full Time Equivalent)]]=0,"",DATA[[#This Row],[Care Assistant 4: Previous 2020/21 Minimum hourly pay rate ADJUSTED 2]]*DATA[[#This Row],[Care Assistant 4: Numbers employed (Full Time Equivalent)]]),"")</f>
        <v/>
      </c>
      <c r="QC48" s="30" t="str">
        <f>IFERROR(IF(DATA[[#This Row],[Care Assistant 4: Numbers employed (Full Time Equivalent)]]=0,"",DATA[[#This Row],[Care Assistant 4: Previous 2020/21 Maximum hourly pay rate ADJUSTED 2]]*DATA[[#This Row],[Care Assistant 4: Numbers employed (Full Time Equivalent)]]),"")</f>
        <v/>
      </c>
      <c r="QD48" s="30" t="str">
        <f>IFERROR(IF(DATA[[#This Row],[Administrative Officer 1: Numbers employed (Full Time Equivalent)]]=0,"",DATA[[#This Row],[Administrative Officer 1: Current 2021/22 Minimum hourly pay rate ADJUSTED 2]]*DATA[[#This Row],[Administrative Officer 1: Numbers employed (Full Time Equivalent)]]),"")</f>
        <v/>
      </c>
      <c r="QE48" s="30" t="str">
        <f>IFERROR(IF(DATA[[#This Row],[Administrative Officer 1: Numbers employed (Full Time Equivalent)]]=0,"",DATA[[#This Row],[Administrative Officer 1: Current 2021/22 Maximum hourly pay rate ADJUSTED 2]]*DATA[[#This Row],[Administrative Officer 1: Numbers employed (Full Time Equivalent)]]),"")</f>
        <v/>
      </c>
      <c r="QF48" s="30" t="str">
        <f>IFERROR(IF(DATA[[#This Row],[Administrative Officer 1: Numbers employed (Full Time Equivalent)]]=0,"",DATA[[#This Row],[Administrative Officer 1: Previous 2020/21 Minimum hourly pay rate ADJUSTED 2]]*DATA[[#This Row],[Administrative Officer 1: Numbers employed (Full Time Equivalent)]]),"")</f>
        <v/>
      </c>
      <c r="QG48" s="30" t="str">
        <f>IFERROR(IF(DATA[[#This Row],[Administrative Officer 1: Numbers employed (Full Time Equivalent)]]=0,"",DATA[[#This Row],[Administrative Officer 1: Previous 2020/21 Maximum hourly pay rate ADJUSTED 2]]*DATA[[#This Row],[Administrative Officer 1: Numbers employed (Full Time Equivalent)]]),"")</f>
        <v/>
      </c>
      <c r="QH48" s="30" t="str">
        <f>IFERROR(IF(DATA[[#This Row],[Administrative Officer 2: Numbers employed (Full Time Equivalent)]]=0,"",DATA[[#This Row],[Administrative Officer 2: Current 2021/22 Minimum hourly pay rate ADJUSTED 2]]*DATA[[#This Row],[Administrative Officer 2: Numbers employed (Full Time Equivalent)]]),"")</f>
        <v/>
      </c>
      <c r="QI48" s="30" t="str">
        <f>IFERROR(IF(DATA[[#This Row],[Administrative Officer 2: Numbers employed (Full Time Equivalent)]]=0,"",DATA[[#This Row],[Administrative Officer 2: Current 2021/22 Maximum hourly pay rate ADJUSTED 2]]*DATA[[#This Row],[Administrative Officer 2: Numbers employed (Full Time Equivalent)]]),"")</f>
        <v/>
      </c>
      <c r="QJ48" s="30" t="str">
        <f>IFERROR(IF(DATA[[#This Row],[Administrative Officer 2: Numbers employed (Full Time Equivalent)]]=0,"",DATA[[#This Row],[Administrative Officer 2: Previous 2020/21 Minimum hourly pay rate ADJUSTED 2]]*DATA[[#This Row],[Administrative Officer 2: Numbers employed (Full Time Equivalent)]]),"")</f>
        <v/>
      </c>
      <c r="QK48" s="30" t="str">
        <f>IFERROR(IF(DATA[[#This Row],[Administrative Officer 2: Numbers employed (Full Time Equivalent)]]=0,"",DATA[[#This Row],[Administrative Officer 2: Previous 2020/21 Maximum hourly pay rate ADJUSTED 2]]*DATA[[#This Row],[Administrative Officer 2: Numbers employed (Full Time Equivalent)]]),"")</f>
        <v/>
      </c>
      <c r="QL48" s="30" t="str">
        <f>IFERROR(IF(DATA[[#This Row],[Administrative Officer 3: Numbers employed (Full Time Equivalent)]]=0,"",DATA[[#This Row],[Administrative Officer 3: Current 2021/22 Minimum hourly pay rate ADJUSTED 2]]*DATA[[#This Row],[Administrative Officer 3: Numbers employed (Full Time Equivalent)]]),"")</f>
        <v/>
      </c>
      <c r="QM48" s="30" t="str">
        <f>IFERROR(IF(DATA[[#This Row],[Administrative Officer 3: Numbers employed (Full Time Equivalent)]]=0,"",DATA[[#This Row],[Administrative Officer 3: Current 2021/22 Maximum hourly pay rate ADJUSTED 2]]*DATA[[#This Row],[Administrative Officer 3: Numbers employed (Full Time Equivalent)]]),"")</f>
        <v/>
      </c>
      <c r="QN48" s="30" t="str">
        <f>IFERROR(IF(DATA[[#This Row],[Administrative Officer 3: Numbers employed (Full Time Equivalent)]]=0,"",DATA[[#This Row],[Administrative Officer 3: Previous 2020/21 Minimum hourly pay rate ADJUSTED 2]]*DATA[[#This Row],[Administrative Officer 3: Numbers employed (Full Time Equivalent)]]),"")</f>
        <v/>
      </c>
      <c r="QO48" s="30" t="str">
        <f>IFERROR(IF(DATA[[#This Row],[Administrative Officer 3: Numbers employed (Full Time Equivalent)]]=0,"",DATA[[#This Row],[Administrative Officer 3: Previous 2020/21 Maximum hourly pay rate ADJUSTED 2]]*DATA[[#This Row],[Administrative Officer 3: Numbers employed (Full Time Equivalent)]]),"")</f>
        <v/>
      </c>
      <c r="QP48" s="28" t="str">
        <f>IFERROR(IF(DATA[[#This Row],[Other staff 1: Numbers employed (Full Time Equivalent)]]=0,"",DATA[[#This Row],[Other staff 1: Current 2021/22 Minimum hourly pay rate ADJUSTED 2]]*DATA[[#This Row],[Other staff 1: Numbers employed (Full Time Equivalent)]]),"")</f>
        <v/>
      </c>
      <c r="QQ48" s="28" t="str">
        <f>IFERROR(IF(DATA[[#This Row],[Other staff 1: Numbers employed (Full Time Equivalent)]]=0,"",DATA[[#This Row],[Other staff 1: Current 2021/22 Maximum hourly pay rate ADJUSTED 2]]*DATA[[#This Row],[Other staff 1: Numbers employed (Full Time Equivalent)]]),"")</f>
        <v/>
      </c>
      <c r="QR48" s="28" t="str">
        <f>IFERROR(IF(DATA[[#This Row],[Other staff 1: Numbers employed (Full Time Equivalent)]]=0,"",DATA[[#This Row],[Other staff 1: Previous 2020/21 Minimum hourly pay rate ADJUSTED 2]]*DATA[[#This Row],[Other staff 1: Numbers employed (Full Time Equivalent)]]),"")</f>
        <v/>
      </c>
      <c r="QS48" s="28" t="str">
        <f>IFERROR(IF(DATA[[#This Row],[Other staff 1: Numbers employed (Full Time Equivalent)]]=0,"",DATA[[#This Row],[Other staff 1: Previous 2020/21 Maximum hourly pay rate ADJUSTED 2]]*DATA[[#This Row],[Other staff 1: Numbers employed (Full Time Equivalent)]]),"")</f>
        <v/>
      </c>
      <c r="QT48" s="28" t="str">
        <f>IFERROR(IF(DATA[[#This Row],[Other staff 2: Numbers employed (Full Time Equivalent)]]=0,"",DATA[[#This Row],[Other staff 2: Current 2021/22 Minimum hourly pay rate ADJUSTED 2]]*DATA[[#This Row],[Other staff 2: Numbers employed (Full Time Equivalent)]]),"")</f>
        <v/>
      </c>
      <c r="QU48" s="28" t="str">
        <f>IFERROR(IF(DATA[[#This Row],[Other staff 2: Numbers employed (Full Time Equivalent)]]=0,"",DATA[[#This Row],[Other staff 2: Current 2021/22 Maximum hourly pay rate ADJUSTED 2]]*DATA[[#This Row],[Other staff 2: Numbers employed (Full Time Equivalent)]]),"")</f>
        <v/>
      </c>
      <c r="QV48" s="28" t="str">
        <f>IFERROR(IF(DATA[[#This Row],[Other staff 2: Numbers employed (Full Time Equivalent)]]=0,"",DATA[[#This Row],[Other staff 2: Previous 2020/21 Minimum hourly pay rate ADJUSTED 2]]*DATA[[#This Row],[Other staff 2: Numbers employed (Full Time Equivalent)]]),"")</f>
        <v/>
      </c>
      <c r="QW48" s="28" t="str">
        <f>IFERROR(IF(DATA[[#This Row],[Other staff 2: Numbers employed (Full Time Equivalent)]]=0,"",DATA[[#This Row],[Other staff 2: Previous 2020/21 Maximum hourly pay rate ADJUSTED 2]]*DATA[[#This Row],[Other staff 2: Numbers employed (Full Time Equivalent)]]),"")</f>
        <v/>
      </c>
      <c r="QX48" s="28" t="str">
        <f>IFERROR(IF(DATA[[#This Row],[Other staff 3: Numbers employed (Full Time Equivalent)]]=0,"",DATA[[#This Row],[Other staff 3: Current 2021/22 Minimum hourly pay rate ADJUSTED 2]]*DATA[[#This Row],[Other staff 3: Numbers employed (Full Time Equivalent)]]),"")</f>
        <v/>
      </c>
      <c r="QY48" s="28" t="str">
        <f>IFERROR(IF(DATA[[#This Row],[Other staff 3: Numbers employed (Full Time Equivalent)]]=0,"",DATA[[#This Row],[Other staff 3: Current 2021/22 Maximum hourly pay rate ADJUSTED 2]]*DATA[[#This Row],[Other staff 3: Numbers employed (Full Time Equivalent)]]),"")</f>
        <v/>
      </c>
      <c r="QZ48" s="28" t="str">
        <f>IFERROR(IF(DATA[[#This Row],[Other staff 3: Numbers employed (Full Time Equivalent)]]=0,"",DATA[[#This Row],[Other staff 3: Previous 2020/21 Minimum hourly pay rate ADJUSTED 2]]*DATA[[#This Row],[Other staff 3: Numbers employed (Full Time Equivalent)]]),"")</f>
        <v/>
      </c>
      <c r="RA48" s="28" t="str">
        <f>IFERROR(IF(DATA[[#This Row],[Other staff 3: Numbers employed (Full Time Equivalent)]]=0,"",DATA[[#This Row],[Other staff 3: Previous 2020/21 Maximum hourly pay rate ADJUSTED 2]]*DATA[[#This Row],[Other staff 3: Numbers employed (Full Time Equivalent)]]),"")</f>
        <v/>
      </c>
      <c r="RB48"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48"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48"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6</v>
      </c>
      <c r="RE48"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8"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8"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6</v>
      </c>
      <c r="RH48"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89</v>
      </c>
      <c r="RI48"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48"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8"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48"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48"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8"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48"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48"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49" spans="7:484" x14ac:dyDescent="0.25">
      <c r="G49" s="2">
        <v>43</v>
      </c>
      <c r="H49" s="2">
        <v>0</v>
      </c>
      <c r="I49" s="2">
        <v>49</v>
      </c>
      <c r="J49" s="2">
        <v>0</v>
      </c>
      <c r="K49" s="2">
        <v>1</v>
      </c>
      <c r="L49" s="2" t="s">
        <v>328</v>
      </c>
      <c r="M49" s="2" t="s">
        <v>328</v>
      </c>
      <c r="R49" s="2">
        <v>23.98</v>
      </c>
      <c r="S49" s="2">
        <v>23.08</v>
      </c>
      <c r="T49" s="2">
        <v>23.08</v>
      </c>
      <c r="U49" s="2">
        <v>23.08</v>
      </c>
      <c r="V49" s="2">
        <v>1</v>
      </c>
      <c r="W49" s="2">
        <v>15.38</v>
      </c>
      <c r="X49" s="2">
        <v>15.38</v>
      </c>
      <c r="Y49" s="2">
        <v>15.38</v>
      </c>
      <c r="Z49" s="2">
        <v>15.38</v>
      </c>
      <c r="AA49" s="2">
        <v>1</v>
      </c>
      <c r="AB49" s="2" t="s">
        <v>504</v>
      </c>
      <c r="AC49" s="2">
        <v>12.82</v>
      </c>
      <c r="AD49" s="2">
        <v>12.82</v>
      </c>
      <c r="AE49" s="2">
        <v>12.82</v>
      </c>
      <c r="AF49" s="2">
        <v>12.82</v>
      </c>
      <c r="AG49" s="2">
        <v>6</v>
      </c>
      <c r="AH49" s="2" t="s">
        <v>315</v>
      </c>
      <c r="AI49" s="2">
        <v>0</v>
      </c>
      <c r="AJ49" s="2">
        <v>0</v>
      </c>
      <c r="AK49" s="2">
        <v>0</v>
      </c>
      <c r="AL49" s="2">
        <v>0</v>
      </c>
      <c r="AM49" s="2">
        <v>0</v>
      </c>
      <c r="AN49" s="2" t="s">
        <v>315</v>
      </c>
      <c r="AO49" s="2">
        <v>0</v>
      </c>
      <c r="AP49" s="2">
        <v>0</v>
      </c>
      <c r="AQ49" s="2">
        <v>0</v>
      </c>
      <c r="AR49" s="2">
        <v>0</v>
      </c>
      <c r="AS49" s="2">
        <v>0</v>
      </c>
      <c r="AT49" s="2" t="s">
        <v>503</v>
      </c>
      <c r="AU49" s="2">
        <v>8.91</v>
      </c>
      <c r="AV49" s="2">
        <v>8.91</v>
      </c>
      <c r="AW49" s="2">
        <v>8.91</v>
      </c>
      <c r="AX49" s="2">
        <v>8.91</v>
      </c>
      <c r="AY49" s="2">
        <v>105</v>
      </c>
      <c r="AZ49" s="2" t="s">
        <v>408</v>
      </c>
      <c r="BA49" s="2">
        <v>0</v>
      </c>
      <c r="BB49" s="2">
        <v>0</v>
      </c>
      <c r="BC49" s="2">
        <v>0</v>
      </c>
      <c r="BD49" s="2">
        <v>0</v>
      </c>
      <c r="BE49" s="2">
        <v>0</v>
      </c>
      <c r="BF49" s="2" t="s">
        <v>316</v>
      </c>
      <c r="BG49" s="2">
        <v>0</v>
      </c>
      <c r="BH49" s="2">
        <v>0</v>
      </c>
      <c r="BI49" s="2">
        <v>0</v>
      </c>
      <c r="BJ49" s="2">
        <v>0</v>
      </c>
      <c r="BK49" s="2">
        <v>0</v>
      </c>
      <c r="BL49" s="2" t="s">
        <v>316</v>
      </c>
      <c r="BM49" s="2">
        <v>0</v>
      </c>
      <c r="BN49" s="2">
        <v>0</v>
      </c>
      <c r="BO49" s="2">
        <v>0</v>
      </c>
      <c r="BP49" s="2">
        <v>0</v>
      </c>
      <c r="BQ49" s="2">
        <v>0</v>
      </c>
      <c r="BR49" s="2" t="s">
        <v>317</v>
      </c>
      <c r="BS49" s="2">
        <v>0</v>
      </c>
      <c r="BT49" s="2">
        <v>0</v>
      </c>
      <c r="BU49" s="2">
        <v>0</v>
      </c>
      <c r="BV49" s="2">
        <v>0</v>
      </c>
      <c r="BW49" s="2">
        <v>0</v>
      </c>
      <c r="BX49" s="2" t="s">
        <v>317</v>
      </c>
      <c r="BY49" s="2">
        <v>0</v>
      </c>
      <c r="BZ49" s="2">
        <v>0</v>
      </c>
      <c r="CA49" s="2">
        <v>0</v>
      </c>
      <c r="CB49" s="2">
        <v>0</v>
      </c>
      <c r="CC49" s="2">
        <v>0</v>
      </c>
      <c r="CD49" s="2" t="s">
        <v>317</v>
      </c>
      <c r="CE49" s="2">
        <v>0</v>
      </c>
      <c r="CF49" s="2">
        <v>0</v>
      </c>
      <c r="CG49" s="2">
        <v>0</v>
      </c>
      <c r="CH49" s="2">
        <v>0</v>
      </c>
      <c r="CI49" s="2">
        <v>0</v>
      </c>
      <c r="CJ49" s="2" t="s">
        <v>318</v>
      </c>
      <c r="CK49" s="2">
        <v>0</v>
      </c>
      <c r="CL49" s="2">
        <v>0</v>
      </c>
      <c r="CM49" s="2">
        <v>0</v>
      </c>
      <c r="CN49" s="2">
        <v>0</v>
      </c>
      <c r="CO49" s="2">
        <v>0</v>
      </c>
      <c r="CP49" s="2" t="s">
        <v>318</v>
      </c>
      <c r="CQ49" s="2">
        <v>0</v>
      </c>
      <c r="CR49" s="2">
        <v>0</v>
      </c>
      <c r="CS49" s="2">
        <v>0</v>
      </c>
      <c r="CT49" s="2">
        <v>0</v>
      </c>
      <c r="CU49" s="2">
        <v>0</v>
      </c>
      <c r="CV49" s="2" t="s">
        <v>318</v>
      </c>
      <c r="CW49" s="2">
        <v>0</v>
      </c>
      <c r="CX49" s="2">
        <v>0</v>
      </c>
      <c r="CY49" s="2">
        <v>0</v>
      </c>
      <c r="CZ49" s="2">
        <v>0</v>
      </c>
      <c r="DA49" s="2">
        <v>0</v>
      </c>
      <c r="DB49" s="2">
        <v>0.03</v>
      </c>
      <c r="DC49" s="2">
        <v>0</v>
      </c>
      <c r="DD49" s="2">
        <v>0</v>
      </c>
      <c r="DE49" s="2">
        <v>0</v>
      </c>
      <c r="DF49" s="2">
        <v>0</v>
      </c>
      <c r="DG49" s="2">
        <v>0</v>
      </c>
      <c r="DH49" s="2">
        <v>0</v>
      </c>
      <c r="DI49" s="2">
        <v>3216.3</v>
      </c>
      <c r="DJ49" s="2">
        <v>565.5</v>
      </c>
      <c r="DK49" s="2">
        <v>499</v>
      </c>
      <c r="DL49" s="2">
        <v>0</v>
      </c>
      <c r="DM49" s="2">
        <v>0</v>
      </c>
      <c r="DN49" s="2">
        <v>0</v>
      </c>
      <c r="DO49" s="2">
        <v>17.16</v>
      </c>
      <c r="DP49" s="2">
        <v>0</v>
      </c>
      <c r="DQ49" s="2">
        <v>13.38</v>
      </c>
      <c r="DR49" s="18">
        <v>44075</v>
      </c>
      <c r="DS49" s="18">
        <v>44439</v>
      </c>
      <c r="DT49" s="2">
        <v>222880</v>
      </c>
      <c r="DU49" s="2">
        <v>312750</v>
      </c>
      <c r="DV49" s="2">
        <v>3249000</v>
      </c>
      <c r="DW49" s="2">
        <v>0</v>
      </c>
      <c r="DX49" s="2">
        <v>76340</v>
      </c>
      <c r="DY49" s="2">
        <v>0</v>
      </c>
      <c r="DZ49" s="2">
        <v>3300</v>
      </c>
      <c r="EA49" s="2">
        <v>0</v>
      </c>
      <c r="EB49" s="2">
        <v>0</v>
      </c>
      <c r="EC49" s="2">
        <v>0</v>
      </c>
      <c r="ED49" s="2">
        <v>0</v>
      </c>
      <c r="EE49" s="2">
        <v>0</v>
      </c>
      <c r="EF49" s="2">
        <v>0</v>
      </c>
      <c r="EG49" s="2">
        <v>0</v>
      </c>
      <c r="EH49" s="2" t="s">
        <v>324</v>
      </c>
      <c r="EI49" s="2">
        <v>0</v>
      </c>
      <c r="EJ49" s="2" t="s">
        <v>324</v>
      </c>
      <c r="EK49" s="2">
        <v>0</v>
      </c>
      <c r="EL49" s="2">
        <v>27263</v>
      </c>
      <c r="EM49" s="2">
        <v>0</v>
      </c>
      <c r="EN49" s="2">
        <v>0</v>
      </c>
      <c r="EO49" s="2">
        <v>0</v>
      </c>
      <c r="EP49" s="2">
        <v>0</v>
      </c>
      <c r="EQ49" s="2">
        <v>0</v>
      </c>
      <c r="ER49" s="2">
        <v>0</v>
      </c>
      <c r="ES49" s="2">
        <v>0</v>
      </c>
      <c r="ET49" s="2" t="s">
        <v>324</v>
      </c>
      <c r="EU49" s="2">
        <v>0</v>
      </c>
      <c r="EV49" s="2" t="s">
        <v>324</v>
      </c>
      <c r="EW49" s="2">
        <v>0</v>
      </c>
      <c r="EX49" s="2">
        <v>0</v>
      </c>
      <c r="EY49" s="2">
        <v>0</v>
      </c>
      <c r="EZ49" s="2" t="s">
        <v>326</v>
      </c>
      <c r="FA49" s="2">
        <v>0</v>
      </c>
      <c r="FB49" s="2" t="s">
        <v>326</v>
      </c>
      <c r="FC49" s="2">
        <v>0</v>
      </c>
      <c r="FD49" s="2"/>
      <c r="FE49" s="2">
        <v>0</v>
      </c>
      <c r="FF49" s="2">
        <v>0</v>
      </c>
      <c r="FG49" s="2"/>
      <c r="FH49" s="19">
        <v>44480.624618055554</v>
      </c>
      <c r="FI49" s="2" t="s">
        <v>327</v>
      </c>
      <c r="FJ49" s="2">
        <f>SUM(DATA[[#This Row],[Number of Home support clients:]],DATA[[#This Row],[Number of supported living clients:]])</f>
        <v>49</v>
      </c>
      <c r="FK49"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41-50</v>
      </c>
      <c r="FL49"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23.98</v>
      </c>
      <c r="FM49"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23.08</v>
      </c>
      <c r="FN49"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23.08</v>
      </c>
      <c r="FO49"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23.08</v>
      </c>
      <c r="FP49"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15.38</v>
      </c>
      <c r="FQ49"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15.38</v>
      </c>
      <c r="FR49"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15.38</v>
      </c>
      <c r="FS49"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15.38</v>
      </c>
      <c r="FT49"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12.82</v>
      </c>
      <c r="FU49"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12.82</v>
      </c>
      <c r="FV49"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12.82</v>
      </c>
      <c r="FW49"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12.82</v>
      </c>
      <c r="FX49"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49"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49"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49"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49"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49"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49"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49"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49"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49"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49"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8.91</v>
      </c>
      <c r="GI49"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8.91</v>
      </c>
      <c r="GJ49"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49"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49"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49"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49"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49"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49"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49"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49"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49"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49"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49"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49"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49"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49"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49"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49"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49"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49"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49"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49"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49"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49"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49"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49"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49"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49"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49"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49"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49"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49"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49"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49"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49"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49"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49"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49"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23.98</v>
      </c>
      <c r="HU49"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23.08</v>
      </c>
      <c r="HV49"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23.08</v>
      </c>
      <c r="HW49"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23.08</v>
      </c>
      <c r="HX49"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15.38</v>
      </c>
      <c r="HY49"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15.38</v>
      </c>
      <c r="HZ49"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15.38</v>
      </c>
      <c r="IA49"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15.38</v>
      </c>
      <c r="IB49"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12.82</v>
      </c>
      <c r="IC49"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12.82</v>
      </c>
      <c r="ID49"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12.82</v>
      </c>
      <c r="IE49"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12.82</v>
      </c>
      <c r="IF49"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49"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49"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49"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49"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49"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49"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49"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49"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49"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49"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8.91</v>
      </c>
      <c r="IQ49"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8.91</v>
      </c>
      <c r="IR49"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49"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49"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49"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49"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49"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49"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49"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49"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49"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49"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49"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49"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49"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49"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49"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49"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49"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49"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49"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49"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49"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49"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49"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49"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49"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49"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49"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49"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49"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49"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49"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49"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49"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49"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49"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49"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8</v>
      </c>
      <c r="KC49" s="21">
        <f>SUM(DATA[[#This Row],[Care Assistant 1: Numbers employed (Full Time Equivalent)]],DATA[[#This Row],[Care Assistant 2: Numbers employed (Full Time Equivalent)]],DATA[[#This Row],[Care Assistant 3: Numbers employed (Full Time Equivalent)]],DATA[[#This Row],[Care Assistant 4: Numbers employed (Full Time Equivalent)]])</f>
        <v>105</v>
      </c>
      <c r="KD49" s="21">
        <f>SUM(DATA[[#This Row],[Administrative Officer 1: Numbers employed (Full Time Equivalent)]],DATA[[#This Row],[Administrative Officer 2: Numbers employed (Full Time Equivalent)]])</f>
        <v>0</v>
      </c>
      <c r="KE49" s="21">
        <f>SUM(DATA[[#This Row],[Other staff 1: Numbers employed (Full Time Equivalent)]],DATA[[#This Row],[Other staff 2: Numbers employed (Full Time Equivalent)]],DATA[[#This Row],[Other staff 3: Numbers employed (Full Time Equivalent)]])</f>
        <v>0</v>
      </c>
      <c r="KF49" s="21">
        <f>SUM(DATA[[#This Row],[Total FTE Management Employees]:[Total FTE Other Employees]])</f>
        <v>113</v>
      </c>
      <c r="KG49" s="21" t="str">
        <f>IF(SUM(DATA[[#This Row],[Home Support service split percentage (Expenditure):]],DATA[[#This Row],[Supported Living service split percentage (Expenditure):]])&gt;0, IF(DATA[[#This Row],[Home Support service split percentage (Expenditure):]]&gt;0.5,"Home Support","Supported Living"), "Unknown")</f>
        <v>Supported Living</v>
      </c>
      <c r="KH49" s="21">
        <f>SUM(DATA[[#This Row],[Home Support: Birmingham City Council]:[Home Support: Self-funded]])</f>
        <v>0</v>
      </c>
      <c r="KI49" s="21">
        <f>SUM(DATA[[#This Row],[Supported Living: Birmingham City Council]:[Supported Living: Self-funded]])</f>
        <v>4280.8</v>
      </c>
      <c r="KJ49"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49"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49"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49"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49" s="21" t="b">
        <f>SUM(DATA[[#This Row],[Number of hours of care charged for in last full accounting year]:[Corporate Overheads: Other  - please specify (category) 1]])&gt;0</f>
        <v>1</v>
      </c>
      <c r="KO49" s="21">
        <f>SUM(DATA[[#This Row],[Total annual expenditure: Management staff]:[Total annual expenditure: Training and development]])</f>
        <v>3641390</v>
      </c>
      <c r="KP49" s="21">
        <f>SUM(DATA[[#This Row],[Recruitment &amp; advertising (including DBS checks)]:[Non-Staffing Direct Cost: Other  - please specify (amount) 2]])</f>
        <v>0</v>
      </c>
      <c r="KQ49" s="21">
        <f>SUM(DATA[[#This Row],[Insurance ]:[Indirect costs: Other 2 - please specify (amount)]])</f>
        <v>27263</v>
      </c>
      <c r="KR49" s="21">
        <f>SUM(DATA[[#This Row],[Central / Regional Management]],DATA[[#This Row],[Support Services (finance / HR / Payroll / legal etc.)]],DATA[[#This Row],[Corporate Overheads: Other  - please specify (amount) 1]],DATA[[#This Row],[Corporate Overheads: Other  - please specify (amount) 2]])</f>
        <v>0</v>
      </c>
      <c r="KS49"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1.403221464465183</v>
      </c>
      <c r="KT49"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14.577351040918881</v>
      </c>
      <c r="KU49"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49" s="30">
        <f>IF(OR(NOT(DATA[[#This Row],[Total annual expenditure: Other staff]]&gt;0),NOT(DATA[[#This Row],[Number of hours of care charged for in last full accounting year]]&gt;0)),0,DATA[[#This Row],[Total annual expenditure: Other staff]]/DATA[[#This Row],[Number of hours of care charged for in last full accounting year]])</f>
        <v>0.34251615218951903</v>
      </c>
      <c r="KW49"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49" s="30">
        <f>IF(OR(NOT(DATA[[#This Row],[Total annual expenditure: Travel Cost]]&gt;0),NOT(DATA[[#This Row],[Number of hours of care charged for in last full accounting year]]&gt;0)),0,DATA[[#This Row],[Total annual expenditure: Travel Cost]]/DATA[[#This Row],[Number of hours of care charged for in last full accounting year]])</f>
        <v>1.4806173725771716E-2</v>
      </c>
      <c r="KY49"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49"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49"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49"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49" s="30">
        <f>IF(OR(NOT(DATA[[#This Row],[Care consumables &amp; uniforms]]&gt;0),NOT(DATA[[#This Row],[Number of hours of care charged for in last full accounting year]]&gt;0)),0,DATA[[#This Row],[Care consumables &amp; uniforms]]/DATA[[#This Row],[Number of hours of care charged for in last full accounting year]])</f>
        <v>0</v>
      </c>
      <c r="LD49" s="30">
        <f>IF(OR(NOT(DATA[[#This Row],[Electronic call monitoring]]&gt;0),NOT(DATA[[#This Row],[Number of hours of care charged for in last full accounting year]]&gt;0)),0,DATA[[#This Row],[Electronic call monitoring]]/DATA[[#This Row],[Number of hours of care charged for in last full accounting year]])</f>
        <v>0</v>
      </c>
      <c r="LE49" s="30">
        <f>IF(OR(NOT(DATA[[#This Row],[IT Equipment &amp; Telephoney]]&gt;0),NOT(DATA[[#This Row],[Number of hours of care charged for in last full accounting year]]&gt;0)),0,DATA[[#This Row],[IT Equipment &amp; Telephoney]]/DATA[[#This Row],[Number of hours of care charged for in last full accounting year]])</f>
        <v>0</v>
      </c>
      <c r="LF49"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49"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49" s="30">
        <f>IF(OR(NOT(DATA[[#This Row],[Insurance ]]&gt;0),NOT(DATA[[#This Row],[Number of hours of care charged for in last full accounting year]]&gt;0)),0,DATA[[#This Row],[Insurance ]]/DATA[[#This Row],[Number of hours of care charged for in last full accounting year]])</f>
        <v>0.12232142857142857</v>
      </c>
      <c r="LI49"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49" s="30">
        <f>IF(OR(NOT(DATA[[#This Row],[Repairs and maintenance]]&gt;0),NOT(DATA[[#This Row],[Number of hours of care charged for in last full accounting year]]&gt;0)),0,DATA[[#This Row],[Repairs and maintenance]]/DATA[[#This Row],[Number of hours of care charged for in last full accounting year]])</f>
        <v>0</v>
      </c>
      <c r="LK49"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49" s="30">
        <f>IF(OR(NOT(DATA[[#This Row],[Registration &amp; Inspection fees ]]&gt;0),NOT(DATA[[#This Row],[Number of hours of care charged for in last full accounting year]]&gt;0)),0,DATA[[#This Row],[Registration &amp; Inspection fees ]]/DATA[[#This Row],[Number of hours of care charged for in last full accounting year]])</f>
        <v>0</v>
      </c>
      <c r="LM49" s="30">
        <f>IF(OR(NOT(DATA[[#This Row],[Subscriptions]]&gt;0),NOT(DATA[[#This Row],[Number of hours of care charged for in last full accounting year]]&gt;0)),0,DATA[[#This Row],[Subscriptions]]/DATA[[#This Row],[Number of hours of care charged for in last full accounting year]])</f>
        <v>0</v>
      </c>
      <c r="LN49" s="30">
        <f>IF(OR(NOT(DATA[[#This Row],[Cost of finance]]&gt;0),NOT(DATA[[#This Row],[Number of hours of care charged for in last full accounting year]]&gt;0)),0,DATA[[#This Row],[Cost of finance]]/DATA[[#This Row],[Number of hours of care charged for in last full accounting year]])</f>
        <v>0</v>
      </c>
      <c r="LO49" s="30">
        <f>IF(OR(NOT(DATA[[#This Row],[Other non-staff current expenses]]&gt;0),NOT(DATA[[#This Row],[Number of hours of care charged for in last full accounting year]]&gt;0)),0,DATA[[#This Row],[Other non-staff current expenses]]/DATA[[#This Row],[Number of hours of care charged for in last full accounting year]])</f>
        <v>0</v>
      </c>
      <c r="LP49"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49"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49" s="30">
        <f>IF(OR(NOT(DATA[[#This Row],[Central / Regional Management]]&gt;0),NOT(DATA[[#This Row],[Number of hours of care charged for in last full accounting year]]&gt;0)),0,DATA[[#This Row],[Central / Regional Management]]/DATA[[#This Row],[Number of hours of care charged for in last full accounting year]])</f>
        <v>0</v>
      </c>
      <c r="LS49"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49"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49"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49" s="30">
        <f>SUM(DATA[[#This Row],[Management staff HOURLY RATE]:[Corporate Overheads: Other  - please specify (amount) 2 HOURLY RATE]])</f>
        <v>16.460216259870784</v>
      </c>
      <c r="LW49" s="30" t="str">
        <f>IF(OR(NOT(DATA[[#This Row],[Net Operating Profit]]&gt;0),NOT(DATA[[#This Row],[Number of hours of care charged for in last full accounting year]]&gt;0)),"",DATA[[#This Row],[Net Operating Profit]]/DATA[[#This Row],[Number of hours of care charged for in last full accounting year]])</f>
        <v/>
      </c>
      <c r="LX49" s="30">
        <f>IF(OR(NOT(DATA[[#This Row],[Return on Capital employed]]&gt;0),NOT(DATA[[#This Row],[Number of hours of care charged for in last full accounting year]]&gt;0)),0,DATA[[#This Row],[Return on Capital employed]]/DATA[[#This Row],[Number of hours of care charged for in last full accounting year]])</f>
        <v>0</v>
      </c>
      <c r="LY49" s="31">
        <v>43</v>
      </c>
      <c r="LZ49" s="30" t="s">
        <v>358</v>
      </c>
      <c r="MA49" s="30" t="b">
        <f>DATA[[#This Row],[Number of Home support clients:]]&gt;0</f>
        <v>0</v>
      </c>
      <c r="MB49" s="30" t="b">
        <f>DATA[[#This Row],[Number of supported living clients:]]&gt;0</f>
        <v>1</v>
      </c>
      <c r="MC49" s="30" t="b">
        <f>DATA[[#This Row],[Total Home Support Hours]]&gt;0</f>
        <v>0</v>
      </c>
      <c r="MD49" s="30" t="b">
        <f>DATA[[#This Row],[Total Supported Living Hours]]&gt;0</f>
        <v>1</v>
      </c>
      <c r="ME49" s="30" t="b">
        <f>DATA[[#This Row],[Home Support service split percentage (Expenditure):]]&gt;0.5</f>
        <v>0</v>
      </c>
      <c r="MF49" s="30" t="b">
        <f>DATA[[#This Row],[Agency staff HOURLY RATE]]=0</f>
        <v>1</v>
      </c>
      <c r="MG49" s="30">
        <f>IFERROR(IF(AVERAGE(DATA[[#This Row],[Registered manager: Current 2021/22 Minimum hourly pay rate ADJUSTED]],DATA[[#This Row],[Registered manager: Current 2021/22 Maximum hourly pay rate ADJUSTED]])&lt;LIVING_WAGE_22_23,DATA[[#This Row],[Registered manager: Numbers employed (Full Time Equivalent)]],0),"")</f>
        <v>0</v>
      </c>
      <c r="MH49" s="30">
        <f>IFERROR(IF(AVERAGE(DATA[[#This Row],[Deputy manager: Current 2021/22 Minimum hourly pay rate ADJUSTED]],DATA[[#This Row],[Deputy manager: Current 2021/22 Maximum hourly pay rate ADJUSTED]])&lt;LIVING_WAGE_22_23,DATA[[#This Row],[Deputy manager: Numbers employed (Full Time Equivalent)]],0),"")</f>
        <v>0</v>
      </c>
      <c r="MI49" s="30">
        <f>IFERROR(IF(AVERAGE(DATA[[#This Row],[Other manager 1: Current 2021/22 Minimum hourly pay rate ADJUSTED]],DATA[[#This Row],[Other manager 1: Current 2021/22 Maximum hourly pay rate ADJUSTED]])&lt;LIVING_WAGE_22_23,DATA[[#This Row],[Other manager 1: Numbers employed (Full Time Equivalent)]],0),"")</f>
        <v>0</v>
      </c>
      <c r="MJ49" s="30" t="str">
        <f>IFERROR(IF(AVERAGE(DATA[[#This Row],[Other manager 2: Current 2021/22 Minimum hourly pay rate ADJUSTED]],DATA[[#This Row],[Other manager 2: Current 2021/22 Maximum hourly pay rate ADJUSTED]])&lt;LIVING_WAGE_22_23,DATA[[#This Row],[Other manager 2: Numbers employed (Full Time Equivalent)]],0),"")</f>
        <v/>
      </c>
      <c r="MK49" s="30" t="str">
        <f>IFERROR(IF(AVERAGE(DATA[[#This Row],[Other manager 3: Current 2021/22 Minimum hourly pay rate ADJUSTED]],DATA[[#This Row],[Other manager 3: Current 2021/22 Maximum hourly pay rate ADJUSTED]])&lt;LIVING_WAGE_22_23,DATA[[#This Row],[Other manager 3: Numbers employed (Full Time Equivalent)]],0),"")</f>
        <v/>
      </c>
      <c r="ML49" s="30">
        <f>IFERROR(IF(AVERAGE(DATA[[#This Row],[Care Assistant 1: Current 2021/22 Minimum hourly pay rate ADJUSTED]],DATA[[#This Row],[Care Assistant 1: Current 2021/22 Maximum hourly pay rate ADJUSTED]])&lt;LIVING_WAGE_22_23,DATA[[#This Row],[Care Assistant 1: Numbers employed (Full Time Equivalent)]],0),"")</f>
        <v>105</v>
      </c>
      <c r="MM49" s="30" t="str">
        <f>IFERROR(IF(AVERAGE(DATA[[#This Row],[Care Assistant 2: Current 2021/22 Minimum hourly pay rate ADJUSTED]],DATA[[#This Row],[Care Assistant 2: Current 2021/22 Maximum hourly pay rate ADJUSTED]])&lt;LIVING_WAGE_22_23,DATA[[#This Row],[Care Assistant 2: Numbers employed (Full Time Equivalent)]],0),"")</f>
        <v/>
      </c>
      <c r="MN49" s="30" t="str">
        <f>IFERROR(IF(AVERAGE(DATA[[#This Row],[Care Assistant 3: Current 2021/22 Minimum hourly pay rate ADJUSTED]],DATA[[#This Row],[Care Assistant 3: Current 2021/22 Maximum hourly pay rate ADJUSTED]])&lt;LIVING_WAGE_22_23,DATA[[#This Row],[Care Assistant 3: Numbers employed (Full Time Equivalent)]],0),"")</f>
        <v/>
      </c>
      <c r="MO49" s="30" t="str">
        <f>IFERROR(IF(AVERAGE(DATA[[#This Row],[Care Assistant 4: Current 2021/22 Minimum hourly pay rate ADJUSTED]],DATA[[#This Row],[Care Assistant 4: Current 2021/22 Maximum hourly pay rate ADJUSTED]])&lt;LIVING_WAGE_22_23,DATA[[#This Row],[Care Assistant 4: Numbers employed (Full Time Equivalent)]],0),"")</f>
        <v/>
      </c>
      <c r="MP49"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49"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49" s="30" t="str">
        <f>IFERROR(IF(AVERAGE(DATA[[#This Row],[Other staff 1: Current 2021/22 Minimum hourly pay rate ADJUSTED]],DATA[[#This Row],[Other staff 1: Current 2021/22 Maximum hourly pay rate ADJUSTED]])&lt;LIVING_WAGE_22_23,DATA[[#This Row],[Other staff 1: Numbers employed (Full Time Equivalent)]],0),"")</f>
        <v/>
      </c>
      <c r="MS49" s="30" t="str">
        <f>IFERROR(IF(AVERAGE(DATA[[#This Row],[Other staff 2: Current 2021/22 Minimum hourly pay rate ADJUSTED]],DATA[[#This Row],[Other staff 2: Current 2021/22 Maximum hourly pay rate ADJUSTED]])&lt;LIVING_WAGE_22_23,DATA[[#This Row],[Other staff 2: Numbers employed (Full Time Equivalent)]],0),"")</f>
        <v/>
      </c>
      <c r="MT49" s="30" t="str">
        <f>IFERROR(IF(AVERAGE(DATA[[#This Row],[Other staff 3: Current 2021/22 Minimum hourly pay rate ADJUSTED]],DATA[[#This Row],[Other staff 3: Current 2021/22 Maximum hourly pay rate ADJUSTED]])&lt;LIVING_WAGE_22_23,DATA[[#This Row],[Other staff 3: Numbers employed (Full Time Equivalent)]],0),"")</f>
        <v/>
      </c>
      <c r="MU49" s="30">
        <f>SUM(DATA[[#This Row],[Registered Manager FTE earning less than NLW 23yrs 2022/23]:[Other staff 3 FTE earning less than NLW 23yrs 2022/23]])</f>
        <v>105</v>
      </c>
      <c r="MV49"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49"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49"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49"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49"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49"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61.949999999999989</v>
      </c>
      <c r="NB49"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49"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49"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49"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49"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49"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49"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49"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49" s="30" t="b">
        <v>0</v>
      </c>
      <c r="NK49" s="30" t="b">
        <v>1</v>
      </c>
      <c r="NL49" s="30" t="s">
        <v>972</v>
      </c>
      <c r="NM49" s="30">
        <f>SUM(DATA[[#This Row],[Management staff HOURLY RATE]:[Training and development HOURLY RATE]])</f>
        <v>16.337894831299355</v>
      </c>
      <c r="NN49" s="30">
        <f>SUM(DATA[[#This Row],[Recruitment &amp; advertising (including DBS checks) HOURLY RATE]:[Non-Staffing Direct Cost: Other  - please specify (amount) 2 HOURLY RATE]])</f>
        <v>0</v>
      </c>
      <c r="NO49" s="30">
        <f>SUM(DATA[[#This Row],[Insurance  HOURLY RATE]:[Indirect costs: Other  - please specify (amount) 2 HOURLY RATE]])</f>
        <v>0.12232142857142857</v>
      </c>
      <c r="NP49" s="30">
        <f>SUM(DATA[[#This Row],[Central / Regional Management HOURLY RATE]:[Corporate Overheads: Other  - please specify (amount) 2 HOURLY RATE]])</f>
        <v>0</v>
      </c>
      <c r="NQ49"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49" s="30">
        <f>IFERROR(IF(AVERAGE(DATA[[#This Row],[Deputy manager: Current 2021/22 Minimum hourly pay rate ADJUSTED]],DATA[[#This Row],[Deputy manager: Current 2021/22 Maximum hourly pay rate ADJUSTED]])&lt;REAL_LIVING_WAGE_22_23,DATA[[#This Row],[Deputy manager: Numbers employed (Full Time Equivalent)]],0),"")</f>
        <v>0</v>
      </c>
      <c r="NS49" s="30">
        <f>IFERROR(IF(AVERAGE(DATA[[#This Row],[Other manager 1: Current 2021/22 Minimum hourly pay rate ADJUSTED]],DATA[[#This Row],[Other manager 1: Current 2021/22 Maximum hourly pay rate ADJUSTED]])&lt;REAL_LIVING_WAGE_22_23,DATA[[#This Row],[Other manager 1: Numbers employed (Full Time Equivalent)]],0),"")</f>
        <v>0</v>
      </c>
      <c r="NT49" s="30" t="str">
        <f>IFERROR(IF(AVERAGE(DATA[[#This Row],[Other manager 2: Current 2021/22 Minimum hourly pay rate ADJUSTED]],DATA[[#This Row],[Other manager 2: Current 2021/22 Maximum hourly pay rate ADJUSTED]])&lt;REAL_LIVING_WAGE_22_23,DATA[[#This Row],[Other manager 2: Numbers employed (Full Time Equivalent)]],0),"")</f>
        <v/>
      </c>
      <c r="NU49" s="30" t="str">
        <f>IFERROR(IF(AVERAGE(DATA[[#This Row],[Other manager 3: Current 2021/22 Minimum hourly pay rate ADJUSTED]],DATA[[#This Row],[Other manager 3: Current 2021/22 Maximum hourly pay rate ADJUSTED]])&lt;REAL_LIVING_WAGE_22_23,DATA[[#This Row],[Other manager 3: Numbers employed (Full Time Equivalent)]],0),"")</f>
        <v/>
      </c>
      <c r="NV49" s="30">
        <f>IFERROR(IF(AVERAGE(DATA[[#This Row],[Care Assistant 1: Current 2021/22 Minimum hourly pay rate ADJUSTED]],DATA[[#This Row],[Care Assistant 1: Current 2021/22 Maximum hourly pay rate ADJUSTED]])&lt;REAL_LIVING_WAGE_22_23,DATA[[#This Row],[Care Assistant 1: Numbers employed (Full Time Equivalent)]],0),"")</f>
        <v>105</v>
      </c>
      <c r="NW49"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49"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49"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49"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49"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49" s="30" t="str">
        <f>IFERROR(IF(AVERAGE(DATA[[#This Row],[Other staff 1: Current 2021/22 Minimum hourly pay rate ADJUSTED]],DATA[[#This Row],[Other staff 1: Current 2021/22 Maximum hourly pay rate ADJUSTED]])&lt;REAL_LIVING_WAGE_22_23,DATA[[#This Row],[Other staff 1: Numbers employed (Full Time Equivalent)]],0),"")</f>
        <v/>
      </c>
      <c r="OC49" s="30" t="str">
        <f>IFERROR(IF(AVERAGE(DATA[[#This Row],[Other staff 2: Current 2021/22 Minimum hourly pay rate ADJUSTED]],DATA[[#This Row],[Other staff 2: Current 2021/22 Maximum hourly pay rate ADJUSTED]])&lt;REAL_LIVING_WAGE_22_23,DATA[[#This Row],[Other staff 2: Numbers employed (Full Time Equivalent)]],0),"")</f>
        <v/>
      </c>
      <c r="OD49" s="30" t="str">
        <f>IFERROR(IF(AVERAGE(DATA[[#This Row],[Other staff 3: Current 2021/22 Minimum hourly pay rate ADJUSTED]],DATA[[#This Row],[Other staff 3: Current 2021/22 Maximum hourly pay rate ADJUSTED]])&lt;REAL_LIVING_WAGE_22_23,DATA[[#This Row],[Other staff 3: Numbers employed (Full Time Equivalent)]],0),"")</f>
        <v/>
      </c>
      <c r="OE49" s="30">
        <f>SUM(DATA[[#This Row],[Registered Manager FTE earning less than RLW 23yrs 2022/23]:[Other staff 3 FTE earning less than RLW 23yrs 2022/23]])</f>
        <v>105</v>
      </c>
      <c r="OF49"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49"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49"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49"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49"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49"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103.95000000000002</v>
      </c>
      <c r="OL49"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49"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49"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49"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49"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49"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49"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49"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49" s="30">
        <f>IFERROR(IF(DATA[[#This Row],[Registered manager: Numbers employed (Full Time Equivalent)]]=0,"",DATA[[#This Row],[Registered manager: Current 2021/22 Minimum hourly pay rate ADJUSTED 2]]*DATA[[#This Row],[Registered manager: Numbers employed (Full Time Equivalent)]]),"")</f>
        <v>23.98</v>
      </c>
      <c r="OU49" s="30">
        <f>IFERROR(IF(DATA[[#This Row],[Registered manager: Numbers employed (Full Time Equivalent)]]=0,"",DATA[[#This Row],[Registered manager: Current 2021/22 Maximum hourly pay rate ADJUSTED 2]]*DATA[[#This Row],[Registered manager: Numbers employed (Full Time Equivalent)]]),"")</f>
        <v>23.08</v>
      </c>
      <c r="OV49" s="30">
        <f>IFERROR(IF(DATA[[#This Row],[Registered manager: Numbers employed (Full Time Equivalent)]]=0,"",DATA[[#This Row],[Registered manager: Previous 2020/21 Minimum hourly pay rate ADJUSTED 2]]*DATA[[#This Row],[Registered manager: Numbers employed (Full Time Equivalent)]]),"")</f>
        <v>23.08</v>
      </c>
      <c r="OW49" s="30">
        <f>IFERROR(IF(DATA[[#This Row],[Registered manager: Numbers employed (Full Time Equivalent)]]=0,"",DATA[[#This Row],[Registered manager: Previous 2020/21 Maximum hourly pay rate ADJUSTED 2]]*DATA[[#This Row],[Registered manager: Numbers employed (Full Time Equivalent)]]),"")</f>
        <v>23.08</v>
      </c>
      <c r="OX49" s="30">
        <f>IFERROR(IF(DATA[[#This Row],[Deputy manager: Numbers employed (Full Time Equivalent)]]=0,"",DATA[[#This Row],[Deputy manager: Current 2021/22 Minimum hourly pay rate ADJUSTED 2]]*DATA[[#This Row],[Deputy manager: Numbers employed (Full Time Equivalent)]]),"")</f>
        <v>15.38</v>
      </c>
      <c r="OY49" s="30">
        <f>IFERROR(IF(DATA[[#This Row],[Deputy manager: Numbers employed (Full Time Equivalent)]]=0,"",DATA[[#This Row],[Deputy manager: Current 2021/22 Maximum hourly pay rate ADJUSTED 2]]*DATA[[#This Row],[Deputy manager: Numbers employed (Full Time Equivalent)]]),"")</f>
        <v>15.38</v>
      </c>
      <c r="OZ49" s="30">
        <f>IFERROR(IF(DATA[[#This Row],[Deputy manager: Numbers employed (Full Time Equivalent)]]=0,"",DATA[[#This Row],[Deputy manager: Previous 2020/21 Minimum hourly pay rate ADJUSTED 2]]*DATA[[#This Row],[Deputy manager: Numbers employed (Full Time Equivalent)]]),"")</f>
        <v>15.38</v>
      </c>
      <c r="PA49" s="30">
        <f>IFERROR(IF(DATA[[#This Row],[Deputy manager: Numbers employed (Full Time Equivalent)]]=0,"",DATA[[#This Row],[Deputy manager: Previous 2020/21 Maximum hourly pay rate ADJUSTED 2]]*DATA[[#This Row],[Deputy manager: Numbers employed (Full Time Equivalent)]]),"")</f>
        <v>15.38</v>
      </c>
      <c r="PB49" s="30">
        <f>IFERROR(IF(DATA[[#This Row],[Other manager 1: Numbers employed (Full Time Equivalent)]]=0,"",DATA[[#This Row],[Other manager 1: Current 2021/22 Minimum hourly pay rate ADJUSTED 2]]*DATA[[#This Row],[Other manager 1: Numbers employed (Full Time Equivalent)]]),"")</f>
        <v>76.92</v>
      </c>
      <c r="PC49" s="30">
        <f>IFERROR(IF(DATA[[#This Row],[Other manager 1: Numbers employed (Full Time Equivalent)]]=0,"",DATA[[#This Row],[Other manager 1: Current 2021/22 Maximum hourly pay rate ADJUSTED 2]]*DATA[[#This Row],[Other manager 1: Numbers employed (Full Time Equivalent)]]),"")</f>
        <v>76.92</v>
      </c>
      <c r="PD49" s="30">
        <f>IFERROR(IF(DATA[[#This Row],[Other manager 1: Numbers employed (Full Time Equivalent)]]=0,"",DATA[[#This Row],[Other manager 1: Previous 2020/21 Minimum hourly pay rate ADJUSTED 2]]*DATA[[#This Row],[Other manager 1: Numbers employed (Full Time Equivalent)]]),"")</f>
        <v>76.92</v>
      </c>
      <c r="PE49" s="30">
        <f>IFERROR(IF(DATA[[#This Row],[Other manager 1: Numbers employed (Full Time Equivalent)]]=0,"",DATA[[#This Row],[Other manager 1: Previous 2020/21 Maximum hourly pay rate ADJUSTED 2]]*DATA[[#This Row],[Other manager 1: Numbers employed (Full Time Equivalent)]]),"")</f>
        <v>76.92</v>
      </c>
      <c r="PF49" s="30" t="str">
        <f>IFERROR(IF(DATA[[#This Row],[Other manager 2: Numbers employed (Full Time Equivalent)]]=0,"",DATA[[#This Row],[Other manager 2: Current 2021/22 Minimum hourly pay rate ADJUSTED 2]]*DATA[[#This Row],[Other manager 2: Numbers employed (Full Time Equivalent)]]),"")</f>
        <v/>
      </c>
      <c r="PG49" s="30" t="str">
        <f>IFERROR(IF(DATA[[#This Row],[Other manager 2: Numbers employed (Full Time Equivalent)]]=0,"",DATA[[#This Row],[Other manager 2: Current 2021/22 Maximum hourly pay rate ADJUSTED 2]]*DATA[[#This Row],[Other manager 2: Numbers employed (Full Time Equivalent)]]),"")</f>
        <v/>
      </c>
      <c r="PH49" s="30" t="str">
        <f>IFERROR(IF(DATA[[#This Row],[Other manager 2: Numbers employed (Full Time Equivalent)]]=0,"",DATA[[#This Row],[Other manager 2: Previous 2020/21 Minimum hourly pay rate ADJUSTED 2]]*DATA[[#This Row],[Other manager 2: Numbers employed (Full Time Equivalent)]]),"")</f>
        <v/>
      </c>
      <c r="PI49" s="30" t="str">
        <f>IFERROR(IF(DATA[[#This Row],[Other manager 2: Numbers employed (Full Time Equivalent)]]=0,"",DATA[[#This Row],[Other manager 2: Previous 2020/21 Maximum hourly pay rate ADJUSTED 2]]*DATA[[#This Row],[Other manager 2: Numbers employed (Full Time Equivalent)]]),"")</f>
        <v/>
      </c>
      <c r="PJ49" s="30" t="str">
        <f>IFERROR(IF(DATA[[#This Row],[Other manager 3: Numbers employed (Full Time Equivalent)]]=0,"",DATA[[#This Row],[Other manager 3: Current 2021/22 Minimum hourly pay rate ADJUSTED 2]]*DATA[[#This Row],[Other manager 3: Numbers employed (Full Time Equivalent)]]),"")</f>
        <v/>
      </c>
      <c r="PK49" s="30" t="str">
        <f>IFERROR(IF(DATA[[#This Row],[Other manager 3: Numbers employed (Full Time Equivalent)]]=0,"",DATA[[#This Row],[Other manager 3: Current 2021/22 Maximum hourly pay rate ADJUSTED 2]]*DATA[[#This Row],[Other manager 3: Numbers employed (Full Time Equivalent)]]),"")</f>
        <v/>
      </c>
      <c r="PL49" s="30" t="str">
        <f>IFERROR(IF(DATA[[#This Row],[Other manager 3: Numbers employed (Full Time Equivalent)]]=0,"",DATA[[#This Row],[Other manager 3: Previous 2020/21 Minimum hourly pay rate ADJUSTED 2]]*DATA[[#This Row],[Other manager 3: Numbers employed (Full Time Equivalent)]]),"")</f>
        <v/>
      </c>
      <c r="PM49" s="30" t="str">
        <f>IFERROR(IF(DATA[[#This Row],[Other manager 3: Numbers employed (Full Time Equivalent)]]=0,"",DATA[[#This Row],[Other manager 3: Previous 2020/21 Maximum hourly pay rate ADJUSTED 2]]*DATA[[#This Row],[Other manager 3: Numbers employed (Full Time Equivalent)]]),"")</f>
        <v/>
      </c>
      <c r="PN49" s="30">
        <f>IFERROR(IF(DATA[[#This Row],[Care Assistant 1: Numbers employed (Full Time Equivalent)]]=0,"",DATA[[#This Row],[Care Assistant 1: Current 2021/22 Minimum hourly pay rate ADJUSTED 2]]*DATA[[#This Row],[Care Assistant 1: Numbers employed (Full Time Equivalent)]]),"")</f>
        <v>935.55000000000007</v>
      </c>
      <c r="PO49" s="30">
        <f>IFERROR(IF(DATA[[#This Row],[Care Assistant 1: Numbers employed (Full Time Equivalent)]]=0,"",DATA[[#This Row],[Care Assistant 1: Current 2021/22 Maximum hourly pay rate ADJUSTED 2]]*DATA[[#This Row],[Care Assistant 1: Numbers employed (Full Time Equivalent)]]),"")</f>
        <v>935.55000000000007</v>
      </c>
      <c r="PP49" s="30">
        <f>IFERROR(IF(DATA[[#This Row],[Care Assistant 1: Numbers employed (Full Time Equivalent)]]=0,"",DATA[[#This Row],[Care Assistant 1: Previous 2020/21 Minimum hourly pay rate ADJUSTED 2]]*DATA[[#This Row],[Care Assistant 1: Numbers employed (Full Time Equivalent)]]),"")</f>
        <v>935.55000000000007</v>
      </c>
      <c r="PQ49" s="30">
        <f>IFERROR(IF(DATA[[#This Row],[Care Assistant 1: Numbers employed (Full Time Equivalent)]]=0,"",DATA[[#This Row],[Care Assistant 1: Previous 2020/21 Maximum hourly pay rate ADJUSTED 2]]*DATA[[#This Row],[Care Assistant 1: Numbers employed (Full Time Equivalent)]]),"")</f>
        <v>935.55000000000007</v>
      </c>
      <c r="PR49" s="30" t="str">
        <f>IFERROR(IF(DATA[[#This Row],[Care Assistant 2: Numbers employed (Full Time Equivalent)]]=0,"",DATA[[#This Row],[Care Assistant 2: Current 2021/22 Minimum hourly pay rate ADJUSTED 2]]*DATA[[#This Row],[Care Assistant 2: Numbers employed (Full Time Equivalent)]]),"")</f>
        <v/>
      </c>
      <c r="PS49" s="30" t="str">
        <f>IFERROR(IF(DATA[[#This Row],[Care Assistant 2: Numbers employed (Full Time Equivalent)]]=0,"",DATA[[#This Row],[Care Assistant 2: Current 2021/22 Maximum hourly pay rate ADJUSTED 2]]*DATA[[#This Row],[Care Assistant 2: Numbers employed (Full Time Equivalent)]]),"")</f>
        <v/>
      </c>
      <c r="PT49" s="30" t="str">
        <f>IFERROR(IF(DATA[[#This Row],[Care Assistant 2: Numbers employed (Full Time Equivalent)]]=0,"",DATA[[#This Row],[Care Assistant 2: Previous 2020/21 Minimum hourly pay rate ADJUSTED 2]]*DATA[[#This Row],[Care Assistant 2: Numbers employed (Full Time Equivalent)]]),"")</f>
        <v/>
      </c>
      <c r="PU49" s="30" t="str">
        <f>IFERROR(IF(DATA[[#This Row],[Care Assistant 2: Numbers employed (Full Time Equivalent)]]=0,"",DATA[[#This Row],[Care Assistant 2: Previous 2020/21 Maximum hourly pay rate ADJUSTED 2]]*DATA[[#This Row],[Care Assistant 2: Numbers employed (Full Time Equivalent)]]),"")</f>
        <v/>
      </c>
      <c r="PV49" s="30" t="str">
        <f>IFERROR(IF(DATA[[#This Row],[Care Assistant 3: Numbers employed (Full Time Equivalent)]]=0,"",DATA[[#This Row],[Care Assistant 3: Current 2021/22 Minimum hourly pay rate ADJUSTED 2]]*DATA[[#This Row],[Care Assistant 3: Numbers employed (Full Time Equivalent)]]),"")</f>
        <v/>
      </c>
      <c r="PW49" s="30" t="str">
        <f>IFERROR(IF(DATA[[#This Row],[Care Assistant 3: Numbers employed (Full Time Equivalent)]]=0,"",DATA[[#This Row],[Care Assistant 3: Current 2021/22 Maximum hourly pay rate ADJUSTED 2]]*DATA[[#This Row],[Care Assistant 3: Numbers employed (Full Time Equivalent)]]),"")</f>
        <v/>
      </c>
      <c r="PX49" s="30" t="str">
        <f>IFERROR(IF(DATA[[#This Row],[Care Assistant 3: Numbers employed (Full Time Equivalent)]]=0,"",DATA[[#This Row],[Care Assistant 3: Previous 2020/21 Minimum hourly pay rate ADJUSTED 2]]*DATA[[#This Row],[Care Assistant 3: Numbers employed (Full Time Equivalent)]]),"")</f>
        <v/>
      </c>
      <c r="PY49" s="30" t="str">
        <f>IFERROR(IF(DATA[[#This Row],[Care Assistant 3: Numbers employed (Full Time Equivalent)]]=0,"",DATA[[#This Row],[Care Assistant 3: Previous 2020/21 Maximum hourly pay rate ADJUSTED 2]]*DATA[[#This Row],[Care Assistant 3: Numbers employed (Full Time Equivalent)]]),"")</f>
        <v/>
      </c>
      <c r="PZ49" s="30" t="str">
        <f>IFERROR(IF(DATA[[#This Row],[Care Assistant 4: Numbers employed (Full Time Equivalent)]]=0,"",DATA[[#This Row],[Care Assistant 4: Current 2021/22 Minimum hourly pay rate ADJUSTED 2]]*DATA[[#This Row],[Care Assistant 4: Numbers employed (Full Time Equivalent)]]),"")</f>
        <v/>
      </c>
      <c r="QA49" s="30" t="str">
        <f>IFERROR(IF(DATA[[#This Row],[Care Assistant 4: Numbers employed (Full Time Equivalent)]]=0,"",DATA[[#This Row],[Care Assistant 4: Current 2021/22 Maximum hourly pay rate ADJUSTED 2]]*DATA[[#This Row],[Care Assistant 4: Numbers employed (Full Time Equivalent)]]),"")</f>
        <v/>
      </c>
      <c r="QB49" s="30" t="str">
        <f>IFERROR(IF(DATA[[#This Row],[Care Assistant 4: Numbers employed (Full Time Equivalent)]]=0,"",DATA[[#This Row],[Care Assistant 4: Previous 2020/21 Minimum hourly pay rate ADJUSTED 2]]*DATA[[#This Row],[Care Assistant 4: Numbers employed (Full Time Equivalent)]]),"")</f>
        <v/>
      </c>
      <c r="QC49" s="30" t="str">
        <f>IFERROR(IF(DATA[[#This Row],[Care Assistant 4: Numbers employed (Full Time Equivalent)]]=0,"",DATA[[#This Row],[Care Assistant 4: Previous 2020/21 Maximum hourly pay rate ADJUSTED 2]]*DATA[[#This Row],[Care Assistant 4: Numbers employed (Full Time Equivalent)]]),"")</f>
        <v/>
      </c>
      <c r="QD49" s="30" t="str">
        <f>IFERROR(IF(DATA[[#This Row],[Administrative Officer 1: Numbers employed (Full Time Equivalent)]]=0,"",DATA[[#This Row],[Administrative Officer 1: Current 2021/22 Minimum hourly pay rate ADJUSTED 2]]*DATA[[#This Row],[Administrative Officer 1: Numbers employed (Full Time Equivalent)]]),"")</f>
        <v/>
      </c>
      <c r="QE49" s="30" t="str">
        <f>IFERROR(IF(DATA[[#This Row],[Administrative Officer 1: Numbers employed (Full Time Equivalent)]]=0,"",DATA[[#This Row],[Administrative Officer 1: Current 2021/22 Maximum hourly pay rate ADJUSTED 2]]*DATA[[#This Row],[Administrative Officer 1: Numbers employed (Full Time Equivalent)]]),"")</f>
        <v/>
      </c>
      <c r="QF49" s="30" t="str">
        <f>IFERROR(IF(DATA[[#This Row],[Administrative Officer 1: Numbers employed (Full Time Equivalent)]]=0,"",DATA[[#This Row],[Administrative Officer 1: Previous 2020/21 Minimum hourly pay rate ADJUSTED 2]]*DATA[[#This Row],[Administrative Officer 1: Numbers employed (Full Time Equivalent)]]),"")</f>
        <v/>
      </c>
      <c r="QG49" s="30" t="str">
        <f>IFERROR(IF(DATA[[#This Row],[Administrative Officer 1: Numbers employed (Full Time Equivalent)]]=0,"",DATA[[#This Row],[Administrative Officer 1: Previous 2020/21 Maximum hourly pay rate ADJUSTED 2]]*DATA[[#This Row],[Administrative Officer 1: Numbers employed (Full Time Equivalent)]]),"")</f>
        <v/>
      </c>
      <c r="QH49" s="30" t="str">
        <f>IFERROR(IF(DATA[[#This Row],[Administrative Officer 2: Numbers employed (Full Time Equivalent)]]=0,"",DATA[[#This Row],[Administrative Officer 2: Current 2021/22 Minimum hourly pay rate ADJUSTED 2]]*DATA[[#This Row],[Administrative Officer 2: Numbers employed (Full Time Equivalent)]]),"")</f>
        <v/>
      </c>
      <c r="QI49" s="30" t="str">
        <f>IFERROR(IF(DATA[[#This Row],[Administrative Officer 2: Numbers employed (Full Time Equivalent)]]=0,"",DATA[[#This Row],[Administrative Officer 2: Current 2021/22 Maximum hourly pay rate ADJUSTED 2]]*DATA[[#This Row],[Administrative Officer 2: Numbers employed (Full Time Equivalent)]]),"")</f>
        <v/>
      </c>
      <c r="QJ49" s="30" t="str">
        <f>IFERROR(IF(DATA[[#This Row],[Administrative Officer 2: Numbers employed (Full Time Equivalent)]]=0,"",DATA[[#This Row],[Administrative Officer 2: Previous 2020/21 Minimum hourly pay rate ADJUSTED 2]]*DATA[[#This Row],[Administrative Officer 2: Numbers employed (Full Time Equivalent)]]),"")</f>
        <v/>
      </c>
      <c r="QK49" s="30" t="str">
        <f>IFERROR(IF(DATA[[#This Row],[Administrative Officer 2: Numbers employed (Full Time Equivalent)]]=0,"",DATA[[#This Row],[Administrative Officer 2: Previous 2020/21 Maximum hourly pay rate ADJUSTED 2]]*DATA[[#This Row],[Administrative Officer 2: Numbers employed (Full Time Equivalent)]]),"")</f>
        <v/>
      </c>
      <c r="QL49" s="30" t="str">
        <f>IFERROR(IF(DATA[[#This Row],[Administrative Officer 3: Numbers employed (Full Time Equivalent)]]=0,"",DATA[[#This Row],[Administrative Officer 3: Current 2021/22 Minimum hourly pay rate ADJUSTED 2]]*DATA[[#This Row],[Administrative Officer 3: Numbers employed (Full Time Equivalent)]]),"")</f>
        <v/>
      </c>
      <c r="QM49" s="30" t="str">
        <f>IFERROR(IF(DATA[[#This Row],[Administrative Officer 3: Numbers employed (Full Time Equivalent)]]=0,"",DATA[[#This Row],[Administrative Officer 3: Current 2021/22 Maximum hourly pay rate ADJUSTED 2]]*DATA[[#This Row],[Administrative Officer 3: Numbers employed (Full Time Equivalent)]]),"")</f>
        <v/>
      </c>
      <c r="QN49" s="30" t="str">
        <f>IFERROR(IF(DATA[[#This Row],[Administrative Officer 3: Numbers employed (Full Time Equivalent)]]=0,"",DATA[[#This Row],[Administrative Officer 3: Previous 2020/21 Minimum hourly pay rate ADJUSTED 2]]*DATA[[#This Row],[Administrative Officer 3: Numbers employed (Full Time Equivalent)]]),"")</f>
        <v/>
      </c>
      <c r="QO49" s="30" t="str">
        <f>IFERROR(IF(DATA[[#This Row],[Administrative Officer 3: Numbers employed (Full Time Equivalent)]]=0,"",DATA[[#This Row],[Administrative Officer 3: Previous 2020/21 Maximum hourly pay rate ADJUSTED 2]]*DATA[[#This Row],[Administrative Officer 3: Numbers employed (Full Time Equivalent)]]),"")</f>
        <v/>
      </c>
      <c r="QP49" s="28" t="str">
        <f>IFERROR(IF(DATA[[#This Row],[Other staff 1: Numbers employed (Full Time Equivalent)]]=0,"",DATA[[#This Row],[Other staff 1: Current 2021/22 Minimum hourly pay rate ADJUSTED 2]]*DATA[[#This Row],[Other staff 1: Numbers employed (Full Time Equivalent)]]),"")</f>
        <v/>
      </c>
      <c r="QQ49" s="28" t="str">
        <f>IFERROR(IF(DATA[[#This Row],[Other staff 1: Numbers employed (Full Time Equivalent)]]=0,"",DATA[[#This Row],[Other staff 1: Current 2021/22 Maximum hourly pay rate ADJUSTED 2]]*DATA[[#This Row],[Other staff 1: Numbers employed (Full Time Equivalent)]]),"")</f>
        <v/>
      </c>
      <c r="QR49" s="28" t="str">
        <f>IFERROR(IF(DATA[[#This Row],[Other staff 1: Numbers employed (Full Time Equivalent)]]=0,"",DATA[[#This Row],[Other staff 1: Previous 2020/21 Minimum hourly pay rate ADJUSTED 2]]*DATA[[#This Row],[Other staff 1: Numbers employed (Full Time Equivalent)]]),"")</f>
        <v/>
      </c>
      <c r="QS49" s="28" t="str">
        <f>IFERROR(IF(DATA[[#This Row],[Other staff 1: Numbers employed (Full Time Equivalent)]]=0,"",DATA[[#This Row],[Other staff 1: Previous 2020/21 Maximum hourly pay rate ADJUSTED 2]]*DATA[[#This Row],[Other staff 1: Numbers employed (Full Time Equivalent)]]),"")</f>
        <v/>
      </c>
      <c r="QT49" s="28" t="str">
        <f>IFERROR(IF(DATA[[#This Row],[Other staff 2: Numbers employed (Full Time Equivalent)]]=0,"",DATA[[#This Row],[Other staff 2: Current 2021/22 Minimum hourly pay rate ADJUSTED 2]]*DATA[[#This Row],[Other staff 2: Numbers employed (Full Time Equivalent)]]),"")</f>
        <v/>
      </c>
      <c r="QU49" s="28" t="str">
        <f>IFERROR(IF(DATA[[#This Row],[Other staff 2: Numbers employed (Full Time Equivalent)]]=0,"",DATA[[#This Row],[Other staff 2: Current 2021/22 Maximum hourly pay rate ADJUSTED 2]]*DATA[[#This Row],[Other staff 2: Numbers employed (Full Time Equivalent)]]),"")</f>
        <v/>
      </c>
      <c r="QV49" s="28" t="str">
        <f>IFERROR(IF(DATA[[#This Row],[Other staff 2: Numbers employed (Full Time Equivalent)]]=0,"",DATA[[#This Row],[Other staff 2: Previous 2020/21 Minimum hourly pay rate ADJUSTED 2]]*DATA[[#This Row],[Other staff 2: Numbers employed (Full Time Equivalent)]]),"")</f>
        <v/>
      </c>
      <c r="QW49" s="28" t="str">
        <f>IFERROR(IF(DATA[[#This Row],[Other staff 2: Numbers employed (Full Time Equivalent)]]=0,"",DATA[[#This Row],[Other staff 2: Previous 2020/21 Maximum hourly pay rate ADJUSTED 2]]*DATA[[#This Row],[Other staff 2: Numbers employed (Full Time Equivalent)]]),"")</f>
        <v/>
      </c>
      <c r="QX49" s="28" t="str">
        <f>IFERROR(IF(DATA[[#This Row],[Other staff 3: Numbers employed (Full Time Equivalent)]]=0,"",DATA[[#This Row],[Other staff 3: Current 2021/22 Minimum hourly pay rate ADJUSTED 2]]*DATA[[#This Row],[Other staff 3: Numbers employed (Full Time Equivalent)]]),"")</f>
        <v/>
      </c>
      <c r="QY49" s="28" t="str">
        <f>IFERROR(IF(DATA[[#This Row],[Other staff 3: Numbers employed (Full Time Equivalent)]]=0,"",DATA[[#This Row],[Other staff 3: Current 2021/22 Maximum hourly pay rate ADJUSTED 2]]*DATA[[#This Row],[Other staff 3: Numbers employed (Full Time Equivalent)]]),"")</f>
        <v/>
      </c>
      <c r="QZ49" s="28" t="str">
        <f>IFERROR(IF(DATA[[#This Row],[Other staff 3: Numbers employed (Full Time Equivalent)]]=0,"",DATA[[#This Row],[Other staff 3: Previous 2020/21 Minimum hourly pay rate ADJUSTED 2]]*DATA[[#This Row],[Other staff 3: Numbers employed (Full Time Equivalent)]]),"")</f>
        <v/>
      </c>
      <c r="RA49" s="28" t="str">
        <f>IFERROR(IF(DATA[[#This Row],[Other staff 3: Numbers employed (Full Time Equivalent)]]=0,"",DATA[[#This Row],[Other staff 3: Previous 2020/21 Maximum hourly pay rate ADJUSTED 2]]*DATA[[#This Row],[Other staff 3: Numbers employed (Full Time Equivalent)]]),"")</f>
        <v/>
      </c>
      <c r="RB49"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49"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49"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6</v>
      </c>
      <c r="RE49"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49"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49"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105</v>
      </c>
      <c r="RH49"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49"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49"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49"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49"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49"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49"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49"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49"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0" spans="7:484" x14ac:dyDescent="0.25">
      <c r="G50" s="2">
        <v>44</v>
      </c>
      <c r="H50" s="2" t="s">
        <v>505</v>
      </c>
      <c r="L50" s="2" t="s">
        <v>506</v>
      </c>
      <c r="M50" s="2" t="s">
        <v>507</v>
      </c>
      <c r="R50" s="2">
        <v>0</v>
      </c>
      <c r="S50" s="2">
        <v>0</v>
      </c>
      <c r="T50" s="2">
        <v>0</v>
      </c>
      <c r="U50" s="2">
        <v>0</v>
      </c>
      <c r="V50" s="2">
        <v>0</v>
      </c>
      <c r="W50" s="2">
        <v>0</v>
      </c>
      <c r="X50" s="2">
        <v>0</v>
      </c>
      <c r="Y50" s="2">
        <v>0</v>
      </c>
      <c r="Z50" s="2">
        <v>0</v>
      </c>
      <c r="AA50" s="2">
        <v>0</v>
      </c>
      <c r="AB50" s="2" t="s">
        <v>13</v>
      </c>
      <c r="AC50" s="2">
        <v>0</v>
      </c>
      <c r="AD50" s="2">
        <v>0</v>
      </c>
      <c r="AE50" s="2">
        <v>0</v>
      </c>
      <c r="AF50" s="2">
        <v>0</v>
      </c>
      <c r="AG50" s="2">
        <v>0</v>
      </c>
      <c r="AH50" s="2" t="s">
        <v>13</v>
      </c>
      <c r="AI50" s="2">
        <v>0</v>
      </c>
      <c r="AJ50" s="2">
        <v>0</v>
      </c>
      <c r="AK50" s="2">
        <v>0</v>
      </c>
      <c r="AL50" s="2">
        <v>0</v>
      </c>
      <c r="AM50" s="2">
        <v>0</v>
      </c>
      <c r="AN50" s="2" t="s">
        <v>13</v>
      </c>
      <c r="AO50" s="2">
        <v>0</v>
      </c>
      <c r="AP50" s="2">
        <v>0</v>
      </c>
      <c r="AQ50" s="2">
        <v>0</v>
      </c>
      <c r="AR50" s="2">
        <v>0</v>
      </c>
      <c r="AS50" s="2">
        <v>0</v>
      </c>
      <c r="AT50" s="2" t="s">
        <v>40</v>
      </c>
      <c r="AU50" s="2">
        <v>0</v>
      </c>
      <c r="AV50" s="2">
        <v>0</v>
      </c>
      <c r="AW50" s="2">
        <v>0</v>
      </c>
      <c r="AX50" s="2">
        <v>0</v>
      </c>
      <c r="AY50" s="2">
        <v>0</v>
      </c>
      <c r="AZ50" s="2" t="s">
        <v>40</v>
      </c>
      <c r="BA50" s="2">
        <v>0</v>
      </c>
      <c r="BB50" s="2">
        <v>0</v>
      </c>
      <c r="BC50" s="2">
        <v>0</v>
      </c>
      <c r="BD50" s="2">
        <v>0</v>
      </c>
      <c r="BE50" s="2">
        <v>0</v>
      </c>
      <c r="BF50" s="2" t="s">
        <v>40</v>
      </c>
      <c r="BG50" s="2">
        <v>0</v>
      </c>
      <c r="BH50" s="2">
        <v>0</v>
      </c>
      <c r="BI50" s="2">
        <v>0</v>
      </c>
      <c r="BJ50" s="2">
        <v>0</v>
      </c>
      <c r="BK50" s="2">
        <v>0</v>
      </c>
      <c r="BL50" s="2" t="s">
        <v>40</v>
      </c>
      <c r="BM50" s="2">
        <v>0</v>
      </c>
      <c r="BN50" s="2">
        <v>0</v>
      </c>
      <c r="BO50" s="2">
        <v>0</v>
      </c>
      <c r="BP50" s="2">
        <v>0</v>
      </c>
      <c r="BQ50" s="2">
        <v>0</v>
      </c>
      <c r="BR50" s="2" t="s">
        <v>508</v>
      </c>
      <c r="BS50" s="2">
        <v>0</v>
      </c>
      <c r="BT50" s="2">
        <v>0</v>
      </c>
      <c r="BU50" s="2">
        <v>0</v>
      </c>
      <c r="BV50" s="2">
        <v>0</v>
      </c>
      <c r="BW50" s="2">
        <v>0</v>
      </c>
      <c r="BX50" s="2" t="s">
        <v>508</v>
      </c>
      <c r="BY50" s="2">
        <v>0</v>
      </c>
      <c r="BZ50" s="2">
        <v>0</v>
      </c>
      <c r="CA50" s="2">
        <v>0</v>
      </c>
      <c r="CB50" s="2">
        <v>0</v>
      </c>
      <c r="CC50" s="2">
        <v>0</v>
      </c>
      <c r="CD50" s="2" t="s">
        <v>508</v>
      </c>
      <c r="CE50" s="2">
        <v>0</v>
      </c>
      <c r="CF50" s="2">
        <v>0</v>
      </c>
      <c r="CG50" s="2">
        <v>0</v>
      </c>
      <c r="CH50" s="2">
        <v>0</v>
      </c>
      <c r="CI50" s="2">
        <v>0</v>
      </c>
      <c r="CJ50" s="2" t="s">
        <v>58</v>
      </c>
      <c r="CK50" s="2">
        <v>0</v>
      </c>
      <c r="CL50" s="2">
        <v>0</v>
      </c>
      <c r="CM50" s="2">
        <v>0</v>
      </c>
      <c r="CN50" s="2">
        <v>0</v>
      </c>
      <c r="CO50" s="2">
        <v>0</v>
      </c>
      <c r="CP50" s="2" t="s">
        <v>58</v>
      </c>
      <c r="CQ50" s="2">
        <v>0</v>
      </c>
      <c r="CR50" s="2">
        <v>0</v>
      </c>
      <c r="CS50" s="2">
        <v>0</v>
      </c>
      <c r="CT50" s="2">
        <v>0</v>
      </c>
      <c r="CU50" s="2">
        <v>0</v>
      </c>
      <c r="CV50" s="2" t="s">
        <v>509</v>
      </c>
      <c r="CW50" s="2"/>
      <c r="CX50" s="2"/>
      <c r="CY50" s="2"/>
      <c r="CZ50" s="2"/>
      <c r="DA50" s="2">
        <v>0</v>
      </c>
      <c r="DB50" s="2"/>
      <c r="DC50" s="2"/>
      <c r="DD50" s="2"/>
      <c r="DE50" s="2"/>
      <c r="DF50" s="2"/>
      <c r="DG50" s="2"/>
      <c r="DH50" s="2"/>
      <c r="DI50" s="2"/>
      <c r="DJ50" s="2"/>
      <c r="DK50" s="2"/>
      <c r="DL50" s="2"/>
      <c r="DM50" s="2"/>
      <c r="DN50" s="2"/>
      <c r="DO50" s="2"/>
      <c r="DP50" s="2"/>
      <c r="DQ50" s="2"/>
      <c r="DR50" s="18"/>
      <c r="DS50" s="18"/>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t="s">
        <v>715</v>
      </c>
      <c r="FJ50" s="2">
        <f>SUM(DATA[[#This Row],[Number of Home support clients:]],DATA[[#This Row],[Number of supported living clients:]])</f>
        <v>0</v>
      </c>
      <c r="FK50" s="2">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0</v>
      </c>
      <c r="FL50" s="2" t="str">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
      </c>
      <c r="FM50" s="2" t="str">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
      </c>
      <c r="FN50"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50"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50"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50"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50"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50"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50"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50"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50"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50"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50"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50"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50"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50"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50"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50"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50"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50"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50" s="2" t="str">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
      </c>
      <c r="GG50" s="2" t="str">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
      </c>
      <c r="GH50"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50"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50"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50"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50"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50"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50"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50"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50"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50"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50"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0"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0"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0"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0"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50"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50"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50"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50"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50"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50"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50"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50"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50"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50"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50"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50"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50"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50"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50"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50"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50"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50"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50"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50"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0"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0"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0"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0" s="2" t="str">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
      </c>
      <c r="HU50" s="2" t="str">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
      </c>
      <c r="HV50" s="2" t="str">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
      </c>
      <c r="HW50" s="2" t="str">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
      </c>
      <c r="HX50"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50"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50"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50"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50"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50"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50"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50"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50"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50"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50"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50"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50"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50"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50"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50"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50" s="2" t="str">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
      </c>
      <c r="IO50" s="2" t="str">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
      </c>
      <c r="IP50" s="2" t="str">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
      </c>
      <c r="IQ50" s="2" t="str">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
      </c>
      <c r="IR50"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50"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50"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50"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50"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50"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50"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50"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50"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0"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0"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0"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0"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50"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50"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50"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50"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50"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50"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50"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50"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50"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50"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50"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50"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50"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50"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50"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50"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50"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50"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50"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50"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0"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0"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0"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0"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v>
      </c>
      <c r="KC50" s="21">
        <f>SUM(DATA[[#This Row],[Care Assistant 1: Numbers employed (Full Time Equivalent)]],DATA[[#This Row],[Care Assistant 2: Numbers employed (Full Time Equivalent)]],DATA[[#This Row],[Care Assistant 3: Numbers employed (Full Time Equivalent)]],DATA[[#This Row],[Care Assistant 4: Numbers employed (Full Time Equivalent)]])</f>
        <v>0</v>
      </c>
      <c r="KD50" s="21">
        <f>SUM(DATA[[#This Row],[Administrative Officer 1: Numbers employed (Full Time Equivalent)]],DATA[[#This Row],[Administrative Officer 2: Numbers employed (Full Time Equivalent)]])</f>
        <v>0</v>
      </c>
      <c r="KE50" s="21">
        <f>SUM(DATA[[#This Row],[Other staff 1: Numbers employed (Full Time Equivalent)]],DATA[[#This Row],[Other staff 2: Numbers employed (Full Time Equivalent)]],DATA[[#This Row],[Other staff 3: Numbers employed (Full Time Equivalent)]])</f>
        <v>0</v>
      </c>
      <c r="KF50" s="21">
        <f>SUM(DATA[[#This Row],[Total FTE Management Employees]:[Total FTE Other Employees]])</f>
        <v>0</v>
      </c>
      <c r="KG50" s="21" t="str">
        <f>IF(SUM(DATA[[#This Row],[Home Support service split percentage (Expenditure):]],DATA[[#This Row],[Supported Living service split percentage (Expenditure):]])&gt;0, IF(DATA[[#This Row],[Home Support service split percentage (Expenditure):]]&gt;0.5,"Home Support","Supported Living"), "Unknown")</f>
        <v>Unknown</v>
      </c>
      <c r="KH50" s="21">
        <f>SUM(DATA[[#This Row],[Home Support: Birmingham City Council]:[Home Support: Self-funded]])</f>
        <v>0</v>
      </c>
      <c r="KI50" s="21">
        <f>SUM(DATA[[#This Row],[Supported Living: Birmingham City Council]:[Supported Living: Self-funded]])</f>
        <v>0</v>
      </c>
      <c r="KJ50"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50"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50"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50"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50" s="21" t="b">
        <f>SUM(DATA[[#This Row],[Number of hours of care charged for in last full accounting year]:[Corporate Overheads: Other  - please specify (category) 1]])&gt;0</f>
        <v>0</v>
      </c>
      <c r="KO50" s="21">
        <f>SUM(DATA[[#This Row],[Total annual expenditure: Management staff]:[Total annual expenditure: Training and development]])</f>
        <v>0</v>
      </c>
      <c r="KP50" s="21">
        <f>SUM(DATA[[#This Row],[Recruitment &amp; advertising (including DBS checks)]:[Non-Staffing Direct Cost: Other  - please specify (amount) 2]])</f>
        <v>0</v>
      </c>
      <c r="KQ50" s="21">
        <f>SUM(DATA[[#This Row],[Insurance ]:[Indirect costs: Other 2 - please specify (amount)]])</f>
        <v>0</v>
      </c>
      <c r="KR50" s="21">
        <f>SUM(DATA[[#This Row],[Central / Regional Management]],DATA[[#This Row],[Support Services (finance / HR / Payroll / legal etc.)]],DATA[[#This Row],[Corporate Overheads: Other  - please specify (amount) 1]],DATA[[#This Row],[Corporate Overheads: Other  - please specify (amount) 2]])</f>
        <v>0</v>
      </c>
      <c r="KS50"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50"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50"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50"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50"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50"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50"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50"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50"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50"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50" s="30">
        <f>IF(OR(NOT(DATA[[#This Row],[Care consumables &amp; uniforms]]&gt;0),NOT(DATA[[#This Row],[Number of hours of care charged for in last full accounting year]]&gt;0)),0,DATA[[#This Row],[Care consumables &amp; uniforms]]/DATA[[#This Row],[Number of hours of care charged for in last full accounting year]])</f>
        <v>0</v>
      </c>
      <c r="LD50" s="30">
        <f>IF(OR(NOT(DATA[[#This Row],[Electronic call monitoring]]&gt;0),NOT(DATA[[#This Row],[Number of hours of care charged for in last full accounting year]]&gt;0)),0,DATA[[#This Row],[Electronic call monitoring]]/DATA[[#This Row],[Number of hours of care charged for in last full accounting year]])</f>
        <v>0</v>
      </c>
      <c r="LE50" s="30">
        <f>IF(OR(NOT(DATA[[#This Row],[IT Equipment &amp; Telephoney]]&gt;0),NOT(DATA[[#This Row],[Number of hours of care charged for in last full accounting year]]&gt;0)),0,DATA[[#This Row],[IT Equipment &amp; Telephoney]]/DATA[[#This Row],[Number of hours of care charged for in last full accounting year]])</f>
        <v>0</v>
      </c>
      <c r="LF50"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50"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50" s="30">
        <f>IF(OR(NOT(DATA[[#This Row],[Insurance ]]&gt;0),NOT(DATA[[#This Row],[Number of hours of care charged for in last full accounting year]]&gt;0)),0,DATA[[#This Row],[Insurance ]]/DATA[[#This Row],[Number of hours of care charged for in last full accounting year]])</f>
        <v>0</v>
      </c>
      <c r="LI50"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50" s="30">
        <f>IF(OR(NOT(DATA[[#This Row],[Repairs and maintenance]]&gt;0),NOT(DATA[[#This Row],[Number of hours of care charged for in last full accounting year]]&gt;0)),0,DATA[[#This Row],[Repairs and maintenance]]/DATA[[#This Row],[Number of hours of care charged for in last full accounting year]])</f>
        <v>0</v>
      </c>
      <c r="LK50"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50" s="30">
        <f>IF(OR(NOT(DATA[[#This Row],[Registration &amp; Inspection fees ]]&gt;0),NOT(DATA[[#This Row],[Number of hours of care charged for in last full accounting year]]&gt;0)),0,DATA[[#This Row],[Registration &amp; Inspection fees ]]/DATA[[#This Row],[Number of hours of care charged for in last full accounting year]])</f>
        <v>0</v>
      </c>
      <c r="LM50" s="30">
        <f>IF(OR(NOT(DATA[[#This Row],[Subscriptions]]&gt;0),NOT(DATA[[#This Row],[Number of hours of care charged for in last full accounting year]]&gt;0)),0,DATA[[#This Row],[Subscriptions]]/DATA[[#This Row],[Number of hours of care charged for in last full accounting year]])</f>
        <v>0</v>
      </c>
      <c r="LN50" s="30">
        <f>IF(OR(NOT(DATA[[#This Row],[Cost of finance]]&gt;0),NOT(DATA[[#This Row],[Number of hours of care charged for in last full accounting year]]&gt;0)),0,DATA[[#This Row],[Cost of finance]]/DATA[[#This Row],[Number of hours of care charged for in last full accounting year]])</f>
        <v>0</v>
      </c>
      <c r="LO50" s="30">
        <f>IF(OR(NOT(DATA[[#This Row],[Other non-staff current expenses]]&gt;0),NOT(DATA[[#This Row],[Number of hours of care charged for in last full accounting year]]&gt;0)),0,DATA[[#This Row],[Other non-staff current expenses]]/DATA[[#This Row],[Number of hours of care charged for in last full accounting year]])</f>
        <v>0</v>
      </c>
      <c r="LP50"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50"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50" s="30">
        <f>IF(OR(NOT(DATA[[#This Row],[Central / Regional Management]]&gt;0),NOT(DATA[[#This Row],[Number of hours of care charged for in last full accounting year]]&gt;0)),0,DATA[[#This Row],[Central / Regional Management]]/DATA[[#This Row],[Number of hours of care charged for in last full accounting year]])</f>
        <v>0</v>
      </c>
      <c r="LS50"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50"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50"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0" s="30">
        <f>SUM(DATA[[#This Row],[Management staff HOURLY RATE]:[Corporate Overheads: Other  - please specify (amount) 2 HOURLY RATE]])</f>
        <v>0</v>
      </c>
      <c r="LW50" s="30" t="str">
        <f>IF(OR(NOT(DATA[[#This Row],[Net Operating Profit]]&gt;0),NOT(DATA[[#This Row],[Number of hours of care charged for in last full accounting year]]&gt;0)),"",DATA[[#This Row],[Net Operating Profit]]/DATA[[#This Row],[Number of hours of care charged for in last full accounting year]])</f>
        <v/>
      </c>
      <c r="LX50" s="30">
        <f>IF(OR(NOT(DATA[[#This Row],[Return on Capital employed]]&gt;0),NOT(DATA[[#This Row],[Number of hours of care charged for in last full accounting year]]&gt;0)),0,DATA[[#This Row],[Return on Capital employed]]/DATA[[#This Row],[Number of hours of care charged for in last full accounting year]])</f>
        <v>0</v>
      </c>
      <c r="LY50" s="31">
        <v>44</v>
      </c>
      <c r="LZ50" s="30" t="s">
        <v>815</v>
      </c>
      <c r="MA50" s="30" t="b">
        <f>DATA[[#This Row],[Number of Home support clients:]]&gt;0</f>
        <v>1</v>
      </c>
      <c r="MB50" s="30" t="b">
        <f>DATA[[#This Row],[Number of supported living clients:]]&gt;0</f>
        <v>0</v>
      </c>
      <c r="MC50" s="30" t="b">
        <f>DATA[[#This Row],[Total Home Support Hours]]&gt;0</f>
        <v>0</v>
      </c>
      <c r="MD50" s="30" t="b">
        <f>DATA[[#This Row],[Total Supported Living Hours]]&gt;0</f>
        <v>0</v>
      </c>
      <c r="ME50" s="30" t="b">
        <f>DATA[[#This Row],[Home Support service split percentage (Expenditure):]]&gt;0.5</f>
        <v>0</v>
      </c>
      <c r="MF50" s="30" t="b">
        <f>DATA[[#This Row],[Agency staff HOURLY RATE]]=0</f>
        <v>1</v>
      </c>
      <c r="MG50" s="30" t="str">
        <f>IFERROR(IF(AVERAGE(DATA[[#This Row],[Registered manager: Current 2021/22 Minimum hourly pay rate ADJUSTED]],DATA[[#This Row],[Registered manager: Current 2021/22 Maximum hourly pay rate ADJUSTED]])&lt;LIVING_WAGE_22_23,DATA[[#This Row],[Registered manager: Numbers employed (Full Time Equivalent)]],0),"")</f>
        <v/>
      </c>
      <c r="MH50" s="30" t="str">
        <f>IFERROR(IF(AVERAGE(DATA[[#This Row],[Deputy manager: Current 2021/22 Minimum hourly pay rate ADJUSTED]],DATA[[#This Row],[Deputy manager: Current 2021/22 Maximum hourly pay rate ADJUSTED]])&lt;LIVING_WAGE_22_23,DATA[[#This Row],[Deputy manager: Numbers employed (Full Time Equivalent)]],0),"")</f>
        <v/>
      </c>
      <c r="MI50" s="30" t="str">
        <f>IFERROR(IF(AVERAGE(DATA[[#This Row],[Other manager 1: Current 2021/22 Minimum hourly pay rate ADJUSTED]],DATA[[#This Row],[Other manager 1: Current 2021/22 Maximum hourly pay rate ADJUSTED]])&lt;LIVING_WAGE_22_23,DATA[[#This Row],[Other manager 1: Numbers employed (Full Time Equivalent)]],0),"")</f>
        <v/>
      </c>
      <c r="MJ50" s="30" t="str">
        <f>IFERROR(IF(AVERAGE(DATA[[#This Row],[Other manager 2: Current 2021/22 Minimum hourly pay rate ADJUSTED]],DATA[[#This Row],[Other manager 2: Current 2021/22 Maximum hourly pay rate ADJUSTED]])&lt;LIVING_WAGE_22_23,DATA[[#This Row],[Other manager 2: Numbers employed (Full Time Equivalent)]],0),"")</f>
        <v/>
      </c>
      <c r="MK50" s="30" t="str">
        <f>IFERROR(IF(AVERAGE(DATA[[#This Row],[Other manager 3: Current 2021/22 Minimum hourly pay rate ADJUSTED]],DATA[[#This Row],[Other manager 3: Current 2021/22 Maximum hourly pay rate ADJUSTED]])&lt;LIVING_WAGE_22_23,DATA[[#This Row],[Other manager 3: Numbers employed (Full Time Equivalent)]],0),"")</f>
        <v/>
      </c>
      <c r="ML50" s="30" t="str">
        <f>IFERROR(IF(AVERAGE(DATA[[#This Row],[Care Assistant 1: Current 2021/22 Minimum hourly pay rate ADJUSTED]],DATA[[#This Row],[Care Assistant 1: Current 2021/22 Maximum hourly pay rate ADJUSTED]])&lt;LIVING_WAGE_22_23,DATA[[#This Row],[Care Assistant 1: Numbers employed (Full Time Equivalent)]],0),"")</f>
        <v/>
      </c>
      <c r="MM50" s="30" t="str">
        <f>IFERROR(IF(AVERAGE(DATA[[#This Row],[Care Assistant 2: Current 2021/22 Minimum hourly pay rate ADJUSTED]],DATA[[#This Row],[Care Assistant 2: Current 2021/22 Maximum hourly pay rate ADJUSTED]])&lt;LIVING_WAGE_22_23,DATA[[#This Row],[Care Assistant 2: Numbers employed (Full Time Equivalent)]],0),"")</f>
        <v/>
      </c>
      <c r="MN50" s="30" t="str">
        <f>IFERROR(IF(AVERAGE(DATA[[#This Row],[Care Assistant 3: Current 2021/22 Minimum hourly pay rate ADJUSTED]],DATA[[#This Row],[Care Assistant 3: Current 2021/22 Maximum hourly pay rate ADJUSTED]])&lt;LIVING_WAGE_22_23,DATA[[#This Row],[Care Assistant 3: Numbers employed (Full Time Equivalent)]],0),"")</f>
        <v/>
      </c>
      <c r="MO50" s="30" t="str">
        <f>IFERROR(IF(AVERAGE(DATA[[#This Row],[Care Assistant 4: Current 2021/22 Minimum hourly pay rate ADJUSTED]],DATA[[#This Row],[Care Assistant 4: Current 2021/22 Maximum hourly pay rate ADJUSTED]])&lt;LIVING_WAGE_22_23,DATA[[#This Row],[Care Assistant 4: Numbers employed (Full Time Equivalent)]],0),"")</f>
        <v/>
      </c>
      <c r="MP50"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50"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50" s="30" t="str">
        <f>IFERROR(IF(AVERAGE(DATA[[#This Row],[Other staff 1: Current 2021/22 Minimum hourly pay rate ADJUSTED]],DATA[[#This Row],[Other staff 1: Current 2021/22 Maximum hourly pay rate ADJUSTED]])&lt;LIVING_WAGE_22_23,DATA[[#This Row],[Other staff 1: Numbers employed (Full Time Equivalent)]],0),"")</f>
        <v/>
      </c>
      <c r="MS50" s="30" t="str">
        <f>IFERROR(IF(AVERAGE(DATA[[#This Row],[Other staff 2: Current 2021/22 Minimum hourly pay rate ADJUSTED]],DATA[[#This Row],[Other staff 2: Current 2021/22 Maximum hourly pay rate ADJUSTED]])&lt;LIVING_WAGE_22_23,DATA[[#This Row],[Other staff 2: Numbers employed (Full Time Equivalent)]],0),"")</f>
        <v/>
      </c>
      <c r="MT50" s="30" t="str">
        <f>IFERROR(IF(AVERAGE(DATA[[#This Row],[Other staff 3: Current 2021/22 Minimum hourly pay rate ADJUSTED]],DATA[[#This Row],[Other staff 3: Current 2021/22 Maximum hourly pay rate ADJUSTED]])&lt;LIVING_WAGE_22_23,DATA[[#This Row],[Other staff 3: Numbers employed (Full Time Equivalent)]],0),"")</f>
        <v/>
      </c>
      <c r="MU50" s="30">
        <f>SUM(DATA[[#This Row],[Registered Manager FTE earning less than NLW 23yrs 2022/23]:[Other staff 3 FTE earning less than NLW 23yrs 2022/23]])</f>
        <v>0</v>
      </c>
      <c r="MV50" s="30" t="str">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
      </c>
      <c r="MW50"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50"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50"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50"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50" s="30" t="str">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
      </c>
      <c r="NB50"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50"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50"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0"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50"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50"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50"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50"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0" s="30" t="b">
        <v>0</v>
      </c>
      <c r="NK50" s="30" t="b">
        <v>1</v>
      </c>
      <c r="NL50" s="30" t="s">
        <v>972</v>
      </c>
      <c r="NM50" s="30">
        <f>SUM(DATA[[#This Row],[Management staff HOURLY RATE]:[Training and development HOURLY RATE]])</f>
        <v>0</v>
      </c>
      <c r="NN50" s="30">
        <f>SUM(DATA[[#This Row],[Recruitment &amp; advertising (including DBS checks) HOURLY RATE]:[Non-Staffing Direct Cost: Other  - please specify (amount) 2 HOURLY RATE]])</f>
        <v>0</v>
      </c>
      <c r="NO50" s="30">
        <f>SUM(DATA[[#This Row],[Insurance  HOURLY RATE]:[Indirect costs: Other  - please specify (amount) 2 HOURLY RATE]])</f>
        <v>0</v>
      </c>
      <c r="NP50" s="30">
        <f>SUM(DATA[[#This Row],[Central / Regional Management HOURLY RATE]:[Corporate Overheads: Other  - please specify (amount) 2 HOURLY RATE]])</f>
        <v>0</v>
      </c>
      <c r="NQ50" s="30" t="str">
        <f>IFERROR(IF(AVERAGE(DATA[[#This Row],[Registered manager: Current 2021/22 Minimum hourly pay rate ADJUSTED]],DATA[[#This Row],[Registered manager: Current 2021/22 Maximum hourly pay rate ADJUSTED]])&lt;REAL_LIVING_WAGE_22_23,DATA[[#This Row],[Registered manager: Numbers employed (Full Time Equivalent)]],0),"")</f>
        <v/>
      </c>
      <c r="NR50" s="30" t="str">
        <f>IFERROR(IF(AVERAGE(DATA[[#This Row],[Deputy manager: Current 2021/22 Minimum hourly pay rate ADJUSTED]],DATA[[#This Row],[Deputy manager: Current 2021/22 Maximum hourly pay rate ADJUSTED]])&lt;REAL_LIVING_WAGE_22_23,DATA[[#This Row],[Deputy manager: Numbers employed (Full Time Equivalent)]],0),"")</f>
        <v/>
      </c>
      <c r="NS50" s="30" t="str">
        <f>IFERROR(IF(AVERAGE(DATA[[#This Row],[Other manager 1: Current 2021/22 Minimum hourly pay rate ADJUSTED]],DATA[[#This Row],[Other manager 1: Current 2021/22 Maximum hourly pay rate ADJUSTED]])&lt;REAL_LIVING_WAGE_22_23,DATA[[#This Row],[Other manager 1: Numbers employed (Full Time Equivalent)]],0),"")</f>
        <v/>
      </c>
      <c r="NT50" s="30" t="str">
        <f>IFERROR(IF(AVERAGE(DATA[[#This Row],[Other manager 2: Current 2021/22 Minimum hourly pay rate ADJUSTED]],DATA[[#This Row],[Other manager 2: Current 2021/22 Maximum hourly pay rate ADJUSTED]])&lt;REAL_LIVING_WAGE_22_23,DATA[[#This Row],[Other manager 2: Numbers employed (Full Time Equivalent)]],0),"")</f>
        <v/>
      </c>
      <c r="NU50" s="30" t="str">
        <f>IFERROR(IF(AVERAGE(DATA[[#This Row],[Other manager 3: Current 2021/22 Minimum hourly pay rate ADJUSTED]],DATA[[#This Row],[Other manager 3: Current 2021/22 Maximum hourly pay rate ADJUSTED]])&lt;REAL_LIVING_WAGE_22_23,DATA[[#This Row],[Other manager 3: Numbers employed (Full Time Equivalent)]],0),"")</f>
        <v/>
      </c>
      <c r="NV50" s="30" t="str">
        <f>IFERROR(IF(AVERAGE(DATA[[#This Row],[Care Assistant 1: Current 2021/22 Minimum hourly pay rate ADJUSTED]],DATA[[#This Row],[Care Assistant 1: Current 2021/22 Maximum hourly pay rate ADJUSTED]])&lt;REAL_LIVING_WAGE_22_23,DATA[[#This Row],[Care Assistant 1: Numbers employed (Full Time Equivalent)]],0),"")</f>
        <v/>
      </c>
      <c r="NW50"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50"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50"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0"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50"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50" s="30" t="str">
        <f>IFERROR(IF(AVERAGE(DATA[[#This Row],[Other staff 1: Current 2021/22 Minimum hourly pay rate ADJUSTED]],DATA[[#This Row],[Other staff 1: Current 2021/22 Maximum hourly pay rate ADJUSTED]])&lt;REAL_LIVING_WAGE_22_23,DATA[[#This Row],[Other staff 1: Numbers employed (Full Time Equivalent)]],0),"")</f>
        <v/>
      </c>
      <c r="OC50" s="30" t="str">
        <f>IFERROR(IF(AVERAGE(DATA[[#This Row],[Other staff 2: Current 2021/22 Minimum hourly pay rate ADJUSTED]],DATA[[#This Row],[Other staff 2: Current 2021/22 Maximum hourly pay rate ADJUSTED]])&lt;REAL_LIVING_WAGE_22_23,DATA[[#This Row],[Other staff 2: Numbers employed (Full Time Equivalent)]],0),"")</f>
        <v/>
      </c>
      <c r="OD50" s="30" t="str">
        <f>IFERROR(IF(AVERAGE(DATA[[#This Row],[Other staff 3: Current 2021/22 Minimum hourly pay rate ADJUSTED]],DATA[[#This Row],[Other staff 3: Current 2021/22 Maximum hourly pay rate ADJUSTED]])&lt;REAL_LIVING_WAGE_22_23,DATA[[#This Row],[Other staff 3: Numbers employed (Full Time Equivalent)]],0),"")</f>
        <v/>
      </c>
      <c r="OE50" s="30">
        <f>SUM(DATA[[#This Row],[Registered Manager FTE earning less than RLW 23yrs 2022/23]:[Other staff 3 FTE earning less than RLW 23yrs 2022/23]])</f>
        <v>0</v>
      </c>
      <c r="OF50" s="30" t="str">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
      </c>
      <c r="OG50"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50"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50"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50"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50" s="30" t="str">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
      </c>
      <c r="OL50"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50"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50"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0"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50"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50"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50"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50"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0" s="30" t="str">
        <f>IFERROR(IF(DATA[[#This Row],[Registered manager: Numbers employed (Full Time Equivalent)]]=0,"",DATA[[#This Row],[Registered manager: Current 2021/22 Minimum hourly pay rate ADJUSTED 2]]*DATA[[#This Row],[Registered manager: Numbers employed (Full Time Equivalent)]]),"")</f>
        <v/>
      </c>
      <c r="OU50" s="30" t="str">
        <f>IFERROR(IF(DATA[[#This Row],[Registered manager: Numbers employed (Full Time Equivalent)]]=0,"",DATA[[#This Row],[Registered manager: Current 2021/22 Maximum hourly pay rate ADJUSTED 2]]*DATA[[#This Row],[Registered manager: Numbers employed (Full Time Equivalent)]]),"")</f>
        <v/>
      </c>
      <c r="OV50" s="30" t="str">
        <f>IFERROR(IF(DATA[[#This Row],[Registered manager: Numbers employed (Full Time Equivalent)]]=0,"",DATA[[#This Row],[Registered manager: Previous 2020/21 Minimum hourly pay rate ADJUSTED 2]]*DATA[[#This Row],[Registered manager: Numbers employed (Full Time Equivalent)]]),"")</f>
        <v/>
      </c>
      <c r="OW50" s="30" t="str">
        <f>IFERROR(IF(DATA[[#This Row],[Registered manager: Numbers employed (Full Time Equivalent)]]=0,"",DATA[[#This Row],[Registered manager: Previous 2020/21 Maximum hourly pay rate ADJUSTED 2]]*DATA[[#This Row],[Registered manager: Numbers employed (Full Time Equivalent)]]),"")</f>
        <v/>
      </c>
      <c r="OX50" s="30" t="str">
        <f>IFERROR(IF(DATA[[#This Row],[Deputy manager: Numbers employed (Full Time Equivalent)]]=0,"",DATA[[#This Row],[Deputy manager: Current 2021/22 Minimum hourly pay rate ADJUSTED 2]]*DATA[[#This Row],[Deputy manager: Numbers employed (Full Time Equivalent)]]),"")</f>
        <v/>
      </c>
      <c r="OY50" s="30" t="str">
        <f>IFERROR(IF(DATA[[#This Row],[Deputy manager: Numbers employed (Full Time Equivalent)]]=0,"",DATA[[#This Row],[Deputy manager: Current 2021/22 Maximum hourly pay rate ADJUSTED 2]]*DATA[[#This Row],[Deputy manager: Numbers employed (Full Time Equivalent)]]),"")</f>
        <v/>
      </c>
      <c r="OZ50" s="30" t="str">
        <f>IFERROR(IF(DATA[[#This Row],[Deputy manager: Numbers employed (Full Time Equivalent)]]=0,"",DATA[[#This Row],[Deputy manager: Previous 2020/21 Minimum hourly pay rate ADJUSTED 2]]*DATA[[#This Row],[Deputy manager: Numbers employed (Full Time Equivalent)]]),"")</f>
        <v/>
      </c>
      <c r="PA50" s="30" t="str">
        <f>IFERROR(IF(DATA[[#This Row],[Deputy manager: Numbers employed (Full Time Equivalent)]]=0,"",DATA[[#This Row],[Deputy manager: Previous 2020/21 Maximum hourly pay rate ADJUSTED 2]]*DATA[[#This Row],[Deputy manager: Numbers employed (Full Time Equivalent)]]),"")</f>
        <v/>
      </c>
      <c r="PB50" s="30" t="str">
        <f>IFERROR(IF(DATA[[#This Row],[Other manager 1: Numbers employed (Full Time Equivalent)]]=0,"",DATA[[#This Row],[Other manager 1: Current 2021/22 Minimum hourly pay rate ADJUSTED 2]]*DATA[[#This Row],[Other manager 1: Numbers employed (Full Time Equivalent)]]),"")</f>
        <v/>
      </c>
      <c r="PC50" s="30" t="str">
        <f>IFERROR(IF(DATA[[#This Row],[Other manager 1: Numbers employed (Full Time Equivalent)]]=0,"",DATA[[#This Row],[Other manager 1: Current 2021/22 Maximum hourly pay rate ADJUSTED 2]]*DATA[[#This Row],[Other manager 1: Numbers employed (Full Time Equivalent)]]),"")</f>
        <v/>
      </c>
      <c r="PD50" s="30" t="str">
        <f>IFERROR(IF(DATA[[#This Row],[Other manager 1: Numbers employed (Full Time Equivalent)]]=0,"",DATA[[#This Row],[Other manager 1: Previous 2020/21 Minimum hourly pay rate ADJUSTED 2]]*DATA[[#This Row],[Other manager 1: Numbers employed (Full Time Equivalent)]]),"")</f>
        <v/>
      </c>
      <c r="PE50" s="30" t="str">
        <f>IFERROR(IF(DATA[[#This Row],[Other manager 1: Numbers employed (Full Time Equivalent)]]=0,"",DATA[[#This Row],[Other manager 1: Previous 2020/21 Maximum hourly pay rate ADJUSTED 2]]*DATA[[#This Row],[Other manager 1: Numbers employed (Full Time Equivalent)]]),"")</f>
        <v/>
      </c>
      <c r="PF50" s="30" t="str">
        <f>IFERROR(IF(DATA[[#This Row],[Other manager 2: Numbers employed (Full Time Equivalent)]]=0,"",DATA[[#This Row],[Other manager 2: Current 2021/22 Minimum hourly pay rate ADJUSTED 2]]*DATA[[#This Row],[Other manager 2: Numbers employed (Full Time Equivalent)]]),"")</f>
        <v/>
      </c>
      <c r="PG50" s="30" t="str">
        <f>IFERROR(IF(DATA[[#This Row],[Other manager 2: Numbers employed (Full Time Equivalent)]]=0,"",DATA[[#This Row],[Other manager 2: Current 2021/22 Maximum hourly pay rate ADJUSTED 2]]*DATA[[#This Row],[Other manager 2: Numbers employed (Full Time Equivalent)]]),"")</f>
        <v/>
      </c>
      <c r="PH50" s="30" t="str">
        <f>IFERROR(IF(DATA[[#This Row],[Other manager 2: Numbers employed (Full Time Equivalent)]]=0,"",DATA[[#This Row],[Other manager 2: Previous 2020/21 Minimum hourly pay rate ADJUSTED 2]]*DATA[[#This Row],[Other manager 2: Numbers employed (Full Time Equivalent)]]),"")</f>
        <v/>
      </c>
      <c r="PI50" s="30" t="str">
        <f>IFERROR(IF(DATA[[#This Row],[Other manager 2: Numbers employed (Full Time Equivalent)]]=0,"",DATA[[#This Row],[Other manager 2: Previous 2020/21 Maximum hourly pay rate ADJUSTED 2]]*DATA[[#This Row],[Other manager 2: Numbers employed (Full Time Equivalent)]]),"")</f>
        <v/>
      </c>
      <c r="PJ50" s="30" t="str">
        <f>IFERROR(IF(DATA[[#This Row],[Other manager 3: Numbers employed (Full Time Equivalent)]]=0,"",DATA[[#This Row],[Other manager 3: Current 2021/22 Minimum hourly pay rate ADJUSTED 2]]*DATA[[#This Row],[Other manager 3: Numbers employed (Full Time Equivalent)]]),"")</f>
        <v/>
      </c>
      <c r="PK50" s="30" t="str">
        <f>IFERROR(IF(DATA[[#This Row],[Other manager 3: Numbers employed (Full Time Equivalent)]]=0,"",DATA[[#This Row],[Other manager 3: Current 2021/22 Maximum hourly pay rate ADJUSTED 2]]*DATA[[#This Row],[Other manager 3: Numbers employed (Full Time Equivalent)]]),"")</f>
        <v/>
      </c>
      <c r="PL50" s="30" t="str">
        <f>IFERROR(IF(DATA[[#This Row],[Other manager 3: Numbers employed (Full Time Equivalent)]]=0,"",DATA[[#This Row],[Other manager 3: Previous 2020/21 Minimum hourly pay rate ADJUSTED 2]]*DATA[[#This Row],[Other manager 3: Numbers employed (Full Time Equivalent)]]),"")</f>
        <v/>
      </c>
      <c r="PM50" s="30" t="str">
        <f>IFERROR(IF(DATA[[#This Row],[Other manager 3: Numbers employed (Full Time Equivalent)]]=0,"",DATA[[#This Row],[Other manager 3: Previous 2020/21 Maximum hourly pay rate ADJUSTED 2]]*DATA[[#This Row],[Other manager 3: Numbers employed (Full Time Equivalent)]]),"")</f>
        <v/>
      </c>
      <c r="PN50" s="30" t="str">
        <f>IFERROR(IF(DATA[[#This Row],[Care Assistant 1: Numbers employed (Full Time Equivalent)]]=0,"",DATA[[#This Row],[Care Assistant 1: Current 2021/22 Minimum hourly pay rate ADJUSTED 2]]*DATA[[#This Row],[Care Assistant 1: Numbers employed (Full Time Equivalent)]]),"")</f>
        <v/>
      </c>
      <c r="PO50" s="30" t="str">
        <f>IFERROR(IF(DATA[[#This Row],[Care Assistant 1: Numbers employed (Full Time Equivalent)]]=0,"",DATA[[#This Row],[Care Assistant 1: Current 2021/22 Maximum hourly pay rate ADJUSTED 2]]*DATA[[#This Row],[Care Assistant 1: Numbers employed (Full Time Equivalent)]]),"")</f>
        <v/>
      </c>
      <c r="PP50" s="30" t="str">
        <f>IFERROR(IF(DATA[[#This Row],[Care Assistant 1: Numbers employed (Full Time Equivalent)]]=0,"",DATA[[#This Row],[Care Assistant 1: Previous 2020/21 Minimum hourly pay rate ADJUSTED 2]]*DATA[[#This Row],[Care Assistant 1: Numbers employed (Full Time Equivalent)]]),"")</f>
        <v/>
      </c>
      <c r="PQ50" s="30" t="str">
        <f>IFERROR(IF(DATA[[#This Row],[Care Assistant 1: Numbers employed (Full Time Equivalent)]]=0,"",DATA[[#This Row],[Care Assistant 1: Previous 2020/21 Maximum hourly pay rate ADJUSTED 2]]*DATA[[#This Row],[Care Assistant 1: Numbers employed (Full Time Equivalent)]]),"")</f>
        <v/>
      </c>
      <c r="PR50" s="30" t="str">
        <f>IFERROR(IF(DATA[[#This Row],[Care Assistant 2: Numbers employed (Full Time Equivalent)]]=0,"",DATA[[#This Row],[Care Assistant 2: Current 2021/22 Minimum hourly pay rate ADJUSTED 2]]*DATA[[#This Row],[Care Assistant 2: Numbers employed (Full Time Equivalent)]]),"")</f>
        <v/>
      </c>
      <c r="PS50" s="30" t="str">
        <f>IFERROR(IF(DATA[[#This Row],[Care Assistant 2: Numbers employed (Full Time Equivalent)]]=0,"",DATA[[#This Row],[Care Assistant 2: Current 2021/22 Maximum hourly pay rate ADJUSTED 2]]*DATA[[#This Row],[Care Assistant 2: Numbers employed (Full Time Equivalent)]]),"")</f>
        <v/>
      </c>
      <c r="PT50" s="30" t="str">
        <f>IFERROR(IF(DATA[[#This Row],[Care Assistant 2: Numbers employed (Full Time Equivalent)]]=0,"",DATA[[#This Row],[Care Assistant 2: Previous 2020/21 Minimum hourly pay rate ADJUSTED 2]]*DATA[[#This Row],[Care Assistant 2: Numbers employed (Full Time Equivalent)]]),"")</f>
        <v/>
      </c>
      <c r="PU50" s="30" t="str">
        <f>IFERROR(IF(DATA[[#This Row],[Care Assistant 2: Numbers employed (Full Time Equivalent)]]=0,"",DATA[[#This Row],[Care Assistant 2: Previous 2020/21 Maximum hourly pay rate ADJUSTED 2]]*DATA[[#This Row],[Care Assistant 2: Numbers employed (Full Time Equivalent)]]),"")</f>
        <v/>
      </c>
      <c r="PV50" s="30" t="str">
        <f>IFERROR(IF(DATA[[#This Row],[Care Assistant 3: Numbers employed (Full Time Equivalent)]]=0,"",DATA[[#This Row],[Care Assistant 3: Current 2021/22 Minimum hourly pay rate ADJUSTED 2]]*DATA[[#This Row],[Care Assistant 3: Numbers employed (Full Time Equivalent)]]),"")</f>
        <v/>
      </c>
      <c r="PW50" s="30" t="str">
        <f>IFERROR(IF(DATA[[#This Row],[Care Assistant 3: Numbers employed (Full Time Equivalent)]]=0,"",DATA[[#This Row],[Care Assistant 3: Current 2021/22 Maximum hourly pay rate ADJUSTED 2]]*DATA[[#This Row],[Care Assistant 3: Numbers employed (Full Time Equivalent)]]),"")</f>
        <v/>
      </c>
      <c r="PX50" s="30" t="str">
        <f>IFERROR(IF(DATA[[#This Row],[Care Assistant 3: Numbers employed (Full Time Equivalent)]]=0,"",DATA[[#This Row],[Care Assistant 3: Previous 2020/21 Minimum hourly pay rate ADJUSTED 2]]*DATA[[#This Row],[Care Assistant 3: Numbers employed (Full Time Equivalent)]]),"")</f>
        <v/>
      </c>
      <c r="PY50" s="30" t="str">
        <f>IFERROR(IF(DATA[[#This Row],[Care Assistant 3: Numbers employed (Full Time Equivalent)]]=0,"",DATA[[#This Row],[Care Assistant 3: Previous 2020/21 Maximum hourly pay rate ADJUSTED 2]]*DATA[[#This Row],[Care Assistant 3: Numbers employed (Full Time Equivalent)]]),"")</f>
        <v/>
      </c>
      <c r="PZ50" s="30" t="str">
        <f>IFERROR(IF(DATA[[#This Row],[Care Assistant 4: Numbers employed (Full Time Equivalent)]]=0,"",DATA[[#This Row],[Care Assistant 4: Current 2021/22 Minimum hourly pay rate ADJUSTED 2]]*DATA[[#This Row],[Care Assistant 4: Numbers employed (Full Time Equivalent)]]),"")</f>
        <v/>
      </c>
      <c r="QA50" s="30" t="str">
        <f>IFERROR(IF(DATA[[#This Row],[Care Assistant 4: Numbers employed (Full Time Equivalent)]]=0,"",DATA[[#This Row],[Care Assistant 4: Current 2021/22 Maximum hourly pay rate ADJUSTED 2]]*DATA[[#This Row],[Care Assistant 4: Numbers employed (Full Time Equivalent)]]),"")</f>
        <v/>
      </c>
      <c r="QB50" s="30" t="str">
        <f>IFERROR(IF(DATA[[#This Row],[Care Assistant 4: Numbers employed (Full Time Equivalent)]]=0,"",DATA[[#This Row],[Care Assistant 4: Previous 2020/21 Minimum hourly pay rate ADJUSTED 2]]*DATA[[#This Row],[Care Assistant 4: Numbers employed (Full Time Equivalent)]]),"")</f>
        <v/>
      </c>
      <c r="QC50" s="30" t="str">
        <f>IFERROR(IF(DATA[[#This Row],[Care Assistant 4: Numbers employed (Full Time Equivalent)]]=0,"",DATA[[#This Row],[Care Assistant 4: Previous 2020/21 Maximum hourly pay rate ADJUSTED 2]]*DATA[[#This Row],[Care Assistant 4: Numbers employed (Full Time Equivalent)]]),"")</f>
        <v/>
      </c>
      <c r="QD50" s="30" t="str">
        <f>IFERROR(IF(DATA[[#This Row],[Administrative Officer 1: Numbers employed (Full Time Equivalent)]]=0,"",DATA[[#This Row],[Administrative Officer 1: Current 2021/22 Minimum hourly pay rate ADJUSTED 2]]*DATA[[#This Row],[Administrative Officer 1: Numbers employed (Full Time Equivalent)]]),"")</f>
        <v/>
      </c>
      <c r="QE50" s="30" t="str">
        <f>IFERROR(IF(DATA[[#This Row],[Administrative Officer 1: Numbers employed (Full Time Equivalent)]]=0,"",DATA[[#This Row],[Administrative Officer 1: Current 2021/22 Maximum hourly pay rate ADJUSTED 2]]*DATA[[#This Row],[Administrative Officer 1: Numbers employed (Full Time Equivalent)]]),"")</f>
        <v/>
      </c>
      <c r="QF50" s="30" t="str">
        <f>IFERROR(IF(DATA[[#This Row],[Administrative Officer 1: Numbers employed (Full Time Equivalent)]]=0,"",DATA[[#This Row],[Administrative Officer 1: Previous 2020/21 Minimum hourly pay rate ADJUSTED 2]]*DATA[[#This Row],[Administrative Officer 1: Numbers employed (Full Time Equivalent)]]),"")</f>
        <v/>
      </c>
      <c r="QG50" s="30" t="str">
        <f>IFERROR(IF(DATA[[#This Row],[Administrative Officer 1: Numbers employed (Full Time Equivalent)]]=0,"",DATA[[#This Row],[Administrative Officer 1: Previous 2020/21 Maximum hourly pay rate ADJUSTED 2]]*DATA[[#This Row],[Administrative Officer 1: Numbers employed (Full Time Equivalent)]]),"")</f>
        <v/>
      </c>
      <c r="QH50" s="30" t="str">
        <f>IFERROR(IF(DATA[[#This Row],[Administrative Officer 2: Numbers employed (Full Time Equivalent)]]=0,"",DATA[[#This Row],[Administrative Officer 2: Current 2021/22 Minimum hourly pay rate ADJUSTED 2]]*DATA[[#This Row],[Administrative Officer 2: Numbers employed (Full Time Equivalent)]]),"")</f>
        <v/>
      </c>
      <c r="QI50" s="30" t="str">
        <f>IFERROR(IF(DATA[[#This Row],[Administrative Officer 2: Numbers employed (Full Time Equivalent)]]=0,"",DATA[[#This Row],[Administrative Officer 2: Current 2021/22 Maximum hourly pay rate ADJUSTED 2]]*DATA[[#This Row],[Administrative Officer 2: Numbers employed (Full Time Equivalent)]]),"")</f>
        <v/>
      </c>
      <c r="QJ50" s="30" t="str">
        <f>IFERROR(IF(DATA[[#This Row],[Administrative Officer 2: Numbers employed (Full Time Equivalent)]]=0,"",DATA[[#This Row],[Administrative Officer 2: Previous 2020/21 Minimum hourly pay rate ADJUSTED 2]]*DATA[[#This Row],[Administrative Officer 2: Numbers employed (Full Time Equivalent)]]),"")</f>
        <v/>
      </c>
      <c r="QK50" s="30" t="str">
        <f>IFERROR(IF(DATA[[#This Row],[Administrative Officer 2: Numbers employed (Full Time Equivalent)]]=0,"",DATA[[#This Row],[Administrative Officer 2: Previous 2020/21 Maximum hourly pay rate ADJUSTED 2]]*DATA[[#This Row],[Administrative Officer 2: Numbers employed (Full Time Equivalent)]]),"")</f>
        <v/>
      </c>
      <c r="QL50" s="30" t="str">
        <f>IFERROR(IF(DATA[[#This Row],[Administrative Officer 3: Numbers employed (Full Time Equivalent)]]=0,"",DATA[[#This Row],[Administrative Officer 3: Current 2021/22 Minimum hourly pay rate ADJUSTED 2]]*DATA[[#This Row],[Administrative Officer 3: Numbers employed (Full Time Equivalent)]]),"")</f>
        <v/>
      </c>
      <c r="QM50" s="30" t="str">
        <f>IFERROR(IF(DATA[[#This Row],[Administrative Officer 3: Numbers employed (Full Time Equivalent)]]=0,"",DATA[[#This Row],[Administrative Officer 3: Current 2021/22 Maximum hourly pay rate ADJUSTED 2]]*DATA[[#This Row],[Administrative Officer 3: Numbers employed (Full Time Equivalent)]]),"")</f>
        <v/>
      </c>
      <c r="QN50" s="30" t="str">
        <f>IFERROR(IF(DATA[[#This Row],[Administrative Officer 3: Numbers employed (Full Time Equivalent)]]=0,"",DATA[[#This Row],[Administrative Officer 3: Previous 2020/21 Minimum hourly pay rate ADJUSTED 2]]*DATA[[#This Row],[Administrative Officer 3: Numbers employed (Full Time Equivalent)]]),"")</f>
        <v/>
      </c>
      <c r="QO50" s="30" t="str">
        <f>IFERROR(IF(DATA[[#This Row],[Administrative Officer 3: Numbers employed (Full Time Equivalent)]]=0,"",DATA[[#This Row],[Administrative Officer 3: Previous 2020/21 Maximum hourly pay rate ADJUSTED 2]]*DATA[[#This Row],[Administrative Officer 3: Numbers employed (Full Time Equivalent)]]),"")</f>
        <v/>
      </c>
      <c r="QP50" s="28" t="str">
        <f>IFERROR(IF(DATA[[#This Row],[Other staff 1: Numbers employed (Full Time Equivalent)]]=0,"",DATA[[#This Row],[Other staff 1: Current 2021/22 Minimum hourly pay rate ADJUSTED 2]]*DATA[[#This Row],[Other staff 1: Numbers employed (Full Time Equivalent)]]),"")</f>
        <v/>
      </c>
      <c r="QQ50" s="28" t="str">
        <f>IFERROR(IF(DATA[[#This Row],[Other staff 1: Numbers employed (Full Time Equivalent)]]=0,"",DATA[[#This Row],[Other staff 1: Current 2021/22 Maximum hourly pay rate ADJUSTED 2]]*DATA[[#This Row],[Other staff 1: Numbers employed (Full Time Equivalent)]]),"")</f>
        <v/>
      </c>
      <c r="QR50" s="28" t="str">
        <f>IFERROR(IF(DATA[[#This Row],[Other staff 1: Numbers employed (Full Time Equivalent)]]=0,"",DATA[[#This Row],[Other staff 1: Previous 2020/21 Minimum hourly pay rate ADJUSTED 2]]*DATA[[#This Row],[Other staff 1: Numbers employed (Full Time Equivalent)]]),"")</f>
        <v/>
      </c>
      <c r="QS50" s="28" t="str">
        <f>IFERROR(IF(DATA[[#This Row],[Other staff 1: Numbers employed (Full Time Equivalent)]]=0,"",DATA[[#This Row],[Other staff 1: Previous 2020/21 Maximum hourly pay rate ADJUSTED 2]]*DATA[[#This Row],[Other staff 1: Numbers employed (Full Time Equivalent)]]),"")</f>
        <v/>
      </c>
      <c r="QT50" s="28" t="str">
        <f>IFERROR(IF(DATA[[#This Row],[Other staff 2: Numbers employed (Full Time Equivalent)]]=0,"",DATA[[#This Row],[Other staff 2: Current 2021/22 Minimum hourly pay rate ADJUSTED 2]]*DATA[[#This Row],[Other staff 2: Numbers employed (Full Time Equivalent)]]),"")</f>
        <v/>
      </c>
      <c r="QU50" s="28" t="str">
        <f>IFERROR(IF(DATA[[#This Row],[Other staff 2: Numbers employed (Full Time Equivalent)]]=0,"",DATA[[#This Row],[Other staff 2: Current 2021/22 Maximum hourly pay rate ADJUSTED 2]]*DATA[[#This Row],[Other staff 2: Numbers employed (Full Time Equivalent)]]),"")</f>
        <v/>
      </c>
      <c r="QV50" s="28" t="str">
        <f>IFERROR(IF(DATA[[#This Row],[Other staff 2: Numbers employed (Full Time Equivalent)]]=0,"",DATA[[#This Row],[Other staff 2: Previous 2020/21 Minimum hourly pay rate ADJUSTED 2]]*DATA[[#This Row],[Other staff 2: Numbers employed (Full Time Equivalent)]]),"")</f>
        <v/>
      </c>
      <c r="QW50" s="28" t="str">
        <f>IFERROR(IF(DATA[[#This Row],[Other staff 2: Numbers employed (Full Time Equivalent)]]=0,"",DATA[[#This Row],[Other staff 2: Previous 2020/21 Maximum hourly pay rate ADJUSTED 2]]*DATA[[#This Row],[Other staff 2: Numbers employed (Full Time Equivalent)]]),"")</f>
        <v/>
      </c>
      <c r="QX50" s="28" t="str">
        <f>IFERROR(IF(DATA[[#This Row],[Other staff 3: Numbers employed (Full Time Equivalent)]]=0,"",DATA[[#This Row],[Other staff 3: Current 2021/22 Minimum hourly pay rate ADJUSTED 2]]*DATA[[#This Row],[Other staff 3: Numbers employed (Full Time Equivalent)]]),"")</f>
        <v/>
      </c>
      <c r="QY50" s="28" t="str">
        <f>IFERROR(IF(DATA[[#This Row],[Other staff 3: Numbers employed (Full Time Equivalent)]]=0,"",DATA[[#This Row],[Other staff 3: Current 2021/22 Maximum hourly pay rate ADJUSTED 2]]*DATA[[#This Row],[Other staff 3: Numbers employed (Full Time Equivalent)]]),"")</f>
        <v/>
      </c>
      <c r="QZ50" s="28" t="str">
        <f>IFERROR(IF(DATA[[#This Row],[Other staff 3: Numbers employed (Full Time Equivalent)]]=0,"",DATA[[#This Row],[Other staff 3: Previous 2020/21 Minimum hourly pay rate ADJUSTED 2]]*DATA[[#This Row],[Other staff 3: Numbers employed (Full Time Equivalent)]]),"")</f>
        <v/>
      </c>
      <c r="RA50" s="28" t="str">
        <f>IFERROR(IF(DATA[[#This Row],[Other staff 3: Numbers employed (Full Time Equivalent)]]=0,"",DATA[[#This Row],[Other staff 3: Previous 2020/21 Maximum hourly pay rate ADJUSTED 2]]*DATA[[#This Row],[Other staff 3: Numbers employed (Full Time Equivalent)]]),"")</f>
        <v/>
      </c>
      <c r="RB50"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50"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50"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50"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50"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50"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0</v>
      </c>
      <c r="RH50"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50"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50"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0"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50"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50"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50"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50"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50"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1" spans="7:484" x14ac:dyDescent="0.25">
      <c r="G51" s="2">
        <v>45</v>
      </c>
      <c r="H51" s="2">
        <v>88</v>
      </c>
      <c r="I51" s="2">
        <v>0</v>
      </c>
      <c r="J51" s="2">
        <v>1</v>
      </c>
      <c r="K51" s="2">
        <v>0</v>
      </c>
      <c r="L51" s="2" t="s">
        <v>328</v>
      </c>
      <c r="M51" s="2" t="s">
        <v>328</v>
      </c>
      <c r="R51" s="2">
        <v>15.38</v>
      </c>
      <c r="S51" s="2">
        <v>15.38</v>
      </c>
      <c r="T51" s="2">
        <v>15.38</v>
      </c>
      <c r="U51" s="2">
        <v>15.38</v>
      </c>
      <c r="V51" s="2">
        <v>1</v>
      </c>
      <c r="W51" s="2">
        <v>0</v>
      </c>
      <c r="X51" s="2">
        <v>0</v>
      </c>
      <c r="Y51" s="2">
        <v>0</v>
      </c>
      <c r="Z51" s="2">
        <v>0</v>
      </c>
      <c r="AA51" s="2">
        <v>0</v>
      </c>
      <c r="AB51" s="2" t="s">
        <v>510</v>
      </c>
      <c r="AC51" s="2">
        <v>10.25</v>
      </c>
      <c r="AD51" s="2">
        <v>10.25</v>
      </c>
      <c r="AE51" s="2">
        <v>9.23</v>
      </c>
      <c r="AF51" s="2">
        <v>9.23</v>
      </c>
      <c r="AG51" s="2">
        <v>1</v>
      </c>
      <c r="AH51" s="2" t="s">
        <v>511</v>
      </c>
      <c r="AI51" s="2">
        <v>10</v>
      </c>
      <c r="AJ51" s="2">
        <v>10</v>
      </c>
      <c r="AK51" s="2">
        <v>10</v>
      </c>
      <c r="AL51" s="2">
        <v>10</v>
      </c>
      <c r="AM51" s="2">
        <v>1</v>
      </c>
      <c r="AN51" s="2" t="s">
        <v>315</v>
      </c>
      <c r="AO51" s="2">
        <v>0</v>
      </c>
      <c r="AP51" s="2">
        <v>0</v>
      </c>
      <c r="AQ51" s="2">
        <v>0</v>
      </c>
      <c r="AR51" s="2">
        <v>0</v>
      </c>
      <c r="AS51" s="2">
        <v>0</v>
      </c>
      <c r="AT51" s="2" t="s">
        <v>316</v>
      </c>
      <c r="AU51" s="2">
        <v>9</v>
      </c>
      <c r="AV51" s="2">
        <v>9.1999999999999993</v>
      </c>
      <c r="AW51" s="2">
        <v>8.8000000000000007</v>
      </c>
      <c r="AX51" s="2">
        <v>9</v>
      </c>
      <c r="AY51" s="2">
        <v>43</v>
      </c>
      <c r="AZ51" s="2" t="s">
        <v>316</v>
      </c>
      <c r="BA51" s="2">
        <v>0</v>
      </c>
      <c r="BB51" s="2">
        <v>0</v>
      </c>
      <c r="BC51" s="2">
        <v>0</v>
      </c>
      <c r="BD51" s="2">
        <v>0</v>
      </c>
      <c r="BE51" s="2">
        <v>0</v>
      </c>
      <c r="BF51" s="2" t="s">
        <v>316</v>
      </c>
      <c r="BG51" s="2">
        <v>0</v>
      </c>
      <c r="BH51" s="2">
        <v>0</v>
      </c>
      <c r="BI51" s="2">
        <v>0</v>
      </c>
      <c r="BJ51" s="2">
        <v>0</v>
      </c>
      <c r="BK51" s="2">
        <v>0</v>
      </c>
      <c r="BL51" s="2" t="s">
        <v>316</v>
      </c>
      <c r="BM51" s="2">
        <v>0</v>
      </c>
      <c r="BN51" s="2">
        <v>0</v>
      </c>
      <c r="BO51" s="2">
        <v>0</v>
      </c>
      <c r="BP51" s="2">
        <v>0</v>
      </c>
      <c r="BQ51" s="2">
        <v>0</v>
      </c>
      <c r="BR51" s="2" t="s">
        <v>317</v>
      </c>
      <c r="BS51" s="2">
        <v>0</v>
      </c>
      <c r="BT51" s="2">
        <v>0</v>
      </c>
      <c r="BU51" s="2">
        <v>0</v>
      </c>
      <c r="BV51" s="2">
        <v>0</v>
      </c>
      <c r="BW51" s="2">
        <v>0</v>
      </c>
      <c r="BX51" s="2" t="s">
        <v>317</v>
      </c>
      <c r="BY51" s="2">
        <v>0</v>
      </c>
      <c r="BZ51" s="2">
        <v>0</v>
      </c>
      <c r="CA51" s="2">
        <v>0</v>
      </c>
      <c r="CB51" s="2">
        <v>0</v>
      </c>
      <c r="CC51" s="2">
        <v>0</v>
      </c>
      <c r="CD51" s="2" t="s">
        <v>317</v>
      </c>
      <c r="CE51" s="2">
        <v>0</v>
      </c>
      <c r="CF51" s="2">
        <v>0</v>
      </c>
      <c r="CG51" s="2">
        <v>0</v>
      </c>
      <c r="CH51" s="2">
        <v>0</v>
      </c>
      <c r="CI51" s="2">
        <v>0</v>
      </c>
      <c r="CJ51" s="2" t="s">
        <v>318</v>
      </c>
      <c r="CK51" s="2">
        <v>0</v>
      </c>
      <c r="CL51" s="2">
        <v>0</v>
      </c>
      <c r="CM51" s="2">
        <v>0</v>
      </c>
      <c r="CN51" s="2">
        <v>0</v>
      </c>
      <c r="CO51" s="2">
        <v>0</v>
      </c>
      <c r="CP51" s="2" t="s">
        <v>318</v>
      </c>
      <c r="CQ51" s="2">
        <v>0</v>
      </c>
      <c r="CR51" s="2">
        <v>0</v>
      </c>
      <c r="CS51" s="2">
        <v>0</v>
      </c>
      <c r="CT51" s="2">
        <v>0</v>
      </c>
      <c r="CU51" s="2">
        <v>0</v>
      </c>
      <c r="CV51" s="2" t="s">
        <v>318</v>
      </c>
      <c r="CW51" s="2">
        <v>0</v>
      </c>
      <c r="CX51" s="2">
        <v>0</v>
      </c>
      <c r="CY51" s="2">
        <v>0</v>
      </c>
      <c r="CZ51" s="2">
        <v>0</v>
      </c>
      <c r="DA51" s="2">
        <v>0</v>
      </c>
      <c r="DB51" s="2">
        <v>0.03</v>
      </c>
      <c r="DC51" s="2">
        <v>81</v>
      </c>
      <c r="DD51" s="2">
        <v>3</v>
      </c>
      <c r="DE51" s="2">
        <v>0</v>
      </c>
      <c r="DF51" s="2">
        <v>1</v>
      </c>
      <c r="DG51" s="2">
        <v>0</v>
      </c>
      <c r="DH51" s="2">
        <v>3</v>
      </c>
      <c r="DI51" s="2">
        <v>0</v>
      </c>
      <c r="DJ51" s="2">
        <v>0</v>
      </c>
      <c r="DK51" s="2">
        <v>0</v>
      </c>
      <c r="DL51" s="2">
        <v>0</v>
      </c>
      <c r="DM51" s="2">
        <v>0</v>
      </c>
      <c r="DN51" s="2">
        <v>0</v>
      </c>
      <c r="DO51" s="2">
        <v>18.5</v>
      </c>
      <c r="DP51" s="2">
        <v>19</v>
      </c>
      <c r="DQ51" s="2">
        <v>18.8</v>
      </c>
      <c r="DR51" s="18">
        <v>44105</v>
      </c>
      <c r="DS51" s="18">
        <v>44469</v>
      </c>
      <c r="DT51" s="2">
        <v>42515</v>
      </c>
      <c r="DU51" s="2">
        <v>35105</v>
      </c>
      <c r="DV51" s="2">
        <v>469366</v>
      </c>
      <c r="DW51" s="2"/>
      <c r="DX51" s="2">
        <v>21420</v>
      </c>
      <c r="DY51" s="2">
        <v>0</v>
      </c>
      <c r="DZ51" s="2">
        <v>850</v>
      </c>
      <c r="EA51" s="2">
        <v>0</v>
      </c>
      <c r="EB51" s="2">
        <v>9948</v>
      </c>
      <c r="EC51" s="2">
        <v>2557</v>
      </c>
      <c r="ED51" s="2">
        <v>1720</v>
      </c>
      <c r="EE51" s="2">
        <v>2534</v>
      </c>
      <c r="EF51" s="2">
        <v>0</v>
      </c>
      <c r="EG51" s="2">
        <v>11414</v>
      </c>
      <c r="EH51" s="2" t="s">
        <v>324</v>
      </c>
      <c r="EI51" s="2">
        <v>0</v>
      </c>
      <c r="EJ51" s="2" t="s">
        <v>324</v>
      </c>
      <c r="EK51" s="2">
        <v>0</v>
      </c>
      <c r="EL51" s="2">
        <v>3673</v>
      </c>
      <c r="EM51" s="2">
        <v>2655</v>
      </c>
      <c r="EN51" s="2">
        <v>1445</v>
      </c>
      <c r="EO51" s="2">
        <v>22119</v>
      </c>
      <c r="EP51" s="2">
        <v>3391</v>
      </c>
      <c r="EQ51" s="2">
        <v>393</v>
      </c>
      <c r="ER51" s="2">
        <v>11281</v>
      </c>
      <c r="ES51" s="2">
        <v>0</v>
      </c>
      <c r="ET51" s="2" t="s">
        <v>512</v>
      </c>
      <c r="EU51" s="2">
        <v>3700</v>
      </c>
      <c r="EV51" s="2" t="s">
        <v>513</v>
      </c>
      <c r="EW51" s="2">
        <v>2122</v>
      </c>
      <c r="EX51" s="2">
        <v>33650</v>
      </c>
      <c r="EY51" s="2">
        <v>10800</v>
      </c>
      <c r="EZ51" s="2" t="s">
        <v>326</v>
      </c>
      <c r="FA51" s="2">
        <v>0</v>
      </c>
      <c r="FB51" s="2" t="s">
        <v>326</v>
      </c>
      <c r="FC51" s="2">
        <v>0</v>
      </c>
      <c r="FD51" s="2">
        <v>5597</v>
      </c>
      <c r="FE51" s="2">
        <v>0</v>
      </c>
      <c r="FF51" s="2">
        <v>0</v>
      </c>
      <c r="FG51" s="2"/>
      <c r="FH51" s="19">
        <v>44480.626782407409</v>
      </c>
      <c r="FI51" s="2" t="s">
        <v>345</v>
      </c>
      <c r="FJ51" s="2">
        <f>SUM(DATA[[#This Row],[Number of Home support clients:]],DATA[[#This Row],[Number of supported living clients:]])</f>
        <v>88</v>
      </c>
      <c r="FK51"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81-90</v>
      </c>
      <c r="FL51"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15.38</v>
      </c>
      <c r="FM51"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15.38</v>
      </c>
      <c r="FN51"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15.38</v>
      </c>
      <c r="FO51"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15.38</v>
      </c>
      <c r="FP51"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51"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51"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51"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51"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10.25</v>
      </c>
      <c r="FU51"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10.25</v>
      </c>
      <c r="FV51"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9.23</v>
      </c>
      <c r="FW51"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9.23</v>
      </c>
      <c r="FX51"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v>
      </c>
      <c r="FY51"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10</v>
      </c>
      <c r="FZ51"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10</v>
      </c>
      <c r="GA51"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10</v>
      </c>
      <c r="GB51"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51"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51"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51"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51"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v>
      </c>
      <c r="GG51"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9.1999999999999993</v>
      </c>
      <c r="GH51"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8.8000000000000007</v>
      </c>
      <c r="GI51"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v>
      </c>
      <c r="GJ51"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51"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51"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51"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51"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51"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51"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51"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51"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1"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1"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1"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1"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51"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51"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51"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51"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51"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51"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51"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51"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51"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51"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51"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51"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51"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51"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51"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51"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51"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51"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51"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51"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1"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1"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1"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1"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15.38</v>
      </c>
      <c r="HU51"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15.38</v>
      </c>
      <c r="HV51"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15.38</v>
      </c>
      <c r="HW51"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15.38</v>
      </c>
      <c r="HX51"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51"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51"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51"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51"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10.25</v>
      </c>
      <c r="IC51"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10.25</v>
      </c>
      <c r="ID51"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9.23</v>
      </c>
      <c r="IE51"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9.23</v>
      </c>
      <c r="IF51"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v>
      </c>
      <c r="IG51"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10</v>
      </c>
      <c r="IH51"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10</v>
      </c>
      <c r="II51"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10</v>
      </c>
      <c r="IJ51"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51"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51"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51"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51"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v>
      </c>
      <c r="IO51"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9.1999999999999993</v>
      </c>
      <c r="IP51"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8.8000000000000007</v>
      </c>
      <c r="IQ51"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v>
      </c>
      <c r="IR51"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51"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51"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51"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51"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51"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51"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51"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51"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1"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1"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1"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1"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51"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51"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51"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51"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51"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51"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51"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51"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51"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51"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51"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51"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51"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51"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51"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51"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51"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51"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51"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51"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1"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1"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1"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1"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51" s="21">
        <f>SUM(DATA[[#This Row],[Care Assistant 1: Numbers employed (Full Time Equivalent)]],DATA[[#This Row],[Care Assistant 2: Numbers employed (Full Time Equivalent)]],DATA[[#This Row],[Care Assistant 3: Numbers employed (Full Time Equivalent)]],DATA[[#This Row],[Care Assistant 4: Numbers employed (Full Time Equivalent)]])</f>
        <v>43</v>
      </c>
      <c r="KD51" s="21">
        <f>SUM(DATA[[#This Row],[Administrative Officer 1: Numbers employed (Full Time Equivalent)]],DATA[[#This Row],[Administrative Officer 2: Numbers employed (Full Time Equivalent)]])</f>
        <v>0</v>
      </c>
      <c r="KE51" s="21">
        <f>SUM(DATA[[#This Row],[Other staff 1: Numbers employed (Full Time Equivalent)]],DATA[[#This Row],[Other staff 2: Numbers employed (Full Time Equivalent)]],DATA[[#This Row],[Other staff 3: Numbers employed (Full Time Equivalent)]])</f>
        <v>0</v>
      </c>
      <c r="KF51" s="21">
        <f>SUM(DATA[[#This Row],[Total FTE Management Employees]:[Total FTE Other Employees]])</f>
        <v>46</v>
      </c>
      <c r="KG51" s="21" t="str">
        <f>IF(SUM(DATA[[#This Row],[Home Support service split percentage (Expenditure):]],DATA[[#This Row],[Supported Living service split percentage (Expenditure):]])&gt;0, IF(DATA[[#This Row],[Home Support service split percentage (Expenditure):]]&gt;0.5,"Home Support","Supported Living"), "Unknown")</f>
        <v>Home Support</v>
      </c>
      <c r="KH51" s="21">
        <f>SUM(DATA[[#This Row],[Home Support: Birmingham City Council]:[Home Support: Self-funded]])</f>
        <v>88</v>
      </c>
      <c r="KI51" s="21">
        <f>SUM(DATA[[#This Row],[Supported Living: Birmingham City Council]:[Supported Living: Self-funded]])</f>
        <v>0</v>
      </c>
      <c r="KJ51"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51"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51"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51"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51" s="21" t="b">
        <f>SUM(DATA[[#This Row],[Number of hours of care charged for in last full accounting year]:[Corporate Overheads: Other  - please specify (category) 1]])&gt;0</f>
        <v>1</v>
      </c>
      <c r="KO51" s="21">
        <f>SUM(DATA[[#This Row],[Total annual expenditure: Management staff]:[Total annual expenditure: Training and development]])</f>
        <v>536689</v>
      </c>
      <c r="KP51" s="21">
        <f>SUM(DATA[[#This Row],[Recruitment &amp; advertising (including DBS checks)]:[Non-Staffing Direct Cost: Other  - please specify (amount) 2]])</f>
        <v>18225</v>
      </c>
      <c r="KQ51" s="21">
        <f>SUM(DATA[[#This Row],[Insurance ]:[Indirect costs: Other 2 - please specify (amount)]])</f>
        <v>50779</v>
      </c>
      <c r="KR51" s="21">
        <f>SUM(DATA[[#This Row],[Central / Regional Management]],DATA[[#This Row],[Support Services (finance / HR / Payroll / legal etc.)]],DATA[[#This Row],[Corporate Overheads: Other  - please specify (amount) 1]],DATA[[#This Row],[Corporate Overheads: Other  - please specify (amount) 2]])</f>
        <v>44450</v>
      </c>
      <c r="KS51"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0.82570857344466664</v>
      </c>
      <c r="KT51"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11.040009408444078</v>
      </c>
      <c r="KU51"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51" s="30">
        <f>IF(OR(NOT(DATA[[#This Row],[Total annual expenditure: Other staff]]&gt;0),NOT(DATA[[#This Row],[Number of hours of care charged for in last full accounting year]]&gt;0)),0,DATA[[#This Row],[Total annual expenditure: Other staff]]/DATA[[#This Row],[Number of hours of care charged for in last full accounting year]])</f>
        <v>0.50382218040691518</v>
      </c>
      <c r="KW51"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51" s="30">
        <f>IF(OR(NOT(DATA[[#This Row],[Total annual expenditure: Travel Cost]]&gt;0),NOT(DATA[[#This Row],[Number of hours of care charged for in last full accounting year]]&gt;0)),0,DATA[[#This Row],[Total annual expenditure: Travel Cost]]/DATA[[#This Row],[Number of hours of care charged for in last full accounting year]])</f>
        <v>1.9992943666941078E-2</v>
      </c>
      <c r="KY51"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51"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0.23398800423379984</v>
      </c>
      <c r="LA51"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6.0143478772198049E-2</v>
      </c>
      <c r="LB51"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4.0456309537810188E-2</v>
      </c>
      <c r="LC51" s="30">
        <f>IF(OR(NOT(DATA[[#This Row],[Care consumables &amp; uniforms]]&gt;0),NOT(DATA[[#This Row],[Number of hours of care charged for in last full accounting year]]&gt;0)),0,DATA[[#This Row],[Care consumables &amp; uniforms]]/DATA[[#This Row],[Number of hours of care charged for in last full accounting year]])</f>
        <v>5.9602493237680819E-2</v>
      </c>
      <c r="LD51" s="30">
        <f>IF(OR(NOT(DATA[[#This Row],[Electronic call monitoring]]&gt;0),NOT(DATA[[#This Row],[Number of hours of care charged for in last full accounting year]]&gt;0)),0,DATA[[#This Row],[Electronic call monitoring]]/DATA[[#This Row],[Number of hours of care charged for in last full accounting year]])</f>
        <v>0</v>
      </c>
      <c r="LE51" s="30">
        <f>IF(OR(NOT(DATA[[#This Row],[IT Equipment &amp; Telephoney]]&gt;0),NOT(DATA[[#This Row],[Number of hours of care charged for in last full accounting year]]&gt;0)),0,DATA[[#This Row],[IT Equipment &amp; Telephoney]]/DATA[[#This Row],[Number of hours of care charged for in last full accounting year]])</f>
        <v>0.26846995178172411</v>
      </c>
      <c r="LF51"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51"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51" s="30">
        <f>IF(OR(NOT(DATA[[#This Row],[Insurance ]]&gt;0),NOT(DATA[[#This Row],[Number of hours of care charged for in last full accounting year]]&gt;0)),0,DATA[[#This Row],[Insurance ]]/DATA[[#This Row],[Number of hours of care charged for in last full accounting year]])</f>
        <v>8.6393037751381865E-2</v>
      </c>
      <c r="LI51"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6.244854757144537E-2</v>
      </c>
      <c r="LJ51" s="30">
        <f>IF(OR(NOT(DATA[[#This Row],[Repairs and maintenance]]&gt;0),NOT(DATA[[#This Row],[Number of hours of care charged for in last full accounting year]]&gt;0)),0,DATA[[#This Row],[Repairs and maintenance]]/DATA[[#This Row],[Number of hours of care charged for in last full accounting year]])</f>
        <v>3.3988004233799836E-2</v>
      </c>
      <c r="LK51"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0.5202634364341997</v>
      </c>
      <c r="LL51" s="30">
        <f>IF(OR(NOT(DATA[[#This Row],[Registration &amp; Inspection fees ]]&gt;0),NOT(DATA[[#This Row],[Number of hours of care charged for in last full accounting year]]&gt;0)),0,DATA[[#This Row],[Registration &amp; Inspection fees ]]/DATA[[#This Row],[Number of hours of care charged for in last full accounting year]])</f>
        <v>7.9760084675996712E-2</v>
      </c>
      <c r="LM51" s="30">
        <f>IF(OR(NOT(DATA[[#This Row],[Subscriptions]]&gt;0),NOT(DATA[[#This Row],[Number of hours of care charged for in last full accounting year]]&gt;0)),0,DATA[[#This Row],[Subscriptions]]/DATA[[#This Row],[Number of hours of care charged for in last full accounting year]])</f>
        <v>9.2437963071856991E-3</v>
      </c>
      <c r="LN51" s="30">
        <f>IF(OR(NOT(DATA[[#This Row],[Cost of finance]]&gt;0),NOT(DATA[[#This Row],[Number of hours of care charged for in last full accounting year]]&gt;0)),0,DATA[[#This Row],[Cost of finance]]/DATA[[#This Row],[Number of hours of care charged for in last full accounting year]])</f>
        <v>0.26534164412560274</v>
      </c>
      <c r="LO51" s="30">
        <f>IF(OR(NOT(DATA[[#This Row],[Other non-staff current expenses]]&gt;0),NOT(DATA[[#This Row],[Number of hours of care charged for in last full accounting year]]&gt;0)),0,DATA[[#This Row],[Other non-staff current expenses]]/DATA[[#This Row],[Number of hours of care charged for in last full accounting year]])</f>
        <v>0</v>
      </c>
      <c r="LP51"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8.7028107726684706E-2</v>
      </c>
      <c r="LQ51"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4.9911795836763494E-2</v>
      </c>
      <c r="LR51" s="30">
        <f>IF(OR(NOT(DATA[[#This Row],[Central / Regional Management]]&gt;0),NOT(DATA[[#This Row],[Number of hours of care charged for in last full accounting year]]&gt;0)),0,DATA[[#This Row],[Central / Regional Management]]/DATA[[#This Row],[Number of hours of care charged for in last full accounting year]])</f>
        <v>0.79148535810890275</v>
      </c>
      <c r="LS51"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0.2540279901211337</v>
      </c>
      <c r="LT51"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51"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1" s="30">
        <f>SUM(DATA[[#This Row],[Management staff HOURLY RATE]:[Corporate Overheads: Other  - please specify (amount) 2 HOURLY RATE]])</f>
        <v>15.292085146418906</v>
      </c>
      <c r="LW51" s="30">
        <f>IF(OR(NOT(DATA[[#This Row],[Net Operating Profit]]&gt;0),NOT(DATA[[#This Row],[Number of hours of care charged for in last full accounting year]]&gt;0)),"",DATA[[#This Row],[Net Operating Profit]]/DATA[[#This Row],[Number of hours of care charged for in last full accounting year]])</f>
        <v>0.13164765376925791</v>
      </c>
      <c r="LX51" s="30">
        <f>IF(OR(NOT(DATA[[#This Row],[Return on Capital employed]]&gt;0),NOT(DATA[[#This Row],[Number of hours of care charged for in last full accounting year]]&gt;0)),0,DATA[[#This Row],[Return on Capital employed]]/DATA[[#This Row],[Number of hours of care charged for in last full accounting year]])</f>
        <v>0</v>
      </c>
      <c r="LY51" s="31">
        <v>45</v>
      </c>
      <c r="LZ51" s="30" t="s">
        <v>358</v>
      </c>
      <c r="MA51" s="30" t="b">
        <f>DATA[[#This Row],[Number of Home support clients:]]&gt;0</f>
        <v>1</v>
      </c>
      <c r="MB51" s="30" t="b">
        <f>DATA[[#This Row],[Number of supported living clients:]]&gt;0</f>
        <v>0</v>
      </c>
      <c r="MC51" s="30" t="b">
        <f>DATA[[#This Row],[Total Home Support Hours]]&gt;0</f>
        <v>1</v>
      </c>
      <c r="MD51" s="30" t="b">
        <f>DATA[[#This Row],[Total Supported Living Hours]]&gt;0</f>
        <v>0</v>
      </c>
      <c r="ME51" s="30" t="b">
        <f>DATA[[#This Row],[Home Support service split percentage (Expenditure):]]&gt;0.5</f>
        <v>1</v>
      </c>
      <c r="MF51" s="30" t="b">
        <f>DATA[[#This Row],[Agency staff HOURLY RATE]]=0</f>
        <v>1</v>
      </c>
      <c r="MG51" s="30">
        <f>IFERROR(IF(AVERAGE(DATA[[#This Row],[Registered manager: Current 2021/22 Minimum hourly pay rate ADJUSTED]],DATA[[#This Row],[Registered manager: Current 2021/22 Maximum hourly pay rate ADJUSTED]])&lt;LIVING_WAGE_22_23,DATA[[#This Row],[Registered manager: Numbers employed (Full Time Equivalent)]],0),"")</f>
        <v>0</v>
      </c>
      <c r="MH51" s="30" t="str">
        <f>IFERROR(IF(AVERAGE(DATA[[#This Row],[Deputy manager: Current 2021/22 Minimum hourly pay rate ADJUSTED]],DATA[[#This Row],[Deputy manager: Current 2021/22 Maximum hourly pay rate ADJUSTED]])&lt;LIVING_WAGE_22_23,DATA[[#This Row],[Deputy manager: Numbers employed (Full Time Equivalent)]],0),"")</f>
        <v/>
      </c>
      <c r="MI51" s="30">
        <f>IFERROR(IF(AVERAGE(DATA[[#This Row],[Other manager 1: Current 2021/22 Minimum hourly pay rate ADJUSTED]],DATA[[#This Row],[Other manager 1: Current 2021/22 Maximum hourly pay rate ADJUSTED]])&lt;LIVING_WAGE_22_23,DATA[[#This Row],[Other manager 1: Numbers employed (Full Time Equivalent)]],0),"")</f>
        <v>0</v>
      </c>
      <c r="MJ51" s="30">
        <f>IFERROR(IF(AVERAGE(DATA[[#This Row],[Other manager 2: Current 2021/22 Minimum hourly pay rate ADJUSTED]],DATA[[#This Row],[Other manager 2: Current 2021/22 Maximum hourly pay rate ADJUSTED]])&lt;LIVING_WAGE_22_23,DATA[[#This Row],[Other manager 2: Numbers employed (Full Time Equivalent)]],0),"")</f>
        <v>0</v>
      </c>
      <c r="MK51" s="30" t="str">
        <f>IFERROR(IF(AVERAGE(DATA[[#This Row],[Other manager 3: Current 2021/22 Minimum hourly pay rate ADJUSTED]],DATA[[#This Row],[Other manager 3: Current 2021/22 Maximum hourly pay rate ADJUSTED]])&lt;LIVING_WAGE_22_23,DATA[[#This Row],[Other manager 3: Numbers employed (Full Time Equivalent)]],0),"")</f>
        <v/>
      </c>
      <c r="ML51" s="30">
        <f>IFERROR(IF(AVERAGE(DATA[[#This Row],[Care Assistant 1: Current 2021/22 Minimum hourly pay rate ADJUSTED]],DATA[[#This Row],[Care Assistant 1: Current 2021/22 Maximum hourly pay rate ADJUSTED]])&lt;LIVING_WAGE_22_23,DATA[[#This Row],[Care Assistant 1: Numbers employed (Full Time Equivalent)]],0),"")</f>
        <v>43</v>
      </c>
      <c r="MM51" s="30" t="str">
        <f>IFERROR(IF(AVERAGE(DATA[[#This Row],[Care Assistant 2: Current 2021/22 Minimum hourly pay rate ADJUSTED]],DATA[[#This Row],[Care Assistant 2: Current 2021/22 Maximum hourly pay rate ADJUSTED]])&lt;LIVING_WAGE_22_23,DATA[[#This Row],[Care Assistant 2: Numbers employed (Full Time Equivalent)]],0),"")</f>
        <v/>
      </c>
      <c r="MN51" s="30" t="str">
        <f>IFERROR(IF(AVERAGE(DATA[[#This Row],[Care Assistant 3: Current 2021/22 Minimum hourly pay rate ADJUSTED]],DATA[[#This Row],[Care Assistant 3: Current 2021/22 Maximum hourly pay rate ADJUSTED]])&lt;LIVING_WAGE_22_23,DATA[[#This Row],[Care Assistant 3: Numbers employed (Full Time Equivalent)]],0),"")</f>
        <v/>
      </c>
      <c r="MO51" s="30" t="str">
        <f>IFERROR(IF(AVERAGE(DATA[[#This Row],[Care Assistant 4: Current 2021/22 Minimum hourly pay rate ADJUSTED]],DATA[[#This Row],[Care Assistant 4: Current 2021/22 Maximum hourly pay rate ADJUSTED]])&lt;LIVING_WAGE_22_23,DATA[[#This Row],[Care Assistant 4: Numbers employed (Full Time Equivalent)]],0),"")</f>
        <v/>
      </c>
      <c r="MP51"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51"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51" s="30" t="str">
        <f>IFERROR(IF(AVERAGE(DATA[[#This Row],[Other staff 1: Current 2021/22 Minimum hourly pay rate ADJUSTED]],DATA[[#This Row],[Other staff 1: Current 2021/22 Maximum hourly pay rate ADJUSTED]])&lt;LIVING_WAGE_22_23,DATA[[#This Row],[Other staff 1: Numbers employed (Full Time Equivalent)]],0),"")</f>
        <v/>
      </c>
      <c r="MS51" s="30" t="str">
        <f>IFERROR(IF(AVERAGE(DATA[[#This Row],[Other staff 2: Current 2021/22 Minimum hourly pay rate ADJUSTED]],DATA[[#This Row],[Other staff 2: Current 2021/22 Maximum hourly pay rate ADJUSTED]])&lt;LIVING_WAGE_22_23,DATA[[#This Row],[Other staff 2: Numbers employed (Full Time Equivalent)]],0),"")</f>
        <v/>
      </c>
      <c r="MT51" s="30" t="str">
        <f>IFERROR(IF(AVERAGE(DATA[[#This Row],[Other staff 3: Current 2021/22 Minimum hourly pay rate ADJUSTED]],DATA[[#This Row],[Other staff 3: Current 2021/22 Maximum hourly pay rate ADJUSTED]])&lt;LIVING_WAGE_22_23,DATA[[#This Row],[Other staff 3: Numbers employed (Full Time Equivalent)]],0),"")</f>
        <v/>
      </c>
      <c r="MU51" s="30">
        <f>SUM(DATA[[#This Row],[Registered Manager FTE earning less than NLW 23yrs 2022/23]:[Other staff 3 FTE earning less than NLW 23yrs 2022/23]])</f>
        <v>43</v>
      </c>
      <c r="MV51"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51"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51"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51"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51"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51"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17.200000000000017</v>
      </c>
      <c r="NB51"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51"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51"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1"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51"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51"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51"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51"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1" s="30" t="b">
        <v>0</v>
      </c>
      <c r="NK51" s="30" t="b">
        <v>1</v>
      </c>
      <c r="NL51" s="30" t="s">
        <v>972</v>
      </c>
      <c r="NM51" s="30">
        <f>SUM(DATA[[#This Row],[Management staff HOURLY RATE]:[Training and development HOURLY RATE]])</f>
        <v>12.6235211101964</v>
      </c>
      <c r="NN51" s="30">
        <f>SUM(DATA[[#This Row],[Recruitment &amp; advertising (including DBS checks) HOURLY RATE]:[Non-Staffing Direct Cost: Other  - please specify (amount) 2 HOURLY RATE]])</f>
        <v>0.42867223332941318</v>
      </c>
      <c r="NO51" s="30">
        <f>SUM(DATA[[#This Row],[Insurance  HOURLY RATE]:[Indirect costs: Other  - please specify (amount) 2 HOURLY RATE]])</f>
        <v>1.1943784546630603</v>
      </c>
      <c r="NP51" s="30">
        <f>SUM(DATA[[#This Row],[Central / Regional Management HOURLY RATE]:[Corporate Overheads: Other  - please specify (amount) 2 HOURLY RATE]])</f>
        <v>1.0455133482300365</v>
      </c>
      <c r="NQ51"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51" s="30" t="str">
        <f>IFERROR(IF(AVERAGE(DATA[[#This Row],[Deputy manager: Current 2021/22 Minimum hourly pay rate ADJUSTED]],DATA[[#This Row],[Deputy manager: Current 2021/22 Maximum hourly pay rate ADJUSTED]])&lt;REAL_LIVING_WAGE_22_23,DATA[[#This Row],[Deputy manager: Numbers employed (Full Time Equivalent)]],0),"")</f>
        <v/>
      </c>
      <c r="NS51" s="30">
        <f>IFERROR(IF(AVERAGE(DATA[[#This Row],[Other manager 1: Current 2021/22 Minimum hourly pay rate ADJUSTED]],DATA[[#This Row],[Other manager 1: Current 2021/22 Maximum hourly pay rate ADJUSTED]])&lt;REAL_LIVING_WAGE_22_23,DATA[[#This Row],[Other manager 1: Numbers employed (Full Time Equivalent)]],0),"")</f>
        <v>0</v>
      </c>
      <c r="NT51" s="30">
        <f>IFERROR(IF(AVERAGE(DATA[[#This Row],[Other manager 2: Current 2021/22 Minimum hourly pay rate ADJUSTED]],DATA[[#This Row],[Other manager 2: Current 2021/22 Maximum hourly pay rate ADJUSTED]])&lt;REAL_LIVING_WAGE_22_23,DATA[[#This Row],[Other manager 2: Numbers employed (Full Time Equivalent)]],0),"")</f>
        <v>0</v>
      </c>
      <c r="NU51" s="30" t="str">
        <f>IFERROR(IF(AVERAGE(DATA[[#This Row],[Other manager 3: Current 2021/22 Minimum hourly pay rate ADJUSTED]],DATA[[#This Row],[Other manager 3: Current 2021/22 Maximum hourly pay rate ADJUSTED]])&lt;REAL_LIVING_WAGE_22_23,DATA[[#This Row],[Other manager 3: Numbers employed (Full Time Equivalent)]],0),"")</f>
        <v/>
      </c>
      <c r="NV51" s="30">
        <f>IFERROR(IF(AVERAGE(DATA[[#This Row],[Care Assistant 1: Current 2021/22 Minimum hourly pay rate ADJUSTED]],DATA[[#This Row],[Care Assistant 1: Current 2021/22 Maximum hourly pay rate ADJUSTED]])&lt;REAL_LIVING_WAGE_22_23,DATA[[#This Row],[Care Assistant 1: Numbers employed (Full Time Equivalent)]],0),"")</f>
        <v>43</v>
      </c>
      <c r="NW51"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51"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51"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1"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51"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51" s="30" t="str">
        <f>IFERROR(IF(AVERAGE(DATA[[#This Row],[Other staff 1: Current 2021/22 Minimum hourly pay rate ADJUSTED]],DATA[[#This Row],[Other staff 1: Current 2021/22 Maximum hourly pay rate ADJUSTED]])&lt;REAL_LIVING_WAGE_22_23,DATA[[#This Row],[Other staff 1: Numbers employed (Full Time Equivalent)]],0),"")</f>
        <v/>
      </c>
      <c r="OC51" s="30" t="str">
        <f>IFERROR(IF(AVERAGE(DATA[[#This Row],[Other staff 2: Current 2021/22 Minimum hourly pay rate ADJUSTED]],DATA[[#This Row],[Other staff 2: Current 2021/22 Maximum hourly pay rate ADJUSTED]])&lt;REAL_LIVING_WAGE_22_23,DATA[[#This Row],[Other staff 2: Numbers employed (Full Time Equivalent)]],0),"")</f>
        <v/>
      </c>
      <c r="OD51" s="30" t="str">
        <f>IFERROR(IF(AVERAGE(DATA[[#This Row],[Other staff 3: Current 2021/22 Minimum hourly pay rate ADJUSTED]],DATA[[#This Row],[Other staff 3: Current 2021/22 Maximum hourly pay rate ADJUSTED]])&lt;REAL_LIVING_WAGE_22_23,DATA[[#This Row],[Other staff 3: Numbers employed (Full Time Equivalent)]],0),"")</f>
        <v/>
      </c>
      <c r="OE51" s="30">
        <f>SUM(DATA[[#This Row],[Registered Manager FTE earning less than RLW 23yrs 2022/23]:[Other staff 3 FTE earning less than RLW 23yrs 2022/23]])</f>
        <v>43</v>
      </c>
      <c r="OF51"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51"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51"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51"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51"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51"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34.400000000000034</v>
      </c>
      <c r="OL51"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51"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51"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1"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51"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51"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51"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51"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1" s="30">
        <f>IFERROR(IF(DATA[[#This Row],[Registered manager: Numbers employed (Full Time Equivalent)]]=0,"",DATA[[#This Row],[Registered manager: Current 2021/22 Minimum hourly pay rate ADJUSTED 2]]*DATA[[#This Row],[Registered manager: Numbers employed (Full Time Equivalent)]]),"")</f>
        <v>15.38</v>
      </c>
      <c r="OU51" s="30">
        <f>IFERROR(IF(DATA[[#This Row],[Registered manager: Numbers employed (Full Time Equivalent)]]=0,"",DATA[[#This Row],[Registered manager: Current 2021/22 Maximum hourly pay rate ADJUSTED 2]]*DATA[[#This Row],[Registered manager: Numbers employed (Full Time Equivalent)]]),"")</f>
        <v>15.38</v>
      </c>
      <c r="OV51" s="30">
        <f>IFERROR(IF(DATA[[#This Row],[Registered manager: Numbers employed (Full Time Equivalent)]]=0,"",DATA[[#This Row],[Registered manager: Previous 2020/21 Minimum hourly pay rate ADJUSTED 2]]*DATA[[#This Row],[Registered manager: Numbers employed (Full Time Equivalent)]]),"")</f>
        <v>15.38</v>
      </c>
      <c r="OW51" s="30">
        <f>IFERROR(IF(DATA[[#This Row],[Registered manager: Numbers employed (Full Time Equivalent)]]=0,"",DATA[[#This Row],[Registered manager: Previous 2020/21 Maximum hourly pay rate ADJUSTED 2]]*DATA[[#This Row],[Registered manager: Numbers employed (Full Time Equivalent)]]),"")</f>
        <v>15.38</v>
      </c>
      <c r="OX51" s="30" t="str">
        <f>IFERROR(IF(DATA[[#This Row],[Deputy manager: Numbers employed (Full Time Equivalent)]]=0,"",DATA[[#This Row],[Deputy manager: Current 2021/22 Minimum hourly pay rate ADJUSTED 2]]*DATA[[#This Row],[Deputy manager: Numbers employed (Full Time Equivalent)]]),"")</f>
        <v/>
      </c>
      <c r="OY51" s="30" t="str">
        <f>IFERROR(IF(DATA[[#This Row],[Deputy manager: Numbers employed (Full Time Equivalent)]]=0,"",DATA[[#This Row],[Deputy manager: Current 2021/22 Maximum hourly pay rate ADJUSTED 2]]*DATA[[#This Row],[Deputy manager: Numbers employed (Full Time Equivalent)]]),"")</f>
        <v/>
      </c>
      <c r="OZ51" s="30" t="str">
        <f>IFERROR(IF(DATA[[#This Row],[Deputy manager: Numbers employed (Full Time Equivalent)]]=0,"",DATA[[#This Row],[Deputy manager: Previous 2020/21 Minimum hourly pay rate ADJUSTED 2]]*DATA[[#This Row],[Deputy manager: Numbers employed (Full Time Equivalent)]]),"")</f>
        <v/>
      </c>
      <c r="PA51" s="30" t="str">
        <f>IFERROR(IF(DATA[[#This Row],[Deputy manager: Numbers employed (Full Time Equivalent)]]=0,"",DATA[[#This Row],[Deputy manager: Previous 2020/21 Maximum hourly pay rate ADJUSTED 2]]*DATA[[#This Row],[Deputy manager: Numbers employed (Full Time Equivalent)]]),"")</f>
        <v/>
      </c>
      <c r="PB51" s="30">
        <f>IFERROR(IF(DATA[[#This Row],[Other manager 1: Numbers employed (Full Time Equivalent)]]=0,"",DATA[[#This Row],[Other manager 1: Current 2021/22 Minimum hourly pay rate ADJUSTED 2]]*DATA[[#This Row],[Other manager 1: Numbers employed (Full Time Equivalent)]]),"")</f>
        <v>10.25</v>
      </c>
      <c r="PC51" s="30">
        <f>IFERROR(IF(DATA[[#This Row],[Other manager 1: Numbers employed (Full Time Equivalent)]]=0,"",DATA[[#This Row],[Other manager 1: Current 2021/22 Maximum hourly pay rate ADJUSTED 2]]*DATA[[#This Row],[Other manager 1: Numbers employed (Full Time Equivalent)]]),"")</f>
        <v>10.25</v>
      </c>
      <c r="PD51" s="30">
        <f>IFERROR(IF(DATA[[#This Row],[Other manager 1: Numbers employed (Full Time Equivalent)]]=0,"",DATA[[#This Row],[Other manager 1: Previous 2020/21 Minimum hourly pay rate ADJUSTED 2]]*DATA[[#This Row],[Other manager 1: Numbers employed (Full Time Equivalent)]]),"")</f>
        <v>9.23</v>
      </c>
      <c r="PE51" s="30">
        <f>IFERROR(IF(DATA[[#This Row],[Other manager 1: Numbers employed (Full Time Equivalent)]]=0,"",DATA[[#This Row],[Other manager 1: Previous 2020/21 Maximum hourly pay rate ADJUSTED 2]]*DATA[[#This Row],[Other manager 1: Numbers employed (Full Time Equivalent)]]),"")</f>
        <v>9.23</v>
      </c>
      <c r="PF51" s="30">
        <f>IFERROR(IF(DATA[[#This Row],[Other manager 2: Numbers employed (Full Time Equivalent)]]=0,"",DATA[[#This Row],[Other manager 2: Current 2021/22 Minimum hourly pay rate ADJUSTED 2]]*DATA[[#This Row],[Other manager 2: Numbers employed (Full Time Equivalent)]]),"")</f>
        <v>10</v>
      </c>
      <c r="PG51" s="30">
        <f>IFERROR(IF(DATA[[#This Row],[Other manager 2: Numbers employed (Full Time Equivalent)]]=0,"",DATA[[#This Row],[Other manager 2: Current 2021/22 Maximum hourly pay rate ADJUSTED 2]]*DATA[[#This Row],[Other manager 2: Numbers employed (Full Time Equivalent)]]),"")</f>
        <v>10</v>
      </c>
      <c r="PH51" s="30">
        <f>IFERROR(IF(DATA[[#This Row],[Other manager 2: Numbers employed (Full Time Equivalent)]]=0,"",DATA[[#This Row],[Other manager 2: Previous 2020/21 Minimum hourly pay rate ADJUSTED 2]]*DATA[[#This Row],[Other manager 2: Numbers employed (Full Time Equivalent)]]),"")</f>
        <v>10</v>
      </c>
      <c r="PI51" s="30">
        <f>IFERROR(IF(DATA[[#This Row],[Other manager 2: Numbers employed (Full Time Equivalent)]]=0,"",DATA[[#This Row],[Other manager 2: Previous 2020/21 Maximum hourly pay rate ADJUSTED 2]]*DATA[[#This Row],[Other manager 2: Numbers employed (Full Time Equivalent)]]),"")</f>
        <v>10</v>
      </c>
      <c r="PJ51" s="30" t="str">
        <f>IFERROR(IF(DATA[[#This Row],[Other manager 3: Numbers employed (Full Time Equivalent)]]=0,"",DATA[[#This Row],[Other manager 3: Current 2021/22 Minimum hourly pay rate ADJUSTED 2]]*DATA[[#This Row],[Other manager 3: Numbers employed (Full Time Equivalent)]]),"")</f>
        <v/>
      </c>
      <c r="PK51" s="30" t="str">
        <f>IFERROR(IF(DATA[[#This Row],[Other manager 3: Numbers employed (Full Time Equivalent)]]=0,"",DATA[[#This Row],[Other manager 3: Current 2021/22 Maximum hourly pay rate ADJUSTED 2]]*DATA[[#This Row],[Other manager 3: Numbers employed (Full Time Equivalent)]]),"")</f>
        <v/>
      </c>
      <c r="PL51" s="30" t="str">
        <f>IFERROR(IF(DATA[[#This Row],[Other manager 3: Numbers employed (Full Time Equivalent)]]=0,"",DATA[[#This Row],[Other manager 3: Previous 2020/21 Minimum hourly pay rate ADJUSTED 2]]*DATA[[#This Row],[Other manager 3: Numbers employed (Full Time Equivalent)]]),"")</f>
        <v/>
      </c>
      <c r="PM51" s="30" t="str">
        <f>IFERROR(IF(DATA[[#This Row],[Other manager 3: Numbers employed (Full Time Equivalent)]]=0,"",DATA[[#This Row],[Other manager 3: Previous 2020/21 Maximum hourly pay rate ADJUSTED 2]]*DATA[[#This Row],[Other manager 3: Numbers employed (Full Time Equivalent)]]),"")</f>
        <v/>
      </c>
      <c r="PN51" s="30">
        <f>IFERROR(IF(DATA[[#This Row],[Care Assistant 1: Numbers employed (Full Time Equivalent)]]=0,"",DATA[[#This Row],[Care Assistant 1: Current 2021/22 Minimum hourly pay rate ADJUSTED 2]]*DATA[[#This Row],[Care Assistant 1: Numbers employed (Full Time Equivalent)]]),"")</f>
        <v>387</v>
      </c>
      <c r="PO51" s="30">
        <f>IFERROR(IF(DATA[[#This Row],[Care Assistant 1: Numbers employed (Full Time Equivalent)]]=0,"",DATA[[#This Row],[Care Assistant 1: Current 2021/22 Maximum hourly pay rate ADJUSTED 2]]*DATA[[#This Row],[Care Assistant 1: Numbers employed (Full Time Equivalent)]]),"")</f>
        <v>395.59999999999997</v>
      </c>
      <c r="PP51" s="30">
        <f>IFERROR(IF(DATA[[#This Row],[Care Assistant 1: Numbers employed (Full Time Equivalent)]]=0,"",DATA[[#This Row],[Care Assistant 1: Previous 2020/21 Minimum hourly pay rate ADJUSTED 2]]*DATA[[#This Row],[Care Assistant 1: Numbers employed (Full Time Equivalent)]]),"")</f>
        <v>378.40000000000003</v>
      </c>
      <c r="PQ51" s="30">
        <f>IFERROR(IF(DATA[[#This Row],[Care Assistant 1: Numbers employed (Full Time Equivalent)]]=0,"",DATA[[#This Row],[Care Assistant 1: Previous 2020/21 Maximum hourly pay rate ADJUSTED 2]]*DATA[[#This Row],[Care Assistant 1: Numbers employed (Full Time Equivalent)]]),"")</f>
        <v>387</v>
      </c>
      <c r="PR51" s="30" t="str">
        <f>IFERROR(IF(DATA[[#This Row],[Care Assistant 2: Numbers employed (Full Time Equivalent)]]=0,"",DATA[[#This Row],[Care Assistant 2: Current 2021/22 Minimum hourly pay rate ADJUSTED 2]]*DATA[[#This Row],[Care Assistant 2: Numbers employed (Full Time Equivalent)]]),"")</f>
        <v/>
      </c>
      <c r="PS51" s="30" t="str">
        <f>IFERROR(IF(DATA[[#This Row],[Care Assistant 2: Numbers employed (Full Time Equivalent)]]=0,"",DATA[[#This Row],[Care Assistant 2: Current 2021/22 Maximum hourly pay rate ADJUSTED 2]]*DATA[[#This Row],[Care Assistant 2: Numbers employed (Full Time Equivalent)]]),"")</f>
        <v/>
      </c>
      <c r="PT51" s="30" t="str">
        <f>IFERROR(IF(DATA[[#This Row],[Care Assistant 2: Numbers employed (Full Time Equivalent)]]=0,"",DATA[[#This Row],[Care Assistant 2: Previous 2020/21 Minimum hourly pay rate ADJUSTED 2]]*DATA[[#This Row],[Care Assistant 2: Numbers employed (Full Time Equivalent)]]),"")</f>
        <v/>
      </c>
      <c r="PU51" s="30" t="str">
        <f>IFERROR(IF(DATA[[#This Row],[Care Assistant 2: Numbers employed (Full Time Equivalent)]]=0,"",DATA[[#This Row],[Care Assistant 2: Previous 2020/21 Maximum hourly pay rate ADJUSTED 2]]*DATA[[#This Row],[Care Assistant 2: Numbers employed (Full Time Equivalent)]]),"")</f>
        <v/>
      </c>
      <c r="PV51" s="30" t="str">
        <f>IFERROR(IF(DATA[[#This Row],[Care Assistant 3: Numbers employed (Full Time Equivalent)]]=0,"",DATA[[#This Row],[Care Assistant 3: Current 2021/22 Minimum hourly pay rate ADJUSTED 2]]*DATA[[#This Row],[Care Assistant 3: Numbers employed (Full Time Equivalent)]]),"")</f>
        <v/>
      </c>
      <c r="PW51" s="30" t="str">
        <f>IFERROR(IF(DATA[[#This Row],[Care Assistant 3: Numbers employed (Full Time Equivalent)]]=0,"",DATA[[#This Row],[Care Assistant 3: Current 2021/22 Maximum hourly pay rate ADJUSTED 2]]*DATA[[#This Row],[Care Assistant 3: Numbers employed (Full Time Equivalent)]]),"")</f>
        <v/>
      </c>
      <c r="PX51" s="30" t="str">
        <f>IFERROR(IF(DATA[[#This Row],[Care Assistant 3: Numbers employed (Full Time Equivalent)]]=0,"",DATA[[#This Row],[Care Assistant 3: Previous 2020/21 Minimum hourly pay rate ADJUSTED 2]]*DATA[[#This Row],[Care Assistant 3: Numbers employed (Full Time Equivalent)]]),"")</f>
        <v/>
      </c>
      <c r="PY51" s="30" t="str">
        <f>IFERROR(IF(DATA[[#This Row],[Care Assistant 3: Numbers employed (Full Time Equivalent)]]=0,"",DATA[[#This Row],[Care Assistant 3: Previous 2020/21 Maximum hourly pay rate ADJUSTED 2]]*DATA[[#This Row],[Care Assistant 3: Numbers employed (Full Time Equivalent)]]),"")</f>
        <v/>
      </c>
      <c r="PZ51" s="30" t="str">
        <f>IFERROR(IF(DATA[[#This Row],[Care Assistant 4: Numbers employed (Full Time Equivalent)]]=0,"",DATA[[#This Row],[Care Assistant 4: Current 2021/22 Minimum hourly pay rate ADJUSTED 2]]*DATA[[#This Row],[Care Assistant 4: Numbers employed (Full Time Equivalent)]]),"")</f>
        <v/>
      </c>
      <c r="QA51" s="30" t="str">
        <f>IFERROR(IF(DATA[[#This Row],[Care Assistant 4: Numbers employed (Full Time Equivalent)]]=0,"",DATA[[#This Row],[Care Assistant 4: Current 2021/22 Maximum hourly pay rate ADJUSTED 2]]*DATA[[#This Row],[Care Assistant 4: Numbers employed (Full Time Equivalent)]]),"")</f>
        <v/>
      </c>
      <c r="QB51" s="30" t="str">
        <f>IFERROR(IF(DATA[[#This Row],[Care Assistant 4: Numbers employed (Full Time Equivalent)]]=0,"",DATA[[#This Row],[Care Assistant 4: Previous 2020/21 Minimum hourly pay rate ADJUSTED 2]]*DATA[[#This Row],[Care Assistant 4: Numbers employed (Full Time Equivalent)]]),"")</f>
        <v/>
      </c>
      <c r="QC51" s="30" t="str">
        <f>IFERROR(IF(DATA[[#This Row],[Care Assistant 4: Numbers employed (Full Time Equivalent)]]=0,"",DATA[[#This Row],[Care Assistant 4: Previous 2020/21 Maximum hourly pay rate ADJUSTED 2]]*DATA[[#This Row],[Care Assistant 4: Numbers employed (Full Time Equivalent)]]),"")</f>
        <v/>
      </c>
      <c r="QD51" s="30" t="str">
        <f>IFERROR(IF(DATA[[#This Row],[Administrative Officer 1: Numbers employed (Full Time Equivalent)]]=0,"",DATA[[#This Row],[Administrative Officer 1: Current 2021/22 Minimum hourly pay rate ADJUSTED 2]]*DATA[[#This Row],[Administrative Officer 1: Numbers employed (Full Time Equivalent)]]),"")</f>
        <v/>
      </c>
      <c r="QE51" s="30" t="str">
        <f>IFERROR(IF(DATA[[#This Row],[Administrative Officer 1: Numbers employed (Full Time Equivalent)]]=0,"",DATA[[#This Row],[Administrative Officer 1: Current 2021/22 Maximum hourly pay rate ADJUSTED 2]]*DATA[[#This Row],[Administrative Officer 1: Numbers employed (Full Time Equivalent)]]),"")</f>
        <v/>
      </c>
      <c r="QF51" s="30" t="str">
        <f>IFERROR(IF(DATA[[#This Row],[Administrative Officer 1: Numbers employed (Full Time Equivalent)]]=0,"",DATA[[#This Row],[Administrative Officer 1: Previous 2020/21 Minimum hourly pay rate ADJUSTED 2]]*DATA[[#This Row],[Administrative Officer 1: Numbers employed (Full Time Equivalent)]]),"")</f>
        <v/>
      </c>
      <c r="QG51" s="30" t="str">
        <f>IFERROR(IF(DATA[[#This Row],[Administrative Officer 1: Numbers employed (Full Time Equivalent)]]=0,"",DATA[[#This Row],[Administrative Officer 1: Previous 2020/21 Maximum hourly pay rate ADJUSTED 2]]*DATA[[#This Row],[Administrative Officer 1: Numbers employed (Full Time Equivalent)]]),"")</f>
        <v/>
      </c>
      <c r="QH51" s="30" t="str">
        <f>IFERROR(IF(DATA[[#This Row],[Administrative Officer 2: Numbers employed (Full Time Equivalent)]]=0,"",DATA[[#This Row],[Administrative Officer 2: Current 2021/22 Minimum hourly pay rate ADJUSTED 2]]*DATA[[#This Row],[Administrative Officer 2: Numbers employed (Full Time Equivalent)]]),"")</f>
        <v/>
      </c>
      <c r="QI51" s="30" t="str">
        <f>IFERROR(IF(DATA[[#This Row],[Administrative Officer 2: Numbers employed (Full Time Equivalent)]]=0,"",DATA[[#This Row],[Administrative Officer 2: Current 2021/22 Maximum hourly pay rate ADJUSTED 2]]*DATA[[#This Row],[Administrative Officer 2: Numbers employed (Full Time Equivalent)]]),"")</f>
        <v/>
      </c>
      <c r="QJ51" s="30" t="str">
        <f>IFERROR(IF(DATA[[#This Row],[Administrative Officer 2: Numbers employed (Full Time Equivalent)]]=0,"",DATA[[#This Row],[Administrative Officer 2: Previous 2020/21 Minimum hourly pay rate ADJUSTED 2]]*DATA[[#This Row],[Administrative Officer 2: Numbers employed (Full Time Equivalent)]]),"")</f>
        <v/>
      </c>
      <c r="QK51" s="30" t="str">
        <f>IFERROR(IF(DATA[[#This Row],[Administrative Officer 2: Numbers employed (Full Time Equivalent)]]=0,"",DATA[[#This Row],[Administrative Officer 2: Previous 2020/21 Maximum hourly pay rate ADJUSTED 2]]*DATA[[#This Row],[Administrative Officer 2: Numbers employed (Full Time Equivalent)]]),"")</f>
        <v/>
      </c>
      <c r="QL51" s="30" t="str">
        <f>IFERROR(IF(DATA[[#This Row],[Administrative Officer 3: Numbers employed (Full Time Equivalent)]]=0,"",DATA[[#This Row],[Administrative Officer 3: Current 2021/22 Minimum hourly pay rate ADJUSTED 2]]*DATA[[#This Row],[Administrative Officer 3: Numbers employed (Full Time Equivalent)]]),"")</f>
        <v/>
      </c>
      <c r="QM51" s="30" t="str">
        <f>IFERROR(IF(DATA[[#This Row],[Administrative Officer 3: Numbers employed (Full Time Equivalent)]]=0,"",DATA[[#This Row],[Administrative Officer 3: Current 2021/22 Maximum hourly pay rate ADJUSTED 2]]*DATA[[#This Row],[Administrative Officer 3: Numbers employed (Full Time Equivalent)]]),"")</f>
        <v/>
      </c>
      <c r="QN51" s="30" t="str">
        <f>IFERROR(IF(DATA[[#This Row],[Administrative Officer 3: Numbers employed (Full Time Equivalent)]]=0,"",DATA[[#This Row],[Administrative Officer 3: Previous 2020/21 Minimum hourly pay rate ADJUSTED 2]]*DATA[[#This Row],[Administrative Officer 3: Numbers employed (Full Time Equivalent)]]),"")</f>
        <v/>
      </c>
      <c r="QO51" s="30" t="str">
        <f>IFERROR(IF(DATA[[#This Row],[Administrative Officer 3: Numbers employed (Full Time Equivalent)]]=0,"",DATA[[#This Row],[Administrative Officer 3: Previous 2020/21 Maximum hourly pay rate ADJUSTED 2]]*DATA[[#This Row],[Administrative Officer 3: Numbers employed (Full Time Equivalent)]]),"")</f>
        <v/>
      </c>
      <c r="QP51" s="28" t="str">
        <f>IFERROR(IF(DATA[[#This Row],[Other staff 1: Numbers employed (Full Time Equivalent)]]=0,"",DATA[[#This Row],[Other staff 1: Current 2021/22 Minimum hourly pay rate ADJUSTED 2]]*DATA[[#This Row],[Other staff 1: Numbers employed (Full Time Equivalent)]]),"")</f>
        <v/>
      </c>
      <c r="QQ51" s="28" t="str">
        <f>IFERROR(IF(DATA[[#This Row],[Other staff 1: Numbers employed (Full Time Equivalent)]]=0,"",DATA[[#This Row],[Other staff 1: Current 2021/22 Maximum hourly pay rate ADJUSTED 2]]*DATA[[#This Row],[Other staff 1: Numbers employed (Full Time Equivalent)]]),"")</f>
        <v/>
      </c>
      <c r="QR51" s="28" t="str">
        <f>IFERROR(IF(DATA[[#This Row],[Other staff 1: Numbers employed (Full Time Equivalent)]]=0,"",DATA[[#This Row],[Other staff 1: Previous 2020/21 Minimum hourly pay rate ADJUSTED 2]]*DATA[[#This Row],[Other staff 1: Numbers employed (Full Time Equivalent)]]),"")</f>
        <v/>
      </c>
      <c r="QS51" s="28" t="str">
        <f>IFERROR(IF(DATA[[#This Row],[Other staff 1: Numbers employed (Full Time Equivalent)]]=0,"",DATA[[#This Row],[Other staff 1: Previous 2020/21 Maximum hourly pay rate ADJUSTED 2]]*DATA[[#This Row],[Other staff 1: Numbers employed (Full Time Equivalent)]]),"")</f>
        <v/>
      </c>
      <c r="QT51" s="28" t="str">
        <f>IFERROR(IF(DATA[[#This Row],[Other staff 2: Numbers employed (Full Time Equivalent)]]=0,"",DATA[[#This Row],[Other staff 2: Current 2021/22 Minimum hourly pay rate ADJUSTED 2]]*DATA[[#This Row],[Other staff 2: Numbers employed (Full Time Equivalent)]]),"")</f>
        <v/>
      </c>
      <c r="QU51" s="28" t="str">
        <f>IFERROR(IF(DATA[[#This Row],[Other staff 2: Numbers employed (Full Time Equivalent)]]=0,"",DATA[[#This Row],[Other staff 2: Current 2021/22 Maximum hourly pay rate ADJUSTED 2]]*DATA[[#This Row],[Other staff 2: Numbers employed (Full Time Equivalent)]]),"")</f>
        <v/>
      </c>
      <c r="QV51" s="28" t="str">
        <f>IFERROR(IF(DATA[[#This Row],[Other staff 2: Numbers employed (Full Time Equivalent)]]=0,"",DATA[[#This Row],[Other staff 2: Previous 2020/21 Minimum hourly pay rate ADJUSTED 2]]*DATA[[#This Row],[Other staff 2: Numbers employed (Full Time Equivalent)]]),"")</f>
        <v/>
      </c>
      <c r="QW51" s="28" t="str">
        <f>IFERROR(IF(DATA[[#This Row],[Other staff 2: Numbers employed (Full Time Equivalent)]]=0,"",DATA[[#This Row],[Other staff 2: Previous 2020/21 Maximum hourly pay rate ADJUSTED 2]]*DATA[[#This Row],[Other staff 2: Numbers employed (Full Time Equivalent)]]),"")</f>
        <v/>
      </c>
      <c r="QX51" s="28" t="str">
        <f>IFERROR(IF(DATA[[#This Row],[Other staff 3: Numbers employed (Full Time Equivalent)]]=0,"",DATA[[#This Row],[Other staff 3: Current 2021/22 Minimum hourly pay rate ADJUSTED 2]]*DATA[[#This Row],[Other staff 3: Numbers employed (Full Time Equivalent)]]),"")</f>
        <v/>
      </c>
      <c r="QY51" s="28" t="str">
        <f>IFERROR(IF(DATA[[#This Row],[Other staff 3: Numbers employed (Full Time Equivalent)]]=0,"",DATA[[#This Row],[Other staff 3: Current 2021/22 Maximum hourly pay rate ADJUSTED 2]]*DATA[[#This Row],[Other staff 3: Numbers employed (Full Time Equivalent)]]),"")</f>
        <v/>
      </c>
      <c r="QZ51" s="28" t="str">
        <f>IFERROR(IF(DATA[[#This Row],[Other staff 3: Numbers employed (Full Time Equivalent)]]=0,"",DATA[[#This Row],[Other staff 3: Previous 2020/21 Minimum hourly pay rate ADJUSTED 2]]*DATA[[#This Row],[Other staff 3: Numbers employed (Full Time Equivalent)]]),"")</f>
        <v/>
      </c>
      <c r="RA51" s="28" t="str">
        <f>IFERROR(IF(DATA[[#This Row],[Other staff 3: Numbers employed (Full Time Equivalent)]]=0,"",DATA[[#This Row],[Other staff 3: Previous 2020/21 Maximum hourly pay rate ADJUSTED 2]]*DATA[[#This Row],[Other staff 3: Numbers employed (Full Time Equivalent)]]),"")</f>
        <v/>
      </c>
      <c r="RB51"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51"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51"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51"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51"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51"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43</v>
      </c>
      <c r="RH51"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51"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51"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1"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51"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51"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51"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51"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51"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2" spans="7:484" x14ac:dyDescent="0.25">
      <c r="G52" s="2">
        <v>46</v>
      </c>
      <c r="H52" s="2">
        <v>26</v>
      </c>
      <c r="I52" s="2">
        <v>0</v>
      </c>
      <c r="J52" s="2">
        <v>1</v>
      </c>
      <c r="K52" s="2">
        <v>0</v>
      </c>
      <c r="L52" s="2" t="s">
        <v>328</v>
      </c>
      <c r="M52" s="2" t="s">
        <v>365</v>
      </c>
      <c r="R52" s="2">
        <v>15</v>
      </c>
      <c r="S52" s="2">
        <v>15</v>
      </c>
      <c r="T52" s="2">
        <v>15</v>
      </c>
      <c r="U52" s="2">
        <v>15</v>
      </c>
      <c r="V52" s="2">
        <v>1</v>
      </c>
      <c r="W52" s="2">
        <v>0</v>
      </c>
      <c r="X52" s="2">
        <v>0</v>
      </c>
      <c r="Y52" s="2">
        <v>0</v>
      </c>
      <c r="Z52" s="2">
        <v>0</v>
      </c>
      <c r="AA52" s="2">
        <v>0</v>
      </c>
      <c r="AB52" s="2" t="s">
        <v>315</v>
      </c>
      <c r="AC52" s="2">
        <v>0</v>
      </c>
      <c r="AD52" s="2">
        <v>0</v>
      </c>
      <c r="AE52" s="2">
        <v>0</v>
      </c>
      <c r="AF52" s="2">
        <v>0</v>
      </c>
      <c r="AG52" s="2">
        <v>0</v>
      </c>
      <c r="AH52" s="2" t="s">
        <v>315</v>
      </c>
      <c r="AI52" s="2">
        <v>0</v>
      </c>
      <c r="AJ52" s="2">
        <v>0</v>
      </c>
      <c r="AK52" s="2">
        <v>0</v>
      </c>
      <c r="AL52" s="2">
        <v>0</v>
      </c>
      <c r="AM52" s="2">
        <v>0</v>
      </c>
      <c r="AN52" s="2" t="s">
        <v>315</v>
      </c>
      <c r="AO52" s="2">
        <v>0</v>
      </c>
      <c r="AP52" s="2">
        <v>0</v>
      </c>
      <c r="AQ52" s="2">
        <v>0</v>
      </c>
      <c r="AR52" s="2">
        <v>0</v>
      </c>
      <c r="AS52" s="2">
        <v>0</v>
      </c>
      <c r="AT52" s="2" t="s">
        <v>316</v>
      </c>
      <c r="AU52" s="2">
        <v>9</v>
      </c>
      <c r="AV52" s="2">
        <v>9</v>
      </c>
      <c r="AW52" s="2">
        <v>8.8000000000000007</v>
      </c>
      <c r="AX52" s="2">
        <v>8.8000000000000007</v>
      </c>
      <c r="AY52" s="2">
        <v>22</v>
      </c>
      <c r="AZ52" s="2" t="s">
        <v>514</v>
      </c>
      <c r="BA52" s="2">
        <v>9.5</v>
      </c>
      <c r="BB52" s="2">
        <v>9.5</v>
      </c>
      <c r="BC52" s="2">
        <v>9.3000000000000007</v>
      </c>
      <c r="BD52" s="2">
        <v>9.3000000000000007</v>
      </c>
      <c r="BE52" s="2">
        <v>5</v>
      </c>
      <c r="BF52" s="2" t="s">
        <v>316</v>
      </c>
      <c r="BG52" s="2">
        <v>0</v>
      </c>
      <c r="BH52" s="2">
        <v>0</v>
      </c>
      <c r="BI52" s="2">
        <v>0</v>
      </c>
      <c r="BJ52" s="2">
        <v>0</v>
      </c>
      <c r="BK52" s="2">
        <v>0</v>
      </c>
      <c r="BL52" s="2" t="s">
        <v>316</v>
      </c>
      <c r="BM52" s="2">
        <v>0</v>
      </c>
      <c r="BN52" s="2">
        <v>0</v>
      </c>
      <c r="BO52" s="2">
        <v>0</v>
      </c>
      <c r="BP52" s="2">
        <v>0</v>
      </c>
      <c r="BQ52" s="2">
        <v>0</v>
      </c>
      <c r="BR52" s="2" t="s">
        <v>515</v>
      </c>
      <c r="BS52" s="2">
        <v>9</v>
      </c>
      <c r="BT52" s="2">
        <v>9</v>
      </c>
      <c r="BU52" s="2">
        <v>8.8000000000000007</v>
      </c>
      <c r="BV52" s="2">
        <v>8.8000000000000007</v>
      </c>
      <c r="BW52" s="2">
        <v>1</v>
      </c>
      <c r="BX52" s="2" t="s">
        <v>317</v>
      </c>
      <c r="BY52" s="2">
        <v>0</v>
      </c>
      <c r="BZ52" s="2">
        <v>0</v>
      </c>
      <c r="CA52" s="2">
        <v>0</v>
      </c>
      <c r="CB52" s="2">
        <v>0</v>
      </c>
      <c r="CC52" s="2">
        <v>0</v>
      </c>
      <c r="CD52" s="2" t="s">
        <v>317</v>
      </c>
      <c r="CE52" s="2">
        <v>0</v>
      </c>
      <c r="CF52" s="2">
        <v>0</v>
      </c>
      <c r="CG52" s="2">
        <v>0</v>
      </c>
      <c r="CH52" s="2">
        <v>0</v>
      </c>
      <c r="CI52" s="2">
        <v>0</v>
      </c>
      <c r="CJ52" s="2" t="s">
        <v>318</v>
      </c>
      <c r="CK52" s="2">
        <v>0</v>
      </c>
      <c r="CL52" s="2">
        <v>0</v>
      </c>
      <c r="CM52" s="2">
        <v>0</v>
      </c>
      <c r="CN52" s="2">
        <v>0</v>
      </c>
      <c r="CO52" s="2">
        <v>0</v>
      </c>
      <c r="CP52" s="2" t="s">
        <v>318</v>
      </c>
      <c r="CQ52" s="2">
        <v>0</v>
      </c>
      <c r="CR52" s="2">
        <v>0</v>
      </c>
      <c r="CS52" s="2">
        <v>0</v>
      </c>
      <c r="CT52" s="2">
        <v>0</v>
      </c>
      <c r="CU52" s="2">
        <v>0</v>
      </c>
      <c r="CV52" s="2" t="s">
        <v>318</v>
      </c>
      <c r="CW52" s="2">
        <v>0</v>
      </c>
      <c r="CX52" s="2">
        <v>0</v>
      </c>
      <c r="CY52" s="2">
        <v>0</v>
      </c>
      <c r="CZ52" s="2">
        <v>0</v>
      </c>
      <c r="DA52" s="2">
        <v>0</v>
      </c>
      <c r="DB52" s="2">
        <v>0.05</v>
      </c>
      <c r="DC52" s="2">
        <v>49</v>
      </c>
      <c r="DD52" s="2">
        <v>0</v>
      </c>
      <c r="DE52" s="2">
        <v>700</v>
      </c>
      <c r="DF52" s="2">
        <v>0</v>
      </c>
      <c r="DG52" s="2">
        <v>203</v>
      </c>
      <c r="DH52" s="2">
        <v>106.5</v>
      </c>
      <c r="DI52" s="2">
        <v>0</v>
      </c>
      <c r="DJ52" s="2">
        <v>0</v>
      </c>
      <c r="DK52" s="2">
        <v>0</v>
      </c>
      <c r="DL52" s="2">
        <v>0</v>
      </c>
      <c r="DM52" s="2">
        <v>0</v>
      </c>
      <c r="DN52" s="2">
        <v>0</v>
      </c>
      <c r="DO52" s="2">
        <v>15.5</v>
      </c>
      <c r="DP52" s="2">
        <v>15</v>
      </c>
      <c r="DQ52" s="2">
        <v>14.5</v>
      </c>
      <c r="DR52" s="18">
        <v>43678</v>
      </c>
      <c r="DS52" s="18">
        <v>44043</v>
      </c>
      <c r="DT52" s="2">
        <v>46800</v>
      </c>
      <c r="DU52" s="2">
        <v>30000</v>
      </c>
      <c r="DV52" s="2">
        <v>574389</v>
      </c>
      <c r="DW52" s="2">
        <v>0</v>
      </c>
      <c r="DX52" s="2">
        <v>0</v>
      </c>
      <c r="DY52" s="2">
        <v>0</v>
      </c>
      <c r="DZ52" s="2">
        <v>26322</v>
      </c>
      <c r="EA52" s="2">
        <v>0</v>
      </c>
      <c r="EB52" s="2">
        <v>0</v>
      </c>
      <c r="EC52" s="2">
        <v>800</v>
      </c>
      <c r="ED52" s="2">
        <v>2000</v>
      </c>
      <c r="EE52" s="2">
        <v>1000</v>
      </c>
      <c r="EF52" s="2">
        <v>4800</v>
      </c>
      <c r="EG52" s="2">
        <v>4500</v>
      </c>
      <c r="EH52" s="2" t="s">
        <v>324</v>
      </c>
      <c r="EI52" s="2">
        <v>0</v>
      </c>
      <c r="EJ52" s="2" t="s">
        <v>324</v>
      </c>
      <c r="EK52" s="2">
        <v>0</v>
      </c>
      <c r="EL52" s="2">
        <v>2418</v>
      </c>
      <c r="EM52" s="2">
        <v>9311</v>
      </c>
      <c r="EN52" s="2">
        <v>855</v>
      </c>
      <c r="EO52" s="2">
        <v>5000</v>
      </c>
      <c r="EP52" s="2">
        <v>2628</v>
      </c>
      <c r="EQ52" s="2">
        <v>0</v>
      </c>
      <c r="ER52" s="2">
        <v>0</v>
      </c>
      <c r="ES52" s="2">
        <v>5153</v>
      </c>
      <c r="ET52" s="2" t="s">
        <v>516</v>
      </c>
      <c r="EU52" s="2">
        <v>646</v>
      </c>
      <c r="EV52" s="2" t="s">
        <v>324</v>
      </c>
      <c r="EW52" s="2">
        <v>0</v>
      </c>
      <c r="EX52" s="2">
        <v>0</v>
      </c>
      <c r="EY52" s="2">
        <v>3560</v>
      </c>
      <c r="EZ52" s="2" t="s">
        <v>326</v>
      </c>
      <c r="FA52" s="2">
        <v>1800</v>
      </c>
      <c r="FB52" s="2" t="s">
        <v>326</v>
      </c>
      <c r="FC52" s="2">
        <v>0</v>
      </c>
      <c r="FD52" s="2">
        <v>52444</v>
      </c>
      <c r="FE52" s="2">
        <v>103</v>
      </c>
      <c r="FF52" s="2">
        <v>55524</v>
      </c>
      <c r="FG52" s="2"/>
      <c r="FH52" s="19">
        <v>44480.626817129632</v>
      </c>
      <c r="FI52" s="2" t="s">
        <v>345</v>
      </c>
      <c r="FJ52" s="2">
        <f>SUM(DATA[[#This Row],[Number of Home support clients:]],DATA[[#This Row],[Number of supported living clients:]])</f>
        <v>26</v>
      </c>
      <c r="FK52"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52"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v>
      </c>
      <c r="FM52"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v>
      </c>
      <c r="FN52"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15</v>
      </c>
      <c r="FO52"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v>
      </c>
      <c r="FP52"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52"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52"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52"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52"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52"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52"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52"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52"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52"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52"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52"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52"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52"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52"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52"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52"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v>
      </c>
      <c r="GG52"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v>
      </c>
      <c r="GH52"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8.8000000000000007</v>
      </c>
      <c r="GI52"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8.8000000000000007</v>
      </c>
      <c r="GJ52"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9.5</v>
      </c>
      <c r="GK52"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9.5</v>
      </c>
      <c r="GL52"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9.3000000000000007</v>
      </c>
      <c r="GM52"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9.3000000000000007</v>
      </c>
      <c r="GN52"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52"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52"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52"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52"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2"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2"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2"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2"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v>
      </c>
      <c r="GW52"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v>
      </c>
      <c r="GX52"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8.8000000000000007</v>
      </c>
      <c r="GY52"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8.8000000000000007</v>
      </c>
      <c r="GZ52"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52"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52"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52"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52"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52"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52"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52"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52"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52"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52"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52"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52"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52"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52"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52"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52"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2"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2"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2"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2"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v>
      </c>
      <c r="HU52"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v>
      </c>
      <c r="HV52"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v>
      </c>
      <c r="HW52"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v>
      </c>
      <c r="HX52"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52"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52"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52"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52"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52"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52"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52"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52"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52"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52"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52"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52"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52"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52"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52"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52"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v>
      </c>
      <c r="IO52"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v>
      </c>
      <c r="IP52"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8.8000000000000007</v>
      </c>
      <c r="IQ52"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8.8000000000000007</v>
      </c>
      <c r="IR52"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9.5</v>
      </c>
      <c r="IS52"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9.5</v>
      </c>
      <c r="IT52"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9.3000000000000007</v>
      </c>
      <c r="IU52"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9.3000000000000007</v>
      </c>
      <c r="IV52"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52"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52"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52"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52"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2"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2"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2"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2"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v>
      </c>
      <c r="JE52"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v>
      </c>
      <c r="JF52"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8.8000000000000007</v>
      </c>
      <c r="JG52"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8.8000000000000007</v>
      </c>
      <c r="JH52"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52"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52"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52"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52"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52"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52"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52"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52"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52"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52"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52"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52"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52"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52"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52"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52"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2"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2"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2"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2"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v>
      </c>
      <c r="KC52" s="21">
        <f>SUM(DATA[[#This Row],[Care Assistant 1: Numbers employed (Full Time Equivalent)]],DATA[[#This Row],[Care Assistant 2: Numbers employed (Full Time Equivalent)]],DATA[[#This Row],[Care Assistant 3: Numbers employed (Full Time Equivalent)]],DATA[[#This Row],[Care Assistant 4: Numbers employed (Full Time Equivalent)]])</f>
        <v>27</v>
      </c>
      <c r="KD52" s="21">
        <f>SUM(DATA[[#This Row],[Administrative Officer 1: Numbers employed (Full Time Equivalent)]],DATA[[#This Row],[Administrative Officer 2: Numbers employed (Full Time Equivalent)]])</f>
        <v>1</v>
      </c>
      <c r="KE52" s="21">
        <f>SUM(DATA[[#This Row],[Other staff 1: Numbers employed (Full Time Equivalent)]],DATA[[#This Row],[Other staff 2: Numbers employed (Full Time Equivalent)]],DATA[[#This Row],[Other staff 3: Numbers employed (Full Time Equivalent)]])</f>
        <v>0</v>
      </c>
      <c r="KF52" s="21">
        <f>SUM(DATA[[#This Row],[Total FTE Management Employees]:[Total FTE Other Employees]])</f>
        <v>29</v>
      </c>
      <c r="KG52" s="21" t="str">
        <f>IF(SUM(DATA[[#This Row],[Home Support service split percentage (Expenditure):]],DATA[[#This Row],[Supported Living service split percentage (Expenditure):]])&gt;0, IF(DATA[[#This Row],[Home Support service split percentage (Expenditure):]]&gt;0.5,"Home Support","Supported Living"), "Unknown")</f>
        <v>Home Support</v>
      </c>
      <c r="KH52" s="21">
        <f>SUM(DATA[[#This Row],[Home Support: Birmingham City Council]:[Home Support: Self-funded]])</f>
        <v>1058.5</v>
      </c>
      <c r="KI52" s="21">
        <f>SUM(DATA[[#This Row],[Supported Living: Birmingham City Council]:[Supported Living: Self-funded]])</f>
        <v>0</v>
      </c>
      <c r="KJ52"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52"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52"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52"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52" s="21" t="b">
        <f>SUM(DATA[[#This Row],[Number of hours of care charged for in last full accounting year]:[Corporate Overheads: Other  - please specify (category) 1]])&gt;0</f>
        <v>1</v>
      </c>
      <c r="KO52" s="21">
        <f>SUM(DATA[[#This Row],[Total annual expenditure: Management staff]:[Total annual expenditure: Training and development]])</f>
        <v>630711</v>
      </c>
      <c r="KP52" s="21">
        <f>SUM(DATA[[#This Row],[Recruitment &amp; advertising (including DBS checks)]:[Non-Staffing Direct Cost: Other  - please specify (amount) 2]])</f>
        <v>13100</v>
      </c>
      <c r="KQ52" s="21">
        <f>SUM(DATA[[#This Row],[Insurance ]:[Indirect costs: Other 2 - please specify (amount)]])</f>
        <v>26011</v>
      </c>
      <c r="KR52" s="21">
        <f>SUM(DATA[[#This Row],[Central / Regional Management]],DATA[[#This Row],[Support Services (finance / HR / Payroll / legal etc.)]],DATA[[#This Row],[Corporate Overheads: Other  - please specify (amount) 1]],DATA[[#This Row],[Corporate Overheads: Other  - please specify (amount) 2]])</f>
        <v>5360</v>
      </c>
      <c r="KS52"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0.64102564102564108</v>
      </c>
      <c r="KT52"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12.27326923076923</v>
      </c>
      <c r="KU52"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52"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52"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52" s="30">
        <f>IF(OR(NOT(DATA[[#This Row],[Total annual expenditure: Travel Cost]]&gt;0),NOT(DATA[[#This Row],[Number of hours of care charged for in last full accounting year]]&gt;0)),0,DATA[[#This Row],[Total annual expenditure: Travel Cost]]/DATA[[#This Row],[Number of hours of care charged for in last full accounting year]])</f>
        <v>0.56243589743589739</v>
      </c>
      <c r="KY52"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52"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52"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1.7094017094017096E-2</v>
      </c>
      <c r="LB52"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4.2735042735042736E-2</v>
      </c>
      <c r="LC52" s="30">
        <f>IF(OR(NOT(DATA[[#This Row],[Care consumables &amp; uniforms]]&gt;0),NOT(DATA[[#This Row],[Number of hours of care charged for in last full accounting year]]&gt;0)),0,DATA[[#This Row],[Care consumables &amp; uniforms]]/DATA[[#This Row],[Number of hours of care charged for in last full accounting year]])</f>
        <v>2.1367521367521368E-2</v>
      </c>
      <c r="LD52" s="30">
        <f>IF(OR(NOT(DATA[[#This Row],[Electronic call monitoring]]&gt;0),NOT(DATA[[#This Row],[Number of hours of care charged for in last full accounting year]]&gt;0)),0,DATA[[#This Row],[Electronic call monitoring]]/DATA[[#This Row],[Number of hours of care charged for in last full accounting year]])</f>
        <v>0.10256410256410256</v>
      </c>
      <c r="LE52" s="30">
        <f>IF(OR(NOT(DATA[[#This Row],[IT Equipment &amp; Telephoney]]&gt;0),NOT(DATA[[#This Row],[Number of hours of care charged for in last full accounting year]]&gt;0)),0,DATA[[#This Row],[IT Equipment &amp; Telephoney]]/DATA[[#This Row],[Number of hours of care charged for in last full accounting year]])</f>
        <v>9.6153846153846159E-2</v>
      </c>
      <c r="LF52"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52"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52" s="30">
        <f>IF(OR(NOT(DATA[[#This Row],[Insurance ]]&gt;0),NOT(DATA[[#This Row],[Number of hours of care charged for in last full accounting year]]&gt;0)),0,DATA[[#This Row],[Insurance ]]/DATA[[#This Row],[Number of hours of care charged for in last full accounting year]])</f>
        <v>5.1666666666666666E-2</v>
      </c>
      <c r="LI52"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0.19895299145299145</v>
      </c>
      <c r="LJ52" s="30">
        <f>IF(OR(NOT(DATA[[#This Row],[Repairs and maintenance]]&gt;0),NOT(DATA[[#This Row],[Number of hours of care charged for in last full accounting year]]&gt;0)),0,DATA[[#This Row],[Repairs and maintenance]]/DATA[[#This Row],[Number of hours of care charged for in last full accounting year]])</f>
        <v>1.826923076923077E-2</v>
      </c>
      <c r="LK52"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0.10683760683760683</v>
      </c>
      <c r="LL52" s="30">
        <f>IF(OR(NOT(DATA[[#This Row],[Registration &amp; Inspection fees ]]&gt;0),NOT(DATA[[#This Row],[Number of hours of care charged for in last full accounting year]]&gt;0)),0,DATA[[#This Row],[Registration &amp; Inspection fees ]]/DATA[[#This Row],[Number of hours of care charged for in last full accounting year]])</f>
        <v>5.6153846153846151E-2</v>
      </c>
      <c r="LM52" s="30">
        <f>IF(OR(NOT(DATA[[#This Row],[Subscriptions]]&gt;0),NOT(DATA[[#This Row],[Number of hours of care charged for in last full accounting year]]&gt;0)),0,DATA[[#This Row],[Subscriptions]]/DATA[[#This Row],[Number of hours of care charged for in last full accounting year]])</f>
        <v>0</v>
      </c>
      <c r="LN52" s="30">
        <f>IF(OR(NOT(DATA[[#This Row],[Cost of finance]]&gt;0),NOT(DATA[[#This Row],[Number of hours of care charged for in last full accounting year]]&gt;0)),0,DATA[[#This Row],[Cost of finance]]/DATA[[#This Row],[Number of hours of care charged for in last full accounting year]])</f>
        <v>0</v>
      </c>
      <c r="LO52" s="30">
        <f>IF(OR(NOT(DATA[[#This Row],[Other non-staff current expenses]]&gt;0),NOT(DATA[[#This Row],[Number of hours of care charged for in last full accounting year]]&gt;0)),0,DATA[[#This Row],[Other non-staff current expenses]]/DATA[[#This Row],[Number of hours of care charged for in last full accounting year]])</f>
        <v>0.11010683760683761</v>
      </c>
      <c r="LP52"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1.3803418803418803E-2</v>
      </c>
      <c r="LQ52"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52" s="30">
        <f>IF(OR(NOT(DATA[[#This Row],[Central / Regional Management]]&gt;0),NOT(DATA[[#This Row],[Number of hours of care charged for in last full accounting year]]&gt;0)),0,DATA[[#This Row],[Central / Regional Management]]/DATA[[#This Row],[Number of hours of care charged for in last full accounting year]])</f>
        <v>0</v>
      </c>
      <c r="LS52"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7.6068376068376062E-2</v>
      </c>
      <c r="LT52"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3.8461538461538464E-2</v>
      </c>
      <c r="LU52"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2" s="30">
        <f>SUM(DATA[[#This Row],[Management staff HOURLY RATE]:[Corporate Overheads: Other  - please specify (amount) 2 HOURLY RATE]])</f>
        <v>14.426965811965808</v>
      </c>
      <c r="LW52" s="30">
        <f>IF(OR(NOT(DATA[[#This Row],[Net Operating Profit]]&gt;0),NOT(DATA[[#This Row],[Number of hours of care charged for in last full accounting year]]&gt;0)),"",DATA[[#This Row],[Net Operating Profit]]/DATA[[#This Row],[Number of hours of care charged for in last full accounting year]])</f>
        <v>1.1205982905982905</v>
      </c>
      <c r="LX52" s="30">
        <f>IF(OR(NOT(DATA[[#This Row],[Return on Capital employed]]&gt;0),NOT(DATA[[#This Row],[Number of hours of care charged for in last full accounting year]]&gt;0)),0,DATA[[#This Row],[Return on Capital employed]]/DATA[[#This Row],[Number of hours of care charged for in last full accounting year]])</f>
        <v>2.200854700854701E-3</v>
      </c>
      <c r="LY52" s="31">
        <v>46</v>
      </c>
      <c r="LZ52" s="30" t="s">
        <v>345</v>
      </c>
      <c r="MA52" s="30" t="b">
        <f>DATA[[#This Row],[Number of Home support clients:]]&gt;0</f>
        <v>1</v>
      </c>
      <c r="MB52" s="30" t="b">
        <f>DATA[[#This Row],[Number of supported living clients:]]&gt;0</f>
        <v>0</v>
      </c>
      <c r="MC52" s="30" t="b">
        <f>DATA[[#This Row],[Total Home Support Hours]]&gt;0</f>
        <v>1</v>
      </c>
      <c r="MD52" s="30" t="b">
        <f>DATA[[#This Row],[Total Supported Living Hours]]&gt;0</f>
        <v>0</v>
      </c>
      <c r="ME52" s="30" t="b">
        <f>DATA[[#This Row],[Home Support service split percentage (Expenditure):]]&gt;0.5</f>
        <v>1</v>
      </c>
      <c r="MF52" s="30" t="b">
        <f>DATA[[#This Row],[Agency staff HOURLY RATE]]=0</f>
        <v>1</v>
      </c>
      <c r="MG52" s="30">
        <f>IFERROR(IF(AVERAGE(DATA[[#This Row],[Registered manager: Current 2021/22 Minimum hourly pay rate ADJUSTED]],DATA[[#This Row],[Registered manager: Current 2021/22 Maximum hourly pay rate ADJUSTED]])&lt;LIVING_WAGE_22_23,DATA[[#This Row],[Registered manager: Numbers employed (Full Time Equivalent)]],0),"")</f>
        <v>0</v>
      </c>
      <c r="MH52" s="30" t="str">
        <f>IFERROR(IF(AVERAGE(DATA[[#This Row],[Deputy manager: Current 2021/22 Minimum hourly pay rate ADJUSTED]],DATA[[#This Row],[Deputy manager: Current 2021/22 Maximum hourly pay rate ADJUSTED]])&lt;LIVING_WAGE_22_23,DATA[[#This Row],[Deputy manager: Numbers employed (Full Time Equivalent)]],0),"")</f>
        <v/>
      </c>
      <c r="MI52" s="30" t="str">
        <f>IFERROR(IF(AVERAGE(DATA[[#This Row],[Other manager 1: Current 2021/22 Minimum hourly pay rate ADJUSTED]],DATA[[#This Row],[Other manager 1: Current 2021/22 Maximum hourly pay rate ADJUSTED]])&lt;LIVING_WAGE_22_23,DATA[[#This Row],[Other manager 1: Numbers employed (Full Time Equivalent)]],0),"")</f>
        <v/>
      </c>
      <c r="MJ52" s="30" t="str">
        <f>IFERROR(IF(AVERAGE(DATA[[#This Row],[Other manager 2: Current 2021/22 Minimum hourly pay rate ADJUSTED]],DATA[[#This Row],[Other manager 2: Current 2021/22 Maximum hourly pay rate ADJUSTED]])&lt;LIVING_WAGE_22_23,DATA[[#This Row],[Other manager 2: Numbers employed (Full Time Equivalent)]],0),"")</f>
        <v/>
      </c>
      <c r="MK52" s="30" t="str">
        <f>IFERROR(IF(AVERAGE(DATA[[#This Row],[Other manager 3: Current 2021/22 Minimum hourly pay rate ADJUSTED]],DATA[[#This Row],[Other manager 3: Current 2021/22 Maximum hourly pay rate ADJUSTED]])&lt;LIVING_WAGE_22_23,DATA[[#This Row],[Other manager 3: Numbers employed (Full Time Equivalent)]],0),"")</f>
        <v/>
      </c>
      <c r="ML52" s="30">
        <f>IFERROR(IF(AVERAGE(DATA[[#This Row],[Care Assistant 1: Current 2021/22 Minimum hourly pay rate ADJUSTED]],DATA[[#This Row],[Care Assistant 1: Current 2021/22 Maximum hourly pay rate ADJUSTED]])&lt;LIVING_WAGE_22_23,DATA[[#This Row],[Care Assistant 1: Numbers employed (Full Time Equivalent)]],0),"")</f>
        <v>22</v>
      </c>
      <c r="MM52" s="30">
        <f>IFERROR(IF(AVERAGE(DATA[[#This Row],[Care Assistant 2: Current 2021/22 Minimum hourly pay rate ADJUSTED]],DATA[[#This Row],[Care Assistant 2: Current 2021/22 Maximum hourly pay rate ADJUSTED]])&lt;LIVING_WAGE_22_23,DATA[[#This Row],[Care Assistant 2: Numbers employed (Full Time Equivalent)]],0),"")</f>
        <v>0</v>
      </c>
      <c r="MN52" s="30" t="str">
        <f>IFERROR(IF(AVERAGE(DATA[[#This Row],[Care Assistant 3: Current 2021/22 Minimum hourly pay rate ADJUSTED]],DATA[[#This Row],[Care Assistant 3: Current 2021/22 Maximum hourly pay rate ADJUSTED]])&lt;LIVING_WAGE_22_23,DATA[[#This Row],[Care Assistant 3: Numbers employed (Full Time Equivalent)]],0),"")</f>
        <v/>
      </c>
      <c r="MO52" s="30" t="str">
        <f>IFERROR(IF(AVERAGE(DATA[[#This Row],[Care Assistant 4: Current 2021/22 Minimum hourly pay rate ADJUSTED]],DATA[[#This Row],[Care Assistant 4: Current 2021/22 Maximum hourly pay rate ADJUSTED]])&lt;LIVING_WAGE_22_23,DATA[[#This Row],[Care Assistant 4: Numbers employed (Full Time Equivalent)]],0),"")</f>
        <v/>
      </c>
      <c r="MP52"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52"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52" s="30" t="str">
        <f>IFERROR(IF(AVERAGE(DATA[[#This Row],[Other staff 1: Current 2021/22 Minimum hourly pay rate ADJUSTED]],DATA[[#This Row],[Other staff 1: Current 2021/22 Maximum hourly pay rate ADJUSTED]])&lt;LIVING_WAGE_22_23,DATA[[#This Row],[Other staff 1: Numbers employed (Full Time Equivalent)]],0),"")</f>
        <v/>
      </c>
      <c r="MS52" s="30" t="str">
        <f>IFERROR(IF(AVERAGE(DATA[[#This Row],[Other staff 2: Current 2021/22 Minimum hourly pay rate ADJUSTED]],DATA[[#This Row],[Other staff 2: Current 2021/22 Maximum hourly pay rate ADJUSTED]])&lt;LIVING_WAGE_22_23,DATA[[#This Row],[Other staff 2: Numbers employed (Full Time Equivalent)]],0),"")</f>
        <v/>
      </c>
      <c r="MT52" s="30" t="str">
        <f>IFERROR(IF(AVERAGE(DATA[[#This Row],[Other staff 3: Current 2021/22 Minimum hourly pay rate ADJUSTED]],DATA[[#This Row],[Other staff 3: Current 2021/22 Maximum hourly pay rate ADJUSTED]])&lt;LIVING_WAGE_22_23,DATA[[#This Row],[Other staff 3: Numbers employed (Full Time Equivalent)]],0),"")</f>
        <v/>
      </c>
      <c r="MU52" s="30">
        <f>SUM(DATA[[#This Row],[Registered Manager FTE earning less than NLW 23yrs 2022/23]:[Other staff 3 FTE earning less than NLW 23yrs 2022/23]])</f>
        <v>23</v>
      </c>
      <c r="MV52"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52"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52"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52"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52"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52"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11</v>
      </c>
      <c r="NB52"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52"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52"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2"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0.5</v>
      </c>
      <c r="NF52"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52"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52"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52"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2" s="30" t="b">
        <v>1</v>
      </c>
      <c r="NK52" s="30" t="b">
        <v>1</v>
      </c>
      <c r="NL52" s="30" t="s">
        <v>505</v>
      </c>
      <c r="NM52" s="30">
        <f>SUM(DATA[[#This Row],[Management staff HOURLY RATE]:[Training and development HOURLY RATE]])</f>
        <v>13.476730769230768</v>
      </c>
      <c r="NN52" s="30">
        <f>SUM(DATA[[#This Row],[Recruitment &amp; advertising (including DBS checks) HOURLY RATE]:[Non-Staffing Direct Cost: Other  - please specify (amount) 2 HOURLY RATE]])</f>
        <v>0.27991452991452992</v>
      </c>
      <c r="NO52" s="30">
        <f>SUM(DATA[[#This Row],[Insurance  HOURLY RATE]:[Indirect costs: Other  - please specify (amount) 2 HOURLY RATE]])</f>
        <v>0.5557905982905984</v>
      </c>
      <c r="NP52" s="30">
        <f>SUM(DATA[[#This Row],[Central / Regional Management HOURLY RATE]:[Corporate Overheads: Other  - please specify (amount) 2 HOURLY RATE]])</f>
        <v>0.11452991452991453</v>
      </c>
      <c r="NQ52"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52" s="30" t="str">
        <f>IFERROR(IF(AVERAGE(DATA[[#This Row],[Deputy manager: Current 2021/22 Minimum hourly pay rate ADJUSTED]],DATA[[#This Row],[Deputy manager: Current 2021/22 Maximum hourly pay rate ADJUSTED]])&lt;REAL_LIVING_WAGE_22_23,DATA[[#This Row],[Deputy manager: Numbers employed (Full Time Equivalent)]],0),"")</f>
        <v/>
      </c>
      <c r="NS52" s="30" t="str">
        <f>IFERROR(IF(AVERAGE(DATA[[#This Row],[Other manager 1: Current 2021/22 Minimum hourly pay rate ADJUSTED]],DATA[[#This Row],[Other manager 1: Current 2021/22 Maximum hourly pay rate ADJUSTED]])&lt;REAL_LIVING_WAGE_22_23,DATA[[#This Row],[Other manager 1: Numbers employed (Full Time Equivalent)]],0),"")</f>
        <v/>
      </c>
      <c r="NT52" s="30" t="str">
        <f>IFERROR(IF(AVERAGE(DATA[[#This Row],[Other manager 2: Current 2021/22 Minimum hourly pay rate ADJUSTED]],DATA[[#This Row],[Other manager 2: Current 2021/22 Maximum hourly pay rate ADJUSTED]])&lt;REAL_LIVING_WAGE_22_23,DATA[[#This Row],[Other manager 2: Numbers employed (Full Time Equivalent)]],0),"")</f>
        <v/>
      </c>
      <c r="NU52" s="30" t="str">
        <f>IFERROR(IF(AVERAGE(DATA[[#This Row],[Other manager 3: Current 2021/22 Minimum hourly pay rate ADJUSTED]],DATA[[#This Row],[Other manager 3: Current 2021/22 Maximum hourly pay rate ADJUSTED]])&lt;REAL_LIVING_WAGE_22_23,DATA[[#This Row],[Other manager 3: Numbers employed (Full Time Equivalent)]],0),"")</f>
        <v/>
      </c>
      <c r="NV52" s="30">
        <f>IFERROR(IF(AVERAGE(DATA[[#This Row],[Care Assistant 1: Current 2021/22 Minimum hourly pay rate ADJUSTED]],DATA[[#This Row],[Care Assistant 1: Current 2021/22 Maximum hourly pay rate ADJUSTED]])&lt;REAL_LIVING_WAGE_22_23,DATA[[#This Row],[Care Assistant 1: Numbers employed (Full Time Equivalent)]],0),"")</f>
        <v>22</v>
      </c>
      <c r="NW52" s="30">
        <f>IFERROR(IF(AVERAGE(DATA[[#This Row],[Care Assistant 2: Current 2021/22 Minimum hourly pay rate ADJUSTED]],DATA[[#This Row],[Care Assistant 2: Current 2021/22 Maximum hourly pay rate ADJUSTED]])&lt;REAL_LIVING_WAGE_22_23,DATA[[#This Row],[Care Assistant 2: Numbers employed (Full Time Equivalent)]],0),"")</f>
        <v>5</v>
      </c>
      <c r="NX52"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52"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2"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52"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52" s="30" t="str">
        <f>IFERROR(IF(AVERAGE(DATA[[#This Row],[Other staff 1: Current 2021/22 Minimum hourly pay rate ADJUSTED]],DATA[[#This Row],[Other staff 1: Current 2021/22 Maximum hourly pay rate ADJUSTED]])&lt;REAL_LIVING_WAGE_22_23,DATA[[#This Row],[Other staff 1: Numbers employed (Full Time Equivalent)]],0),"")</f>
        <v/>
      </c>
      <c r="OC52" s="30" t="str">
        <f>IFERROR(IF(AVERAGE(DATA[[#This Row],[Other staff 2: Current 2021/22 Minimum hourly pay rate ADJUSTED]],DATA[[#This Row],[Other staff 2: Current 2021/22 Maximum hourly pay rate ADJUSTED]])&lt;REAL_LIVING_WAGE_22_23,DATA[[#This Row],[Other staff 2: Numbers employed (Full Time Equivalent)]],0),"")</f>
        <v/>
      </c>
      <c r="OD52" s="30" t="str">
        <f>IFERROR(IF(AVERAGE(DATA[[#This Row],[Other staff 3: Current 2021/22 Minimum hourly pay rate ADJUSTED]],DATA[[#This Row],[Other staff 3: Current 2021/22 Maximum hourly pay rate ADJUSTED]])&lt;REAL_LIVING_WAGE_22_23,DATA[[#This Row],[Other staff 3: Numbers employed (Full Time Equivalent)]],0),"")</f>
        <v/>
      </c>
      <c r="OE52" s="30">
        <f>SUM(DATA[[#This Row],[Registered Manager FTE earning less than RLW 23yrs 2022/23]:[Other staff 3 FTE earning less than RLW 23yrs 2022/23]])</f>
        <v>28</v>
      </c>
      <c r="OF52"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52"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52"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52"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52"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52"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19.800000000000008</v>
      </c>
      <c r="OL52"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2.0000000000000018</v>
      </c>
      <c r="OM52"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52"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2"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0.90000000000000036</v>
      </c>
      <c r="OP52"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52"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52"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52"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2" s="30">
        <f>IFERROR(IF(DATA[[#This Row],[Registered manager: Numbers employed (Full Time Equivalent)]]=0,"",DATA[[#This Row],[Registered manager: Current 2021/22 Minimum hourly pay rate ADJUSTED 2]]*DATA[[#This Row],[Registered manager: Numbers employed (Full Time Equivalent)]]),"")</f>
        <v>15</v>
      </c>
      <c r="OU52" s="30">
        <f>IFERROR(IF(DATA[[#This Row],[Registered manager: Numbers employed (Full Time Equivalent)]]=0,"",DATA[[#This Row],[Registered manager: Current 2021/22 Maximum hourly pay rate ADJUSTED 2]]*DATA[[#This Row],[Registered manager: Numbers employed (Full Time Equivalent)]]),"")</f>
        <v>15</v>
      </c>
      <c r="OV52" s="30">
        <f>IFERROR(IF(DATA[[#This Row],[Registered manager: Numbers employed (Full Time Equivalent)]]=0,"",DATA[[#This Row],[Registered manager: Previous 2020/21 Minimum hourly pay rate ADJUSTED 2]]*DATA[[#This Row],[Registered manager: Numbers employed (Full Time Equivalent)]]),"")</f>
        <v>15</v>
      </c>
      <c r="OW52" s="30">
        <f>IFERROR(IF(DATA[[#This Row],[Registered manager: Numbers employed (Full Time Equivalent)]]=0,"",DATA[[#This Row],[Registered manager: Previous 2020/21 Maximum hourly pay rate ADJUSTED 2]]*DATA[[#This Row],[Registered manager: Numbers employed (Full Time Equivalent)]]),"")</f>
        <v>15</v>
      </c>
      <c r="OX52" s="30" t="str">
        <f>IFERROR(IF(DATA[[#This Row],[Deputy manager: Numbers employed (Full Time Equivalent)]]=0,"",DATA[[#This Row],[Deputy manager: Current 2021/22 Minimum hourly pay rate ADJUSTED 2]]*DATA[[#This Row],[Deputy manager: Numbers employed (Full Time Equivalent)]]),"")</f>
        <v/>
      </c>
      <c r="OY52" s="30" t="str">
        <f>IFERROR(IF(DATA[[#This Row],[Deputy manager: Numbers employed (Full Time Equivalent)]]=0,"",DATA[[#This Row],[Deputy manager: Current 2021/22 Maximum hourly pay rate ADJUSTED 2]]*DATA[[#This Row],[Deputy manager: Numbers employed (Full Time Equivalent)]]),"")</f>
        <v/>
      </c>
      <c r="OZ52" s="30" t="str">
        <f>IFERROR(IF(DATA[[#This Row],[Deputy manager: Numbers employed (Full Time Equivalent)]]=0,"",DATA[[#This Row],[Deputy manager: Previous 2020/21 Minimum hourly pay rate ADJUSTED 2]]*DATA[[#This Row],[Deputy manager: Numbers employed (Full Time Equivalent)]]),"")</f>
        <v/>
      </c>
      <c r="PA52" s="30" t="str">
        <f>IFERROR(IF(DATA[[#This Row],[Deputy manager: Numbers employed (Full Time Equivalent)]]=0,"",DATA[[#This Row],[Deputy manager: Previous 2020/21 Maximum hourly pay rate ADJUSTED 2]]*DATA[[#This Row],[Deputy manager: Numbers employed (Full Time Equivalent)]]),"")</f>
        <v/>
      </c>
      <c r="PB52" s="30" t="str">
        <f>IFERROR(IF(DATA[[#This Row],[Other manager 1: Numbers employed (Full Time Equivalent)]]=0,"",DATA[[#This Row],[Other manager 1: Current 2021/22 Minimum hourly pay rate ADJUSTED 2]]*DATA[[#This Row],[Other manager 1: Numbers employed (Full Time Equivalent)]]),"")</f>
        <v/>
      </c>
      <c r="PC52" s="30" t="str">
        <f>IFERROR(IF(DATA[[#This Row],[Other manager 1: Numbers employed (Full Time Equivalent)]]=0,"",DATA[[#This Row],[Other manager 1: Current 2021/22 Maximum hourly pay rate ADJUSTED 2]]*DATA[[#This Row],[Other manager 1: Numbers employed (Full Time Equivalent)]]),"")</f>
        <v/>
      </c>
      <c r="PD52" s="30" t="str">
        <f>IFERROR(IF(DATA[[#This Row],[Other manager 1: Numbers employed (Full Time Equivalent)]]=0,"",DATA[[#This Row],[Other manager 1: Previous 2020/21 Minimum hourly pay rate ADJUSTED 2]]*DATA[[#This Row],[Other manager 1: Numbers employed (Full Time Equivalent)]]),"")</f>
        <v/>
      </c>
      <c r="PE52" s="30" t="str">
        <f>IFERROR(IF(DATA[[#This Row],[Other manager 1: Numbers employed (Full Time Equivalent)]]=0,"",DATA[[#This Row],[Other manager 1: Previous 2020/21 Maximum hourly pay rate ADJUSTED 2]]*DATA[[#This Row],[Other manager 1: Numbers employed (Full Time Equivalent)]]),"")</f>
        <v/>
      </c>
      <c r="PF52" s="30" t="str">
        <f>IFERROR(IF(DATA[[#This Row],[Other manager 2: Numbers employed (Full Time Equivalent)]]=0,"",DATA[[#This Row],[Other manager 2: Current 2021/22 Minimum hourly pay rate ADJUSTED 2]]*DATA[[#This Row],[Other manager 2: Numbers employed (Full Time Equivalent)]]),"")</f>
        <v/>
      </c>
      <c r="PG52" s="30" t="str">
        <f>IFERROR(IF(DATA[[#This Row],[Other manager 2: Numbers employed (Full Time Equivalent)]]=0,"",DATA[[#This Row],[Other manager 2: Current 2021/22 Maximum hourly pay rate ADJUSTED 2]]*DATA[[#This Row],[Other manager 2: Numbers employed (Full Time Equivalent)]]),"")</f>
        <v/>
      </c>
      <c r="PH52" s="30" t="str">
        <f>IFERROR(IF(DATA[[#This Row],[Other manager 2: Numbers employed (Full Time Equivalent)]]=0,"",DATA[[#This Row],[Other manager 2: Previous 2020/21 Minimum hourly pay rate ADJUSTED 2]]*DATA[[#This Row],[Other manager 2: Numbers employed (Full Time Equivalent)]]),"")</f>
        <v/>
      </c>
      <c r="PI52" s="30" t="str">
        <f>IFERROR(IF(DATA[[#This Row],[Other manager 2: Numbers employed (Full Time Equivalent)]]=0,"",DATA[[#This Row],[Other manager 2: Previous 2020/21 Maximum hourly pay rate ADJUSTED 2]]*DATA[[#This Row],[Other manager 2: Numbers employed (Full Time Equivalent)]]),"")</f>
        <v/>
      </c>
      <c r="PJ52" s="30" t="str">
        <f>IFERROR(IF(DATA[[#This Row],[Other manager 3: Numbers employed (Full Time Equivalent)]]=0,"",DATA[[#This Row],[Other manager 3: Current 2021/22 Minimum hourly pay rate ADJUSTED 2]]*DATA[[#This Row],[Other manager 3: Numbers employed (Full Time Equivalent)]]),"")</f>
        <v/>
      </c>
      <c r="PK52" s="30" t="str">
        <f>IFERROR(IF(DATA[[#This Row],[Other manager 3: Numbers employed (Full Time Equivalent)]]=0,"",DATA[[#This Row],[Other manager 3: Current 2021/22 Maximum hourly pay rate ADJUSTED 2]]*DATA[[#This Row],[Other manager 3: Numbers employed (Full Time Equivalent)]]),"")</f>
        <v/>
      </c>
      <c r="PL52" s="30" t="str">
        <f>IFERROR(IF(DATA[[#This Row],[Other manager 3: Numbers employed (Full Time Equivalent)]]=0,"",DATA[[#This Row],[Other manager 3: Previous 2020/21 Minimum hourly pay rate ADJUSTED 2]]*DATA[[#This Row],[Other manager 3: Numbers employed (Full Time Equivalent)]]),"")</f>
        <v/>
      </c>
      <c r="PM52" s="30" t="str">
        <f>IFERROR(IF(DATA[[#This Row],[Other manager 3: Numbers employed (Full Time Equivalent)]]=0,"",DATA[[#This Row],[Other manager 3: Previous 2020/21 Maximum hourly pay rate ADJUSTED 2]]*DATA[[#This Row],[Other manager 3: Numbers employed (Full Time Equivalent)]]),"")</f>
        <v/>
      </c>
      <c r="PN52" s="30">
        <f>IFERROR(IF(DATA[[#This Row],[Care Assistant 1: Numbers employed (Full Time Equivalent)]]=0,"",DATA[[#This Row],[Care Assistant 1: Current 2021/22 Minimum hourly pay rate ADJUSTED 2]]*DATA[[#This Row],[Care Assistant 1: Numbers employed (Full Time Equivalent)]]),"")</f>
        <v>198</v>
      </c>
      <c r="PO52" s="30">
        <f>IFERROR(IF(DATA[[#This Row],[Care Assistant 1: Numbers employed (Full Time Equivalent)]]=0,"",DATA[[#This Row],[Care Assistant 1: Current 2021/22 Maximum hourly pay rate ADJUSTED 2]]*DATA[[#This Row],[Care Assistant 1: Numbers employed (Full Time Equivalent)]]),"")</f>
        <v>198</v>
      </c>
      <c r="PP52" s="30">
        <f>IFERROR(IF(DATA[[#This Row],[Care Assistant 1: Numbers employed (Full Time Equivalent)]]=0,"",DATA[[#This Row],[Care Assistant 1: Previous 2020/21 Minimum hourly pay rate ADJUSTED 2]]*DATA[[#This Row],[Care Assistant 1: Numbers employed (Full Time Equivalent)]]),"")</f>
        <v>193.60000000000002</v>
      </c>
      <c r="PQ52" s="30">
        <f>IFERROR(IF(DATA[[#This Row],[Care Assistant 1: Numbers employed (Full Time Equivalent)]]=0,"",DATA[[#This Row],[Care Assistant 1: Previous 2020/21 Maximum hourly pay rate ADJUSTED 2]]*DATA[[#This Row],[Care Assistant 1: Numbers employed (Full Time Equivalent)]]),"")</f>
        <v>193.60000000000002</v>
      </c>
      <c r="PR52" s="30">
        <f>IFERROR(IF(DATA[[#This Row],[Care Assistant 2: Numbers employed (Full Time Equivalent)]]=0,"",DATA[[#This Row],[Care Assistant 2: Current 2021/22 Minimum hourly pay rate ADJUSTED 2]]*DATA[[#This Row],[Care Assistant 2: Numbers employed (Full Time Equivalent)]]),"")</f>
        <v>47.5</v>
      </c>
      <c r="PS52" s="30">
        <f>IFERROR(IF(DATA[[#This Row],[Care Assistant 2: Numbers employed (Full Time Equivalent)]]=0,"",DATA[[#This Row],[Care Assistant 2: Current 2021/22 Maximum hourly pay rate ADJUSTED 2]]*DATA[[#This Row],[Care Assistant 2: Numbers employed (Full Time Equivalent)]]),"")</f>
        <v>47.5</v>
      </c>
      <c r="PT52" s="30">
        <f>IFERROR(IF(DATA[[#This Row],[Care Assistant 2: Numbers employed (Full Time Equivalent)]]=0,"",DATA[[#This Row],[Care Assistant 2: Previous 2020/21 Minimum hourly pay rate ADJUSTED 2]]*DATA[[#This Row],[Care Assistant 2: Numbers employed (Full Time Equivalent)]]),"")</f>
        <v>46.5</v>
      </c>
      <c r="PU52" s="30">
        <f>IFERROR(IF(DATA[[#This Row],[Care Assistant 2: Numbers employed (Full Time Equivalent)]]=0,"",DATA[[#This Row],[Care Assistant 2: Previous 2020/21 Maximum hourly pay rate ADJUSTED 2]]*DATA[[#This Row],[Care Assistant 2: Numbers employed (Full Time Equivalent)]]),"")</f>
        <v>46.5</v>
      </c>
      <c r="PV52" s="30" t="str">
        <f>IFERROR(IF(DATA[[#This Row],[Care Assistant 3: Numbers employed (Full Time Equivalent)]]=0,"",DATA[[#This Row],[Care Assistant 3: Current 2021/22 Minimum hourly pay rate ADJUSTED 2]]*DATA[[#This Row],[Care Assistant 3: Numbers employed (Full Time Equivalent)]]),"")</f>
        <v/>
      </c>
      <c r="PW52" s="30" t="str">
        <f>IFERROR(IF(DATA[[#This Row],[Care Assistant 3: Numbers employed (Full Time Equivalent)]]=0,"",DATA[[#This Row],[Care Assistant 3: Current 2021/22 Maximum hourly pay rate ADJUSTED 2]]*DATA[[#This Row],[Care Assistant 3: Numbers employed (Full Time Equivalent)]]),"")</f>
        <v/>
      </c>
      <c r="PX52" s="30" t="str">
        <f>IFERROR(IF(DATA[[#This Row],[Care Assistant 3: Numbers employed (Full Time Equivalent)]]=0,"",DATA[[#This Row],[Care Assistant 3: Previous 2020/21 Minimum hourly pay rate ADJUSTED 2]]*DATA[[#This Row],[Care Assistant 3: Numbers employed (Full Time Equivalent)]]),"")</f>
        <v/>
      </c>
      <c r="PY52" s="30" t="str">
        <f>IFERROR(IF(DATA[[#This Row],[Care Assistant 3: Numbers employed (Full Time Equivalent)]]=0,"",DATA[[#This Row],[Care Assistant 3: Previous 2020/21 Maximum hourly pay rate ADJUSTED 2]]*DATA[[#This Row],[Care Assistant 3: Numbers employed (Full Time Equivalent)]]),"")</f>
        <v/>
      </c>
      <c r="PZ52" s="30" t="str">
        <f>IFERROR(IF(DATA[[#This Row],[Care Assistant 4: Numbers employed (Full Time Equivalent)]]=0,"",DATA[[#This Row],[Care Assistant 4: Current 2021/22 Minimum hourly pay rate ADJUSTED 2]]*DATA[[#This Row],[Care Assistant 4: Numbers employed (Full Time Equivalent)]]),"")</f>
        <v/>
      </c>
      <c r="QA52" s="30" t="str">
        <f>IFERROR(IF(DATA[[#This Row],[Care Assistant 4: Numbers employed (Full Time Equivalent)]]=0,"",DATA[[#This Row],[Care Assistant 4: Current 2021/22 Maximum hourly pay rate ADJUSTED 2]]*DATA[[#This Row],[Care Assistant 4: Numbers employed (Full Time Equivalent)]]),"")</f>
        <v/>
      </c>
      <c r="QB52" s="30" t="str">
        <f>IFERROR(IF(DATA[[#This Row],[Care Assistant 4: Numbers employed (Full Time Equivalent)]]=0,"",DATA[[#This Row],[Care Assistant 4: Previous 2020/21 Minimum hourly pay rate ADJUSTED 2]]*DATA[[#This Row],[Care Assistant 4: Numbers employed (Full Time Equivalent)]]),"")</f>
        <v/>
      </c>
      <c r="QC52" s="30" t="str">
        <f>IFERROR(IF(DATA[[#This Row],[Care Assistant 4: Numbers employed (Full Time Equivalent)]]=0,"",DATA[[#This Row],[Care Assistant 4: Previous 2020/21 Maximum hourly pay rate ADJUSTED 2]]*DATA[[#This Row],[Care Assistant 4: Numbers employed (Full Time Equivalent)]]),"")</f>
        <v/>
      </c>
      <c r="QD52" s="30">
        <f>IFERROR(IF(DATA[[#This Row],[Administrative Officer 1: Numbers employed (Full Time Equivalent)]]=0,"",DATA[[#This Row],[Administrative Officer 1: Current 2021/22 Minimum hourly pay rate ADJUSTED 2]]*DATA[[#This Row],[Administrative Officer 1: Numbers employed (Full Time Equivalent)]]),"")</f>
        <v>9</v>
      </c>
      <c r="QE52" s="30">
        <f>IFERROR(IF(DATA[[#This Row],[Administrative Officer 1: Numbers employed (Full Time Equivalent)]]=0,"",DATA[[#This Row],[Administrative Officer 1: Current 2021/22 Maximum hourly pay rate ADJUSTED 2]]*DATA[[#This Row],[Administrative Officer 1: Numbers employed (Full Time Equivalent)]]),"")</f>
        <v>9</v>
      </c>
      <c r="QF52" s="30">
        <f>IFERROR(IF(DATA[[#This Row],[Administrative Officer 1: Numbers employed (Full Time Equivalent)]]=0,"",DATA[[#This Row],[Administrative Officer 1: Previous 2020/21 Minimum hourly pay rate ADJUSTED 2]]*DATA[[#This Row],[Administrative Officer 1: Numbers employed (Full Time Equivalent)]]),"")</f>
        <v>8.8000000000000007</v>
      </c>
      <c r="QG52" s="30">
        <f>IFERROR(IF(DATA[[#This Row],[Administrative Officer 1: Numbers employed (Full Time Equivalent)]]=0,"",DATA[[#This Row],[Administrative Officer 1: Previous 2020/21 Maximum hourly pay rate ADJUSTED 2]]*DATA[[#This Row],[Administrative Officer 1: Numbers employed (Full Time Equivalent)]]),"")</f>
        <v>8.8000000000000007</v>
      </c>
      <c r="QH52" s="30" t="str">
        <f>IFERROR(IF(DATA[[#This Row],[Administrative Officer 2: Numbers employed (Full Time Equivalent)]]=0,"",DATA[[#This Row],[Administrative Officer 2: Current 2021/22 Minimum hourly pay rate ADJUSTED 2]]*DATA[[#This Row],[Administrative Officer 2: Numbers employed (Full Time Equivalent)]]),"")</f>
        <v/>
      </c>
      <c r="QI52" s="30" t="str">
        <f>IFERROR(IF(DATA[[#This Row],[Administrative Officer 2: Numbers employed (Full Time Equivalent)]]=0,"",DATA[[#This Row],[Administrative Officer 2: Current 2021/22 Maximum hourly pay rate ADJUSTED 2]]*DATA[[#This Row],[Administrative Officer 2: Numbers employed (Full Time Equivalent)]]),"")</f>
        <v/>
      </c>
      <c r="QJ52" s="30" t="str">
        <f>IFERROR(IF(DATA[[#This Row],[Administrative Officer 2: Numbers employed (Full Time Equivalent)]]=0,"",DATA[[#This Row],[Administrative Officer 2: Previous 2020/21 Minimum hourly pay rate ADJUSTED 2]]*DATA[[#This Row],[Administrative Officer 2: Numbers employed (Full Time Equivalent)]]),"")</f>
        <v/>
      </c>
      <c r="QK52" s="30" t="str">
        <f>IFERROR(IF(DATA[[#This Row],[Administrative Officer 2: Numbers employed (Full Time Equivalent)]]=0,"",DATA[[#This Row],[Administrative Officer 2: Previous 2020/21 Maximum hourly pay rate ADJUSTED 2]]*DATA[[#This Row],[Administrative Officer 2: Numbers employed (Full Time Equivalent)]]),"")</f>
        <v/>
      </c>
      <c r="QL52" s="30" t="str">
        <f>IFERROR(IF(DATA[[#This Row],[Administrative Officer 3: Numbers employed (Full Time Equivalent)]]=0,"",DATA[[#This Row],[Administrative Officer 3: Current 2021/22 Minimum hourly pay rate ADJUSTED 2]]*DATA[[#This Row],[Administrative Officer 3: Numbers employed (Full Time Equivalent)]]),"")</f>
        <v/>
      </c>
      <c r="QM52" s="30" t="str">
        <f>IFERROR(IF(DATA[[#This Row],[Administrative Officer 3: Numbers employed (Full Time Equivalent)]]=0,"",DATA[[#This Row],[Administrative Officer 3: Current 2021/22 Maximum hourly pay rate ADJUSTED 2]]*DATA[[#This Row],[Administrative Officer 3: Numbers employed (Full Time Equivalent)]]),"")</f>
        <v/>
      </c>
      <c r="QN52" s="30" t="str">
        <f>IFERROR(IF(DATA[[#This Row],[Administrative Officer 3: Numbers employed (Full Time Equivalent)]]=0,"",DATA[[#This Row],[Administrative Officer 3: Previous 2020/21 Minimum hourly pay rate ADJUSTED 2]]*DATA[[#This Row],[Administrative Officer 3: Numbers employed (Full Time Equivalent)]]),"")</f>
        <v/>
      </c>
      <c r="QO52" s="30" t="str">
        <f>IFERROR(IF(DATA[[#This Row],[Administrative Officer 3: Numbers employed (Full Time Equivalent)]]=0,"",DATA[[#This Row],[Administrative Officer 3: Previous 2020/21 Maximum hourly pay rate ADJUSTED 2]]*DATA[[#This Row],[Administrative Officer 3: Numbers employed (Full Time Equivalent)]]),"")</f>
        <v/>
      </c>
      <c r="QP52" s="28" t="str">
        <f>IFERROR(IF(DATA[[#This Row],[Other staff 1: Numbers employed (Full Time Equivalent)]]=0,"",DATA[[#This Row],[Other staff 1: Current 2021/22 Minimum hourly pay rate ADJUSTED 2]]*DATA[[#This Row],[Other staff 1: Numbers employed (Full Time Equivalent)]]),"")</f>
        <v/>
      </c>
      <c r="QQ52" s="28" t="str">
        <f>IFERROR(IF(DATA[[#This Row],[Other staff 1: Numbers employed (Full Time Equivalent)]]=0,"",DATA[[#This Row],[Other staff 1: Current 2021/22 Maximum hourly pay rate ADJUSTED 2]]*DATA[[#This Row],[Other staff 1: Numbers employed (Full Time Equivalent)]]),"")</f>
        <v/>
      </c>
      <c r="QR52" s="28" t="str">
        <f>IFERROR(IF(DATA[[#This Row],[Other staff 1: Numbers employed (Full Time Equivalent)]]=0,"",DATA[[#This Row],[Other staff 1: Previous 2020/21 Minimum hourly pay rate ADJUSTED 2]]*DATA[[#This Row],[Other staff 1: Numbers employed (Full Time Equivalent)]]),"")</f>
        <v/>
      </c>
      <c r="QS52" s="28" t="str">
        <f>IFERROR(IF(DATA[[#This Row],[Other staff 1: Numbers employed (Full Time Equivalent)]]=0,"",DATA[[#This Row],[Other staff 1: Previous 2020/21 Maximum hourly pay rate ADJUSTED 2]]*DATA[[#This Row],[Other staff 1: Numbers employed (Full Time Equivalent)]]),"")</f>
        <v/>
      </c>
      <c r="QT52" s="28" t="str">
        <f>IFERROR(IF(DATA[[#This Row],[Other staff 2: Numbers employed (Full Time Equivalent)]]=0,"",DATA[[#This Row],[Other staff 2: Current 2021/22 Minimum hourly pay rate ADJUSTED 2]]*DATA[[#This Row],[Other staff 2: Numbers employed (Full Time Equivalent)]]),"")</f>
        <v/>
      </c>
      <c r="QU52" s="28" t="str">
        <f>IFERROR(IF(DATA[[#This Row],[Other staff 2: Numbers employed (Full Time Equivalent)]]=0,"",DATA[[#This Row],[Other staff 2: Current 2021/22 Maximum hourly pay rate ADJUSTED 2]]*DATA[[#This Row],[Other staff 2: Numbers employed (Full Time Equivalent)]]),"")</f>
        <v/>
      </c>
      <c r="QV52" s="28" t="str">
        <f>IFERROR(IF(DATA[[#This Row],[Other staff 2: Numbers employed (Full Time Equivalent)]]=0,"",DATA[[#This Row],[Other staff 2: Previous 2020/21 Minimum hourly pay rate ADJUSTED 2]]*DATA[[#This Row],[Other staff 2: Numbers employed (Full Time Equivalent)]]),"")</f>
        <v/>
      </c>
      <c r="QW52" s="28" t="str">
        <f>IFERROR(IF(DATA[[#This Row],[Other staff 2: Numbers employed (Full Time Equivalent)]]=0,"",DATA[[#This Row],[Other staff 2: Previous 2020/21 Maximum hourly pay rate ADJUSTED 2]]*DATA[[#This Row],[Other staff 2: Numbers employed (Full Time Equivalent)]]),"")</f>
        <v/>
      </c>
      <c r="QX52" s="28" t="str">
        <f>IFERROR(IF(DATA[[#This Row],[Other staff 3: Numbers employed (Full Time Equivalent)]]=0,"",DATA[[#This Row],[Other staff 3: Current 2021/22 Minimum hourly pay rate ADJUSTED 2]]*DATA[[#This Row],[Other staff 3: Numbers employed (Full Time Equivalent)]]),"")</f>
        <v/>
      </c>
      <c r="QY52" s="28" t="str">
        <f>IFERROR(IF(DATA[[#This Row],[Other staff 3: Numbers employed (Full Time Equivalent)]]=0,"",DATA[[#This Row],[Other staff 3: Current 2021/22 Maximum hourly pay rate ADJUSTED 2]]*DATA[[#This Row],[Other staff 3: Numbers employed (Full Time Equivalent)]]),"")</f>
        <v/>
      </c>
      <c r="QZ52" s="28" t="str">
        <f>IFERROR(IF(DATA[[#This Row],[Other staff 3: Numbers employed (Full Time Equivalent)]]=0,"",DATA[[#This Row],[Other staff 3: Previous 2020/21 Minimum hourly pay rate ADJUSTED 2]]*DATA[[#This Row],[Other staff 3: Numbers employed (Full Time Equivalent)]]),"")</f>
        <v/>
      </c>
      <c r="RA52" s="28" t="str">
        <f>IFERROR(IF(DATA[[#This Row],[Other staff 3: Numbers employed (Full Time Equivalent)]]=0,"",DATA[[#This Row],[Other staff 3: Previous 2020/21 Maximum hourly pay rate ADJUSTED 2]]*DATA[[#This Row],[Other staff 3: Numbers employed (Full Time Equivalent)]]),"")</f>
        <v/>
      </c>
      <c r="RB52"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52"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52"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52"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52"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52"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22</v>
      </c>
      <c r="RH52"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5</v>
      </c>
      <c r="RI52"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52"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2"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52"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52"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52"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52"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52"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3" spans="7:484" x14ac:dyDescent="0.25">
      <c r="G53" s="2">
        <v>47</v>
      </c>
      <c r="H53" s="2">
        <v>65</v>
      </c>
      <c r="I53" s="2">
        <v>0</v>
      </c>
      <c r="J53" s="2">
        <v>1</v>
      </c>
      <c r="K53" s="2">
        <v>0</v>
      </c>
      <c r="L53" s="2" t="s">
        <v>328</v>
      </c>
      <c r="M53" s="2" t="s">
        <v>365</v>
      </c>
      <c r="R53" s="2">
        <v>13.5</v>
      </c>
      <c r="S53" s="2">
        <v>14.5</v>
      </c>
      <c r="T53" s="2">
        <v>13</v>
      </c>
      <c r="U53" s="2">
        <v>13.5</v>
      </c>
      <c r="V53" s="2">
        <v>1</v>
      </c>
      <c r="W53" s="2">
        <v>0</v>
      </c>
      <c r="X53" s="2">
        <v>0</v>
      </c>
      <c r="Y53" s="2">
        <v>0</v>
      </c>
      <c r="Z53" s="2">
        <v>0</v>
      </c>
      <c r="AA53" s="2">
        <v>0</v>
      </c>
      <c r="AB53" s="2" t="s">
        <v>315</v>
      </c>
      <c r="AC53" s="2">
        <v>12.7</v>
      </c>
      <c r="AD53" s="2">
        <v>13.5</v>
      </c>
      <c r="AE53" s="2">
        <v>12.5</v>
      </c>
      <c r="AF53" s="2">
        <v>12.7</v>
      </c>
      <c r="AG53" s="2">
        <v>1</v>
      </c>
      <c r="AH53" s="2" t="s">
        <v>487</v>
      </c>
      <c r="AI53" s="2">
        <v>12</v>
      </c>
      <c r="AJ53" s="2">
        <v>12.5</v>
      </c>
      <c r="AK53" s="2">
        <v>12</v>
      </c>
      <c r="AL53" s="2">
        <v>12.5</v>
      </c>
      <c r="AM53" s="2">
        <v>3</v>
      </c>
      <c r="AN53" s="2" t="s">
        <v>517</v>
      </c>
      <c r="AO53" s="2">
        <v>13</v>
      </c>
      <c r="AP53" s="2">
        <v>13.5</v>
      </c>
      <c r="AQ53" s="2">
        <v>0</v>
      </c>
      <c r="AR53" s="2">
        <v>0</v>
      </c>
      <c r="AS53" s="2">
        <v>2</v>
      </c>
      <c r="AT53" s="2" t="s">
        <v>316</v>
      </c>
      <c r="AU53" s="2">
        <v>9</v>
      </c>
      <c r="AV53" s="2">
        <v>9.25</v>
      </c>
      <c r="AW53" s="2">
        <v>0</v>
      </c>
      <c r="AX53" s="2">
        <v>0</v>
      </c>
      <c r="AY53" s="2">
        <v>62</v>
      </c>
      <c r="AZ53" s="2" t="s">
        <v>316</v>
      </c>
      <c r="BA53" s="2">
        <v>0</v>
      </c>
      <c r="BB53" s="2">
        <v>0</v>
      </c>
      <c r="BC53" s="2">
        <v>0</v>
      </c>
      <c r="BD53" s="2">
        <v>0</v>
      </c>
      <c r="BE53" s="2">
        <v>0</v>
      </c>
      <c r="BF53" s="2" t="s">
        <v>316</v>
      </c>
      <c r="BG53" s="2">
        <v>0</v>
      </c>
      <c r="BH53" s="2">
        <v>0</v>
      </c>
      <c r="BI53" s="2">
        <v>0</v>
      </c>
      <c r="BJ53" s="2">
        <v>0</v>
      </c>
      <c r="BK53" s="2">
        <v>0</v>
      </c>
      <c r="BL53" s="2" t="s">
        <v>316</v>
      </c>
      <c r="BM53" s="2">
        <v>0</v>
      </c>
      <c r="BN53" s="2">
        <v>0</v>
      </c>
      <c r="BO53" s="2">
        <v>0</v>
      </c>
      <c r="BP53" s="2">
        <v>0</v>
      </c>
      <c r="BQ53" s="2">
        <v>0</v>
      </c>
      <c r="BR53" s="2" t="s">
        <v>518</v>
      </c>
      <c r="BS53" s="2">
        <v>9.25</v>
      </c>
      <c r="BT53" s="2">
        <v>10</v>
      </c>
      <c r="BU53" s="2">
        <v>0</v>
      </c>
      <c r="BV53" s="2">
        <v>0</v>
      </c>
      <c r="BW53" s="2">
        <v>2</v>
      </c>
      <c r="BX53" s="2" t="s">
        <v>317</v>
      </c>
      <c r="BY53" s="2">
        <v>0</v>
      </c>
      <c r="BZ53" s="2">
        <v>0</v>
      </c>
      <c r="CA53" s="2">
        <v>0</v>
      </c>
      <c r="CB53" s="2">
        <v>0</v>
      </c>
      <c r="CC53" s="2">
        <v>0</v>
      </c>
      <c r="CD53" s="2" t="s">
        <v>317</v>
      </c>
      <c r="CE53" s="2">
        <v>0</v>
      </c>
      <c r="CF53" s="2">
        <v>0</v>
      </c>
      <c r="CG53" s="2">
        <v>0</v>
      </c>
      <c r="CH53" s="2">
        <v>0</v>
      </c>
      <c r="CI53" s="2">
        <v>0</v>
      </c>
      <c r="CJ53" s="2" t="s">
        <v>318</v>
      </c>
      <c r="CK53" s="2">
        <v>0</v>
      </c>
      <c r="CL53" s="2">
        <v>0</v>
      </c>
      <c r="CM53" s="2">
        <v>0</v>
      </c>
      <c r="CN53" s="2">
        <v>0</v>
      </c>
      <c r="CO53" s="2">
        <v>0</v>
      </c>
      <c r="CP53" s="2" t="s">
        <v>318</v>
      </c>
      <c r="CQ53" s="2">
        <v>0</v>
      </c>
      <c r="CR53" s="2">
        <v>0</v>
      </c>
      <c r="CS53" s="2">
        <v>0</v>
      </c>
      <c r="CT53" s="2">
        <v>0</v>
      </c>
      <c r="CU53" s="2">
        <v>0</v>
      </c>
      <c r="CV53" s="2" t="s">
        <v>318</v>
      </c>
      <c r="CW53" s="2">
        <v>0</v>
      </c>
      <c r="CX53" s="2">
        <v>0</v>
      </c>
      <c r="CY53" s="2">
        <v>0</v>
      </c>
      <c r="CZ53" s="2">
        <v>0</v>
      </c>
      <c r="DA53" s="2">
        <v>0</v>
      </c>
      <c r="DB53" s="2">
        <v>0.6</v>
      </c>
      <c r="DC53" s="2">
        <v>1.5</v>
      </c>
      <c r="DD53" s="2">
        <v>210</v>
      </c>
      <c r="DE53" s="2">
        <v>643</v>
      </c>
      <c r="DF53" s="2">
        <v>0</v>
      </c>
      <c r="DG53" s="2">
        <v>471</v>
      </c>
      <c r="DH53" s="2">
        <v>65</v>
      </c>
      <c r="DI53" s="2">
        <v>0</v>
      </c>
      <c r="DJ53" s="2">
        <v>0</v>
      </c>
      <c r="DK53" s="2">
        <v>0</v>
      </c>
      <c r="DL53" s="2">
        <v>0</v>
      </c>
      <c r="DM53" s="2">
        <v>0</v>
      </c>
      <c r="DN53" s="2">
        <v>0</v>
      </c>
      <c r="DO53" s="2">
        <v>15.65</v>
      </c>
      <c r="DP53" s="2">
        <v>18.55</v>
      </c>
      <c r="DQ53" s="2">
        <v>15</v>
      </c>
      <c r="DR53" s="18">
        <v>43922</v>
      </c>
      <c r="DS53" s="18">
        <v>44286</v>
      </c>
      <c r="DT53" s="2">
        <v>65854</v>
      </c>
      <c r="DU53" s="2">
        <v>45446.25</v>
      </c>
      <c r="DV53" s="2">
        <v>796185.63</v>
      </c>
      <c r="DW53" s="2">
        <v>118955.19</v>
      </c>
      <c r="DX53" s="2">
        <v>0</v>
      </c>
      <c r="DY53" s="2">
        <v>0</v>
      </c>
      <c r="DZ53" s="2">
        <v>0</v>
      </c>
      <c r="EA53" s="2">
        <v>0</v>
      </c>
      <c r="EB53" s="2">
        <v>9013.94</v>
      </c>
      <c r="EC53" s="2">
        <v>6583.57</v>
      </c>
      <c r="ED53" s="2">
        <v>1565</v>
      </c>
      <c r="EE53" s="2">
        <v>9461.14</v>
      </c>
      <c r="EF53" s="2">
        <v>21313.51</v>
      </c>
      <c r="EG53" s="2">
        <v>17465.62</v>
      </c>
      <c r="EH53" s="2" t="s">
        <v>519</v>
      </c>
      <c r="EI53" s="2">
        <v>32863.1</v>
      </c>
      <c r="EJ53" s="2" t="s">
        <v>520</v>
      </c>
      <c r="EK53" s="2">
        <v>6063.54</v>
      </c>
      <c r="EL53" s="2">
        <v>8120.37</v>
      </c>
      <c r="EM53" s="2">
        <v>2156.92</v>
      </c>
      <c r="EN53" s="2">
        <v>152.1</v>
      </c>
      <c r="EO53" s="2">
        <v>11043.76</v>
      </c>
      <c r="EP53" s="2">
        <v>0</v>
      </c>
      <c r="EQ53" s="2">
        <v>0</v>
      </c>
      <c r="ER53" s="2">
        <v>12838.03</v>
      </c>
      <c r="ES53" s="2">
        <v>0</v>
      </c>
      <c r="ET53" s="2" t="s">
        <v>521</v>
      </c>
      <c r="EU53" s="2">
        <v>14488.57</v>
      </c>
      <c r="EV53" s="2" t="s">
        <v>522</v>
      </c>
      <c r="EW53" s="2">
        <v>4197.5600000000004</v>
      </c>
      <c r="EX53" s="2">
        <v>0</v>
      </c>
      <c r="EY53" s="2">
        <v>0</v>
      </c>
      <c r="EZ53" s="2" t="s">
        <v>326</v>
      </c>
      <c r="FA53" s="2">
        <v>0</v>
      </c>
      <c r="FB53" s="2" t="s">
        <v>326</v>
      </c>
      <c r="FC53" s="2">
        <v>0</v>
      </c>
      <c r="FD53" s="2"/>
      <c r="FE53" s="2">
        <v>0</v>
      </c>
      <c r="FF53" s="2">
        <v>0</v>
      </c>
      <c r="FG53" s="2"/>
      <c r="FH53" s="19">
        <v>44480.626840277779</v>
      </c>
      <c r="FI53" s="2" t="s">
        <v>345</v>
      </c>
      <c r="FJ53" s="2">
        <f>SUM(DATA[[#This Row],[Number of Home support clients:]],DATA[[#This Row],[Number of supported living clients:]])</f>
        <v>65</v>
      </c>
      <c r="FK53"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61-70</v>
      </c>
      <c r="FL53"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13.5</v>
      </c>
      <c r="FM53"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14.5</v>
      </c>
      <c r="FN53"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13</v>
      </c>
      <c r="FO53"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13.5</v>
      </c>
      <c r="FP53"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53"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53"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53"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53"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12.7</v>
      </c>
      <c r="FU53"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13.5</v>
      </c>
      <c r="FV53"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12.5</v>
      </c>
      <c r="FW53"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12.7</v>
      </c>
      <c r="FX53"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12</v>
      </c>
      <c r="FY53"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12.5</v>
      </c>
      <c r="FZ53"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12</v>
      </c>
      <c r="GA53"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12.5</v>
      </c>
      <c r="GB53"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13</v>
      </c>
      <c r="GC53"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13.5</v>
      </c>
      <c r="GD53"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53"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53"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v>
      </c>
      <c r="GG53"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9.25</v>
      </c>
      <c r="GH53"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53"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53"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53"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53"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53"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53"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53"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53"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53"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53"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3"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3"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3"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3"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9.25</v>
      </c>
      <c r="GW53"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v>
      </c>
      <c r="GX53"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53"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53"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53"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53"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53"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53"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53"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53"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53"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53"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53"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53"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53"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53"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53"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53"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53"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53"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3"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3"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3"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3"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13.5</v>
      </c>
      <c r="HU53"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14.5</v>
      </c>
      <c r="HV53"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13</v>
      </c>
      <c r="HW53"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13.5</v>
      </c>
      <c r="HX53"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53"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53"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53"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53"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12.7</v>
      </c>
      <c r="IC53"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13.5</v>
      </c>
      <c r="ID53"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12.5</v>
      </c>
      <c r="IE53"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12.7</v>
      </c>
      <c r="IF53"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12</v>
      </c>
      <c r="IG53"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12.5</v>
      </c>
      <c r="IH53"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12</v>
      </c>
      <c r="II53"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12.5</v>
      </c>
      <c r="IJ53"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13</v>
      </c>
      <c r="IK53"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13.5</v>
      </c>
      <c r="IL53"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13</v>
      </c>
      <c r="IM53"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13.5</v>
      </c>
      <c r="IN53"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v>
      </c>
      <c r="IO53"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9.25</v>
      </c>
      <c r="IP53"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v>
      </c>
      <c r="IQ53"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9.25</v>
      </c>
      <c r="IR53"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53"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53"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53"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53"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53"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53"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53"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53"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3"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3"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3"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3"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9.25</v>
      </c>
      <c r="JE53"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v>
      </c>
      <c r="JF53"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9.25</v>
      </c>
      <c r="JG53"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v>
      </c>
      <c r="JH53"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53"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53"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53"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53"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53"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53"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53"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53"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53"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53"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53"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53"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53"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53"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53"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53"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3"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3"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3"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3"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7</v>
      </c>
      <c r="KC53" s="21">
        <f>SUM(DATA[[#This Row],[Care Assistant 1: Numbers employed (Full Time Equivalent)]],DATA[[#This Row],[Care Assistant 2: Numbers employed (Full Time Equivalent)]],DATA[[#This Row],[Care Assistant 3: Numbers employed (Full Time Equivalent)]],DATA[[#This Row],[Care Assistant 4: Numbers employed (Full Time Equivalent)]])</f>
        <v>62</v>
      </c>
      <c r="KD53" s="21">
        <f>SUM(DATA[[#This Row],[Administrative Officer 1: Numbers employed (Full Time Equivalent)]],DATA[[#This Row],[Administrative Officer 2: Numbers employed (Full Time Equivalent)]])</f>
        <v>2</v>
      </c>
      <c r="KE53" s="21">
        <f>SUM(DATA[[#This Row],[Other staff 1: Numbers employed (Full Time Equivalent)]],DATA[[#This Row],[Other staff 2: Numbers employed (Full Time Equivalent)]],DATA[[#This Row],[Other staff 3: Numbers employed (Full Time Equivalent)]])</f>
        <v>0</v>
      </c>
      <c r="KF53" s="21">
        <f>SUM(DATA[[#This Row],[Total FTE Management Employees]:[Total FTE Other Employees]])</f>
        <v>71</v>
      </c>
      <c r="KG53" s="21" t="str">
        <f>IF(SUM(DATA[[#This Row],[Home Support service split percentage (Expenditure):]],DATA[[#This Row],[Supported Living service split percentage (Expenditure):]])&gt;0, IF(DATA[[#This Row],[Home Support service split percentage (Expenditure):]]&gt;0.5,"Home Support","Supported Living"), "Unknown")</f>
        <v>Home Support</v>
      </c>
      <c r="KH53" s="21">
        <f>SUM(DATA[[#This Row],[Home Support: Birmingham City Council]:[Home Support: Self-funded]])</f>
        <v>1390.5</v>
      </c>
      <c r="KI53" s="21">
        <f>SUM(DATA[[#This Row],[Supported Living: Birmingham City Council]:[Supported Living: Self-funded]])</f>
        <v>0</v>
      </c>
      <c r="KJ53"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53"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53"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53"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53" s="21" t="b">
        <f>SUM(DATA[[#This Row],[Number of hours of care charged for in last full accounting year]:[Corporate Overheads: Other  - please specify (category) 1]])&gt;0</f>
        <v>1</v>
      </c>
      <c r="KO53" s="21">
        <f>SUM(DATA[[#This Row],[Total annual expenditure: Management staff]:[Total annual expenditure: Training and development]])</f>
        <v>969601.01</v>
      </c>
      <c r="KP53" s="21">
        <f>SUM(DATA[[#This Row],[Recruitment &amp; advertising (including DBS checks)]:[Non-Staffing Direct Cost: Other  - please specify (amount) 2]])</f>
        <v>95315.48</v>
      </c>
      <c r="KQ53" s="21">
        <f>SUM(DATA[[#This Row],[Insurance ]:[Indirect costs: Other 2 - please specify (amount)]])</f>
        <v>52997.31</v>
      </c>
      <c r="KR53" s="21">
        <f>SUM(DATA[[#This Row],[Central / Regional Management]],DATA[[#This Row],[Support Services (finance / HR / Payroll / legal etc.)]],DATA[[#This Row],[Corporate Overheads: Other  - please specify (amount) 1]],DATA[[#This Row],[Corporate Overheads: Other  - please specify (amount) 2]])</f>
        <v>0</v>
      </c>
      <c r="KS53"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0.69010614389406866</v>
      </c>
      <c r="KT53"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12.090163543596441</v>
      </c>
      <c r="KU53"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1.8063472226440307</v>
      </c>
      <c r="KV53"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53"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53"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53"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53"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0.13687763841224529</v>
      </c>
      <c r="LA53"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9.9972211255200893E-2</v>
      </c>
      <c r="LB53"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2.3764691590488048E-2</v>
      </c>
      <c r="LC53" s="30">
        <f>IF(OR(NOT(DATA[[#This Row],[Care consumables &amp; uniforms]]&gt;0),NOT(DATA[[#This Row],[Number of hours of care charged for in last full accounting year]]&gt;0)),0,DATA[[#This Row],[Care consumables &amp; uniforms]]/DATA[[#This Row],[Number of hours of care charged for in last full accounting year]])</f>
        <v>0.14366841801561028</v>
      </c>
      <c r="LD53" s="30">
        <f>IF(OR(NOT(DATA[[#This Row],[Electronic call monitoring]]&gt;0),NOT(DATA[[#This Row],[Number of hours of care charged for in last full accounting year]]&gt;0)),0,DATA[[#This Row],[Electronic call monitoring]]/DATA[[#This Row],[Number of hours of care charged for in last full accounting year]])</f>
        <v>0.32364791812190602</v>
      </c>
      <c r="LE53" s="30">
        <f>IF(OR(NOT(DATA[[#This Row],[IT Equipment &amp; Telephoney]]&gt;0),NOT(DATA[[#This Row],[Number of hours of care charged for in last full accounting year]]&gt;0)),0,DATA[[#This Row],[IT Equipment &amp; Telephoney]]/DATA[[#This Row],[Number of hours of care charged for in last full accounting year]])</f>
        <v>0.26521729887326506</v>
      </c>
      <c r="LF53"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0.49902967169799856</v>
      </c>
      <c r="LG53"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9.2075500349257447E-2</v>
      </c>
      <c r="LH53" s="30">
        <f>IF(OR(NOT(DATA[[#This Row],[Insurance ]]&gt;0),NOT(DATA[[#This Row],[Number of hours of care charged for in last full accounting year]]&gt;0)),0,DATA[[#This Row],[Insurance ]]/DATA[[#This Row],[Number of hours of care charged for in last full accounting year]])</f>
        <v>0.12330868284386673</v>
      </c>
      <c r="LI53"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3.2753059798949193E-2</v>
      </c>
      <c r="LJ53" s="30">
        <f>IF(OR(NOT(DATA[[#This Row],[Repairs and maintenance]]&gt;0),NOT(DATA[[#This Row],[Number of hours of care charged for in last full accounting year]]&gt;0)),0,DATA[[#This Row],[Repairs and maintenance]]/DATA[[#This Row],[Number of hours of care charged for in last full accounting year]])</f>
        <v>2.3096546906793817E-3</v>
      </c>
      <c r="LK53"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0.16770067118170498</v>
      </c>
      <c r="LL53" s="30">
        <f>IF(OR(NOT(DATA[[#This Row],[Registration &amp; Inspection fees ]]&gt;0),NOT(DATA[[#This Row],[Number of hours of care charged for in last full accounting year]]&gt;0)),0,DATA[[#This Row],[Registration &amp; Inspection fees ]]/DATA[[#This Row],[Number of hours of care charged for in last full accounting year]])</f>
        <v>0</v>
      </c>
      <c r="LM53" s="30">
        <f>IF(OR(NOT(DATA[[#This Row],[Subscriptions]]&gt;0),NOT(DATA[[#This Row],[Number of hours of care charged for in last full accounting year]]&gt;0)),0,DATA[[#This Row],[Subscriptions]]/DATA[[#This Row],[Number of hours of care charged for in last full accounting year]])</f>
        <v>0</v>
      </c>
      <c r="LN53" s="30">
        <f>IF(OR(NOT(DATA[[#This Row],[Cost of finance]]&gt;0),NOT(DATA[[#This Row],[Number of hours of care charged for in last full accounting year]]&gt;0)),0,DATA[[#This Row],[Cost of finance]]/DATA[[#This Row],[Number of hours of care charged for in last full accounting year]])</f>
        <v>0.19494685212743343</v>
      </c>
      <c r="LO53" s="30">
        <f>IF(OR(NOT(DATA[[#This Row],[Other non-staff current expenses]]&gt;0),NOT(DATA[[#This Row],[Number of hours of care charged for in last full accounting year]]&gt;0)),0,DATA[[#This Row],[Other non-staff current expenses]]/DATA[[#This Row],[Number of hours of care charged for in last full accounting year]])</f>
        <v>0</v>
      </c>
      <c r="LP53"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0.22001047772344884</v>
      </c>
      <c r="LQ53"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6.3740395420171903E-2</v>
      </c>
      <c r="LR53" s="30">
        <f>IF(OR(NOT(DATA[[#This Row],[Central / Regional Management]]&gt;0),NOT(DATA[[#This Row],[Number of hours of care charged for in last full accounting year]]&gt;0)),0,DATA[[#This Row],[Central / Regional Management]]/DATA[[#This Row],[Number of hours of care charged for in last full accounting year]])</f>
        <v>0</v>
      </c>
      <c r="LS53"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53"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53"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3" s="30">
        <f>SUM(DATA[[#This Row],[Management staff HOURLY RATE]:[Corporate Overheads: Other  - please specify (amount) 2 HOURLY RATE]])</f>
        <v>16.975640052236766</v>
      </c>
      <c r="LW53" s="30" t="str">
        <f>IF(OR(NOT(DATA[[#This Row],[Net Operating Profit]]&gt;0),NOT(DATA[[#This Row],[Number of hours of care charged for in last full accounting year]]&gt;0)),"",DATA[[#This Row],[Net Operating Profit]]/DATA[[#This Row],[Number of hours of care charged for in last full accounting year]])</f>
        <v/>
      </c>
      <c r="LX53" s="30">
        <f>IF(OR(NOT(DATA[[#This Row],[Return on Capital employed]]&gt;0),NOT(DATA[[#This Row],[Number of hours of care charged for in last full accounting year]]&gt;0)),0,DATA[[#This Row],[Return on Capital employed]]/DATA[[#This Row],[Number of hours of care charged for in last full accounting year]])</f>
        <v>0</v>
      </c>
      <c r="LY53" s="31">
        <v>47</v>
      </c>
      <c r="LZ53" s="30" t="s">
        <v>345</v>
      </c>
      <c r="MA53" s="30" t="b">
        <f>DATA[[#This Row],[Number of Home support clients:]]&gt;0</f>
        <v>1</v>
      </c>
      <c r="MB53" s="30" t="b">
        <f>DATA[[#This Row],[Number of supported living clients:]]&gt;0</f>
        <v>0</v>
      </c>
      <c r="MC53" s="30" t="b">
        <f>DATA[[#This Row],[Total Home Support Hours]]&gt;0</f>
        <v>1</v>
      </c>
      <c r="MD53" s="30" t="b">
        <f>DATA[[#This Row],[Total Supported Living Hours]]&gt;0</f>
        <v>0</v>
      </c>
      <c r="ME53" s="30" t="b">
        <f>DATA[[#This Row],[Home Support service split percentage (Expenditure):]]&gt;0.5</f>
        <v>1</v>
      </c>
      <c r="MF53" s="30" t="b">
        <f>DATA[[#This Row],[Agency staff HOURLY RATE]]=0</f>
        <v>1</v>
      </c>
      <c r="MG53" s="30">
        <f>IFERROR(IF(AVERAGE(DATA[[#This Row],[Registered manager: Current 2021/22 Minimum hourly pay rate ADJUSTED]],DATA[[#This Row],[Registered manager: Current 2021/22 Maximum hourly pay rate ADJUSTED]])&lt;LIVING_WAGE_22_23,DATA[[#This Row],[Registered manager: Numbers employed (Full Time Equivalent)]],0),"")</f>
        <v>0</v>
      </c>
      <c r="MH53" s="30" t="str">
        <f>IFERROR(IF(AVERAGE(DATA[[#This Row],[Deputy manager: Current 2021/22 Minimum hourly pay rate ADJUSTED]],DATA[[#This Row],[Deputy manager: Current 2021/22 Maximum hourly pay rate ADJUSTED]])&lt;LIVING_WAGE_22_23,DATA[[#This Row],[Deputy manager: Numbers employed (Full Time Equivalent)]],0),"")</f>
        <v/>
      </c>
      <c r="MI53" s="30">
        <f>IFERROR(IF(AVERAGE(DATA[[#This Row],[Other manager 1: Current 2021/22 Minimum hourly pay rate ADJUSTED]],DATA[[#This Row],[Other manager 1: Current 2021/22 Maximum hourly pay rate ADJUSTED]])&lt;LIVING_WAGE_22_23,DATA[[#This Row],[Other manager 1: Numbers employed (Full Time Equivalent)]],0),"")</f>
        <v>0</v>
      </c>
      <c r="MJ53" s="30">
        <f>IFERROR(IF(AVERAGE(DATA[[#This Row],[Other manager 2: Current 2021/22 Minimum hourly pay rate ADJUSTED]],DATA[[#This Row],[Other manager 2: Current 2021/22 Maximum hourly pay rate ADJUSTED]])&lt;LIVING_WAGE_22_23,DATA[[#This Row],[Other manager 2: Numbers employed (Full Time Equivalent)]],0),"")</f>
        <v>0</v>
      </c>
      <c r="MK53" s="30">
        <f>IFERROR(IF(AVERAGE(DATA[[#This Row],[Other manager 3: Current 2021/22 Minimum hourly pay rate ADJUSTED]],DATA[[#This Row],[Other manager 3: Current 2021/22 Maximum hourly pay rate ADJUSTED]])&lt;LIVING_WAGE_22_23,DATA[[#This Row],[Other manager 3: Numbers employed (Full Time Equivalent)]],0),"")</f>
        <v>0</v>
      </c>
      <c r="ML53" s="30">
        <f>IFERROR(IF(AVERAGE(DATA[[#This Row],[Care Assistant 1: Current 2021/22 Minimum hourly pay rate ADJUSTED]],DATA[[#This Row],[Care Assistant 1: Current 2021/22 Maximum hourly pay rate ADJUSTED]])&lt;LIVING_WAGE_22_23,DATA[[#This Row],[Care Assistant 1: Numbers employed (Full Time Equivalent)]],0),"")</f>
        <v>62</v>
      </c>
      <c r="MM53" s="30" t="str">
        <f>IFERROR(IF(AVERAGE(DATA[[#This Row],[Care Assistant 2: Current 2021/22 Minimum hourly pay rate ADJUSTED]],DATA[[#This Row],[Care Assistant 2: Current 2021/22 Maximum hourly pay rate ADJUSTED]])&lt;LIVING_WAGE_22_23,DATA[[#This Row],[Care Assistant 2: Numbers employed (Full Time Equivalent)]],0),"")</f>
        <v/>
      </c>
      <c r="MN53" s="30" t="str">
        <f>IFERROR(IF(AVERAGE(DATA[[#This Row],[Care Assistant 3: Current 2021/22 Minimum hourly pay rate ADJUSTED]],DATA[[#This Row],[Care Assistant 3: Current 2021/22 Maximum hourly pay rate ADJUSTED]])&lt;LIVING_WAGE_22_23,DATA[[#This Row],[Care Assistant 3: Numbers employed (Full Time Equivalent)]],0),"")</f>
        <v/>
      </c>
      <c r="MO53" s="30" t="str">
        <f>IFERROR(IF(AVERAGE(DATA[[#This Row],[Care Assistant 4: Current 2021/22 Minimum hourly pay rate ADJUSTED]],DATA[[#This Row],[Care Assistant 4: Current 2021/22 Maximum hourly pay rate ADJUSTED]])&lt;LIVING_WAGE_22_23,DATA[[#This Row],[Care Assistant 4: Numbers employed (Full Time Equivalent)]],0),"")</f>
        <v/>
      </c>
      <c r="MP53"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53"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53" s="30" t="str">
        <f>IFERROR(IF(AVERAGE(DATA[[#This Row],[Other staff 1: Current 2021/22 Minimum hourly pay rate ADJUSTED]],DATA[[#This Row],[Other staff 1: Current 2021/22 Maximum hourly pay rate ADJUSTED]])&lt;LIVING_WAGE_22_23,DATA[[#This Row],[Other staff 1: Numbers employed (Full Time Equivalent)]],0),"")</f>
        <v/>
      </c>
      <c r="MS53" s="30" t="str">
        <f>IFERROR(IF(AVERAGE(DATA[[#This Row],[Other staff 2: Current 2021/22 Minimum hourly pay rate ADJUSTED]],DATA[[#This Row],[Other staff 2: Current 2021/22 Maximum hourly pay rate ADJUSTED]])&lt;LIVING_WAGE_22_23,DATA[[#This Row],[Other staff 2: Numbers employed (Full Time Equivalent)]],0),"")</f>
        <v/>
      </c>
      <c r="MT53" s="30" t="str">
        <f>IFERROR(IF(AVERAGE(DATA[[#This Row],[Other staff 3: Current 2021/22 Minimum hourly pay rate ADJUSTED]],DATA[[#This Row],[Other staff 3: Current 2021/22 Maximum hourly pay rate ADJUSTED]])&lt;LIVING_WAGE_22_23,DATA[[#This Row],[Other staff 3: Numbers employed (Full Time Equivalent)]],0),"")</f>
        <v/>
      </c>
      <c r="MU53" s="30">
        <f>SUM(DATA[[#This Row],[Registered Manager FTE earning less than NLW 23yrs 2022/23]:[Other staff 3 FTE earning less than NLW 23yrs 2022/23]])</f>
        <v>62</v>
      </c>
      <c r="MV53"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53"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53"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53"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53"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53"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23.25</v>
      </c>
      <c r="NB53"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53"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53"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3"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53"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53"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53"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53"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3" s="30" t="b">
        <v>1</v>
      </c>
      <c r="NK53" s="30" t="b">
        <v>0</v>
      </c>
      <c r="NL53" s="30" t="s">
        <v>973</v>
      </c>
      <c r="NM53" s="30">
        <f>SUM(DATA[[#This Row],[Management staff HOURLY RATE]:[Training and development HOURLY RATE]])</f>
        <v>14.723494548546785</v>
      </c>
      <c r="NN53" s="30">
        <f>SUM(DATA[[#This Row],[Recruitment &amp; advertising (including DBS checks) HOURLY RATE]:[Non-Staffing Direct Cost: Other  - please specify (amount) 2 HOURLY RATE]])</f>
        <v>1.4473757099037263</v>
      </c>
      <c r="NO53" s="30">
        <f>SUM(DATA[[#This Row],[Insurance  HOURLY RATE]:[Indirect costs: Other  - please specify (amount) 2 HOURLY RATE]])</f>
        <v>0.80476979378625435</v>
      </c>
      <c r="NP53" s="30">
        <f>SUM(DATA[[#This Row],[Central / Regional Management HOURLY RATE]:[Corporate Overheads: Other  - please specify (amount) 2 HOURLY RATE]])</f>
        <v>0</v>
      </c>
      <c r="NQ53"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53" s="30" t="str">
        <f>IFERROR(IF(AVERAGE(DATA[[#This Row],[Deputy manager: Current 2021/22 Minimum hourly pay rate ADJUSTED]],DATA[[#This Row],[Deputy manager: Current 2021/22 Maximum hourly pay rate ADJUSTED]])&lt;REAL_LIVING_WAGE_22_23,DATA[[#This Row],[Deputy manager: Numbers employed (Full Time Equivalent)]],0),"")</f>
        <v/>
      </c>
      <c r="NS53" s="30">
        <f>IFERROR(IF(AVERAGE(DATA[[#This Row],[Other manager 1: Current 2021/22 Minimum hourly pay rate ADJUSTED]],DATA[[#This Row],[Other manager 1: Current 2021/22 Maximum hourly pay rate ADJUSTED]])&lt;REAL_LIVING_WAGE_22_23,DATA[[#This Row],[Other manager 1: Numbers employed (Full Time Equivalent)]],0),"")</f>
        <v>0</v>
      </c>
      <c r="NT53" s="30">
        <f>IFERROR(IF(AVERAGE(DATA[[#This Row],[Other manager 2: Current 2021/22 Minimum hourly pay rate ADJUSTED]],DATA[[#This Row],[Other manager 2: Current 2021/22 Maximum hourly pay rate ADJUSTED]])&lt;REAL_LIVING_WAGE_22_23,DATA[[#This Row],[Other manager 2: Numbers employed (Full Time Equivalent)]],0),"")</f>
        <v>0</v>
      </c>
      <c r="NU53" s="30">
        <f>IFERROR(IF(AVERAGE(DATA[[#This Row],[Other manager 3: Current 2021/22 Minimum hourly pay rate ADJUSTED]],DATA[[#This Row],[Other manager 3: Current 2021/22 Maximum hourly pay rate ADJUSTED]])&lt;REAL_LIVING_WAGE_22_23,DATA[[#This Row],[Other manager 3: Numbers employed (Full Time Equivalent)]],0),"")</f>
        <v>0</v>
      </c>
      <c r="NV53" s="30">
        <f>IFERROR(IF(AVERAGE(DATA[[#This Row],[Care Assistant 1: Current 2021/22 Minimum hourly pay rate ADJUSTED]],DATA[[#This Row],[Care Assistant 1: Current 2021/22 Maximum hourly pay rate ADJUSTED]])&lt;REAL_LIVING_WAGE_22_23,DATA[[#This Row],[Care Assistant 1: Numbers employed (Full Time Equivalent)]],0),"")</f>
        <v>62</v>
      </c>
      <c r="NW53"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53"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53"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3"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2</v>
      </c>
      <c r="OA53"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53" s="30" t="str">
        <f>IFERROR(IF(AVERAGE(DATA[[#This Row],[Other staff 1: Current 2021/22 Minimum hourly pay rate ADJUSTED]],DATA[[#This Row],[Other staff 1: Current 2021/22 Maximum hourly pay rate ADJUSTED]])&lt;REAL_LIVING_WAGE_22_23,DATA[[#This Row],[Other staff 1: Numbers employed (Full Time Equivalent)]],0),"")</f>
        <v/>
      </c>
      <c r="OC53" s="30" t="str">
        <f>IFERROR(IF(AVERAGE(DATA[[#This Row],[Other staff 2: Current 2021/22 Minimum hourly pay rate ADJUSTED]],DATA[[#This Row],[Other staff 2: Current 2021/22 Maximum hourly pay rate ADJUSTED]])&lt;REAL_LIVING_WAGE_22_23,DATA[[#This Row],[Other staff 2: Numbers employed (Full Time Equivalent)]],0),"")</f>
        <v/>
      </c>
      <c r="OD53" s="30" t="str">
        <f>IFERROR(IF(AVERAGE(DATA[[#This Row],[Other staff 3: Current 2021/22 Minimum hourly pay rate ADJUSTED]],DATA[[#This Row],[Other staff 3: Current 2021/22 Maximum hourly pay rate ADJUSTED]])&lt;REAL_LIVING_WAGE_22_23,DATA[[#This Row],[Other staff 3: Numbers employed (Full Time Equivalent)]],0),"")</f>
        <v/>
      </c>
      <c r="OE53" s="30">
        <f>SUM(DATA[[#This Row],[Registered Manager FTE earning less than RLW 23yrs 2022/23]:[Other staff 3 FTE earning less than RLW 23yrs 2022/23]])</f>
        <v>64</v>
      </c>
      <c r="OF53"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53"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53"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53"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53"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53"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48.050000000000026</v>
      </c>
      <c r="OL53"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53"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53"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3"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0.55000000000000071</v>
      </c>
      <c r="OP53"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53"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53"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53"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3" s="30">
        <f>IFERROR(IF(DATA[[#This Row],[Registered manager: Numbers employed (Full Time Equivalent)]]=0,"",DATA[[#This Row],[Registered manager: Current 2021/22 Minimum hourly pay rate ADJUSTED 2]]*DATA[[#This Row],[Registered manager: Numbers employed (Full Time Equivalent)]]),"")</f>
        <v>13.5</v>
      </c>
      <c r="OU53" s="30">
        <f>IFERROR(IF(DATA[[#This Row],[Registered manager: Numbers employed (Full Time Equivalent)]]=0,"",DATA[[#This Row],[Registered manager: Current 2021/22 Maximum hourly pay rate ADJUSTED 2]]*DATA[[#This Row],[Registered manager: Numbers employed (Full Time Equivalent)]]),"")</f>
        <v>14.5</v>
      </c>
      <c r="OV53" s="30">
        <f>IFERROR(IF(DATA[[#This Row],[Registered manager: Numbers employed (Full Time Equivalent)]]=0,"",DATA[[#This Row],[Registered manager: Previous 2020/21 Minimum hourly pay rate ADJUSTED 2]]*DATA[[#This Row],[Registered manager: Numbers employed (Full Time Equivalent)]]),"")</f>
        <v>13</v>
      </c>
      <c r="OW53" s="30">
        <f>IFERROR(IF(DATA[[#This Row],[Registered manager: Numbers employed (Full Time Equivalent)]]=0,"",DATA[[#This Row],[Registered manager: Previous 2020/21 Maximum hourly pay rate ADJUSTED 2]]*DATA[[#This Row],[Registered manager: Numbers employed (Full Time Equivalent)]]),"")</f>
        <v>13.5</v>
      </c>
      <c r="OX53" s="30" t="str">
        <f>IFERROR(IF(DATA[[#This Row],[Deputy manager: Numbers employed (Full Time Equivalent)]]=0,"",DATA[[#This Row],[Deputy manager: Current 2021/22 Minimum hourly pay rate ADJUSTED 2]]*DATA[[#This Row],[Deputy manager: Numbers employed (Full Time Equivalent)]]),"")</f>
        <v/>
      </c>
      <c r="OY53" s="30" t="str">
        <f>IFERROR(IF(DATA[[#This Row],[Deputy manager: Numbers employed (Full Time Equivalent)]]=0,"",DATA[[#This Row],[Deputy manager: Current 2021/22 Maximum hourly pay rate ADJUSTED 2]]*DATA[[#This Row],[Deputy manager: Numbers employed (Full Time Equivalent)]]),"")</f>
        <v/>
      </c>
      <c r="OZ53" s="30" t="str">
        <f>IFERROR(IF(DATA[[#This Row],[Deputy manager: Numbers employed (Full Time Equivalent)]]=0,"",DATA[[#This Row],[Deputy manager: Previous 2020/21 Minimum hourly pay rate ADJUSTED 2]]*DATA[[#This Row],[Deputy manager: Numbers employed (Full Time Equivalent)]]),"")</f>
        <v/>
      </c>
      <c r="PA53" s="30" t="str">
        <f>IFERROR(IF(DATA[[#This Row],[Deputy manager: Numbers employed (Full Time Equivalent)]]=0,"",DATA[[#This Row],[Deputy manager: Previous 2020/21 Maximum hourly pay rate ADJUSTED 2]]*DATA[[#This Row],[Deputy manager: Numbers employed (Full Time Equivalent)]]),"")</f>
        <v/>
      </c>
      <c r="PB53" s="30">
        <f>IFERROR(IF(DATA[[#This Row],[Other manager 1: Numbers employed (Full Time Equivalent)]]=0,"",DATA[[#This Row],[Other manager 1: Current 2021/22 Minimum hourly pay rate ADJUSTED 2]]*DATA[[#This Row],[Other manager 1: Numbers employed (Full Time Equivalent)]]),"")</f>
        <v>12.7</v>
      </c>
      <c r="PC53" s="30">
        <f>IFERROR(IF(DATA[[#This Row],[Other manager 1: Numbers employed (Full Time Equivalent)]]=0,"",DATA[[#This Row],[Other manager 1: Current 2021/22 Maximum hourly pay rate ADJUSTED 2]]*DATA[[#This Row],[Other manager 1: Numbers employed (Full Time Equivalent)]]),"")</f>
        <v>13.5</v>
      </c>
      <c r="PD53" s="30">
        <f>IFERROR(IF(DATA[[#This Row],[Other manager 1: Numbers employed (Full Time Equivalent)]]=0,"",DATA[[#This Row],[Other manager 1: Previous 2020/21 Minimum hourly pay rate ADJUSTED 2]]*DATA[[#This Row],[Other manager 1: Numbers employed (Full Time Equivalent)]]),"")</f>
        <v>12.5</v>
      </c>
      <c r="PE53" s="30">
        <f>IFERROR(IF(DATA[[#This Row],[Other manager 1: Numbers employed (Full Time Equivalent)]]=0,"",DATA[[#This Row],[Other manager 1: Previous 2020/21 Maximum hourly pay rate ADJUSTED 2]]*DATA[[#This Row],[Other manager 1: Numbers employed (Full Time Equivalent)]]),"")</f>
        <v>12.7</v>
      </c>
      <c r="PF53" s="30">
        <f>IFERROR(IF(DATA[[#This Row],[Other manager 2: Numbers employed (Full Time Equivalent)]]=0,"",DATA[[#This Row],[Other manager 2: Current 2021/22 Minimum hourly pay rate ADJUSTED 2]]*DATA[[#This Row],[Other manager 2: Numbers employed (Full Time Equivalent)]]),"")</f>
        <v>36</v>
      </c>
      <c r="PG53" s="30">
        <f>IFERROR(IF(DATA[[#This Row],[Other manager 2: Numbers employed (Full Time Equivalent)]]=0,"",DATA[[#This Row],[Other manager 2: Current 2021/22 Maximum hourly pay rate ADJUSTED 2]]*DATA[[#This Row],[Other manager 2: Numbers employed (Full Time Equivalent)]]),"")</f>
        <v>37.5</v>
      </c>
      <c r="PH53" s="30">
        <f>IFERROR(IF(DATA[[#This Row],[Other manager 2: Numbers employed (Full Time Equivalent)]]=0,"",DATA[[#This Row],[Other manager 2: Previous 2020/21 Minimum hourly pay rate ADJUSTED 2]]*DATA[[#This Row],[Other manager 2: Numbers employed (Full Time Equivalent)]]),"")</f>
        <v>36</v>
      </c>
      <c r="PI53" s="30">
        <f>IFERROR(IF(DATA[[#This Row],[Other manager 2: Numbers employed (Full Time Equivalent)]]=0,"",DATA[[#This Row],[Other manager 2: Previous 2020/21 Maximum hourly pay rate ADJUSTED 2]]*DATA[[#This Row],[Other manager 2: Numbers employed (Full Time Equivalent)]]),"")</f>
        <v>37.5</v>
      </c>
      <c r="PJ53" s="30">
        <f>IFERROR(IF(DATA[[#This Row],[Other manager 3: Numbers employed (Full Time Equivalent)]]=0,"",DATA[[#This Row],[Other manager 3: Current 2021/22 Minimum hourly pay rate ADJUSTED 2]]*DATA[[#This Row],[Other manager 3: Numbers employed (Full Time Equivalent)]]),"")</f>
        <v>26</v>
      </c>
      <c r="PK53" s="30">
        <f>IFERROR(IF(DATA[[#This Row],[Other manager 3: Numbers employed (Full Time Equivalent)]]=0,"",DATA[[#This Row],[Other manager 3: Current 2021/22 Maximum hourly pay rate ADJUSTED 2]]*DATA[[#This Row],[Other manager 3: Numbers employed (Full Time Equivalent)]]),"")</f>
        <v>27</v>
      </c>
      <c r="PL53" s="30">
        <f>IFERROR(IF(DATA[[#This Row],[Other manager 3: Numbers employed (Full Time Equivalent)]]=0,"",DATA[[#This Row],[Other manager 3: Previous 2020/21 Minimum hourly pay rate ADJUSTED 2]]*DATA[[#This Row],[Other manager 3: Numbers employed (Full Time Equivalent)]]),"")</f>
        <v>26</v>
      </c>
      <c r="PM53" s="30">
        <f>IFERROR(IF(DATA[[#This Row],[Other manager 3: Numbers employed (Full Time Equivalent)]]=0,"",DATA[[#This Row],[Other manager 3: Previous 2020/21 Maximum hourly pay rate ADJUSTED 2]]*DATA[[#This Row],[Other manager 3: Numbers employed (Full Time Equivalent)]]),"")</f>
        <v>27</v>
      </c>
      <c r="PN53" s="30">
        <f>IFERROR(IF(DATA[[#This Row],[Care Assistant 1: Numbers employed (Full Time Equivalent)]]=0,"",DATA[[#This Row],[Care Assistant 1: Current 2021/22 Minimum hourly pay rate ADJUSTED 2]]*DATA[[#This Row],[Care Assistant 1: Numbers employed (Full Time Equivalent)]]),"")</f>
        <v>558</v>
      </c>
      <c r="PO53" s="30">
        <f>IFERROR(IF(DATA[[#This Row],[Care Assistant 1: Numbers employed (Full Time Equivalent)]]=0,"",DATA[[#This Row],[Care Assistant 1: Current 2021/22 Maximum hourly pay rate ADJUSTED 2]]*DATA[[#This Row],[Care Assistant 1: Numbers employed (Full Time Equivalent)]]),"")</f>
        <v>573.5</v>
      </c>
      <c r="PP53" s="30">
        <f>IFERROR(IF(DATA[[#This Row],[Care Assistant 1: Numbers employed (Full Time Equivalent)]]=0,"",DATA[[#This Row],[Care Assistant 1: Previous 2020/21 Minimum hourly pay rate ADJUSTED 2]]*DATA[[#This Row],[Care Assistant 1: Numbers employed (Full Time Equivalent)]]),"")</f>
        <v>558</v>
      </c>
      <c r="PQ53" s="30">
        <f>IFERROR(IF(DATA[[#This Row],[Care Assistant 1: Numbers employed (Full Time Equivalent)]]=0,"",DATA[[#This Row],[Care Assistant 1: Previous 2020/21 Maximum hourly pay rate ADJUSTED 2]]*DATA[[#This Row],[Care Assistant 1: Numbers employed (Full Time Equivalent)]]),"")</f>
        <v>573.5</v>
      </c>
      <c r="PR53" s="30" t="str">
        <f>IFERROR(IF(DATA[[#This Row],[Care Assistant 2: Numbers employed (Full Time Equivalent)]]=0,"",DATA[[#This Row],[Care Assistant 2: Current 2021/22 Minimum hourly pay rate ADJUSTED 2]]*DATA[[#This Row],[Care Assistant 2: Numbers employed (Full Time Equivalent)]]),"")</f>
        <v/>
      </c>
      <c r="PS53" s="30" t="str">
        <f>IFERROR(IF(DATA[[#This Row],[Care Assistant 2: Numbers employed (Full Time Equivalent)]]=0,"",DATA[[#This Row],[Care Assistant 2: Current 2021/22 Maximum hourly pay rate ADJUSTED 2]]*DATA[[#This Row],[Care Assistant 2: Numbers employed (Full Time Equivalent)]]),"")</f>
        <v/>
      </c>
      <c r="PT53" s="30" t="str">
        <f>IFERROR(IF(DATA[[#This Row],[Care Assistant 2: Numbers employed (Full Time Equivalent)]]=0,"",DATA[[#This Row],[Care Assistant 2: Previous 2020/21 Minimum hourly pay rate ADJUSTED 2]]*DATA[[#This Row],[Care Assistant 2: Numbers employed (Full Time Equivalent)]]),"")</f>
        <v/>
      </c>
      <c r="PU53" s="30" t="str">
        <f>IFERROR(IF(DATA[[#This Row],[Care Assistant 2: Numbers employed (Full Time Equivalent)]]=0,"",DATA[[#This Row],[Care Assistant 2: Previous 2020/21 Maximum hourly pay rate ADJUSTED 2]]*DATA[[#This Row],[Care Assistant 2: Numbers employed (Full Time Equivalent)]]),"")</f>
        <v/>
      </c>
      <c r="PV53" s="30" t="str">
        <f>IFERROR(IF(DATA[[#This Row],[Care Assistant 3: Numbers employed (Full Time Equivalent)]]=0,"",DATA[[#This Row],[Care Assistant 3: Current 2021/22 Minimum hourly pay rate ADJUSTED 2]]*DATA[[#This Row],[Care Assistant 3: Numbers employed (Full Time Equivalent)]]),"")</f>
        <v/>
      </c>
      <c r="PW53" s="30" t="str">
        <f>IFERROR(IF(DATA[[#This Row],[Care Assistant 3: Numbers employed (Full Time Equivalent)]]=0,"",DATA[[#This Row],[Care Assistant 3: Current 2021/22 Maximum hourly pay rate ADJUSTED 2]]*DATA[[#This Row],[Care Assistant 3: Numbers employed (Full Time Equivalent)]]),"")</f>
        <v/>
      </c>
      <c r="PX53" s="30" t="str">
        <f>IFERROR(IF(DATA[[#This Row],[Care Assistant 3: Numbers employed (Full Time Equivalent)]]=0,"",DATA[[#This Row],[Care Assistant 3: Previous 2020/21 Minimum hourly pay rate ADJUSTED 2]]*DATA[[#This Row],[Care Assistant 3: Numbers employed (Full Time Equivalent)]]),"")</f>
        <v/>
      </c>
      <c r="PY53" s="30" t="str">
        <f>IFERROR(IF(DATA[[#This Row],[Care Assistant 3: Numbers employed (Full Time Equivalent)]]=0,"",DATA[[#This Row],[Care Assistant 3: Previous 2020/21 Maximum hourly pay rate ADJUSTED 2]]*DATA[[#This Row],[Care Assistant 3: Numbers employed (Full Time Equivalent)]]),"")</f>
        <v/>
      </c>
      <c r="PZ53" s="30" t="str">
        <f>IFERROR(IF(DATA[[#This Row],[Care Assistant 4: Numbers employed (Full Time Equivalent)]]=0,"",DATA[[#This Row],[Care Assistant 4: Current 2021/22 Minimum hourly pay rate ADJUSTED 2]]*DATA[[#This Row],[Care Assistant 4: Numbers employed (Full Time Equivalent)]]),"")</f>
        <v/>
      </c>
      <c r="QA53" s="30" t="str">
        <f>IFERROR(IF(DATA[[#This Row],[Care Assistant 4: Numbers employed (Full Time Equivalent)]]=0,"",DATA[[#This Row],[Care Assistant 4: Current 2021/22 Maximum hourly pay rate ADJUSTED 2]]*DATA[[#This Row],[Care Assistant 4: Numbers employed (Full Time Equivalent)]]),"")</f>
        <v/>
      </c>
      <c r="QB53" s="30" t="str">
        <f>IFERROR(IF(DATA[[#This Row],[Care Assistant 4: Numbers employed (Full Time Equivalent)]]=0,"",DATA[[#This Row],[Care Assistant 4: Previous 2020/21 Minimum hourly pay rate ADJUSTED 2]]*DATA[[#This Row],[Care Assistant 4: Numbers employed (Full Time Equivalent)]]),"")</f>
        <v/>
      </c>
      <c r="QC53" s="30" t="str">
        <f>IFERROR(IF(DATA[[#This Row],[Care Assistant 4: Numbers employed (Full Time Equivalent)]]=0,"",DATA[[#This Row],[Care Assistant 4: Previous 2020/21 Maximum hourly pay rate ADJUSTED 2]]*DATA[[#This Row],[Care Assistant 4: Numbers employed (Full Time Equivalent)]]),"")</f>
        <v/>
      </c>
      <c r="QD53" s="30">
        <f>IFERROR(IF(DATA[[#This Row],[Administrative Officer 1: Numbers employed (Full Time Equivalent)]]=0,"",DATA[[#This Row],[Administrative Officer 1: Current 2021/22 Minimum hourly pay rate ADJUSTED 2]]*DATA[[#This Row],[Administrative Officer 1: Numbers employed (Full Time Equivalent)]]),"")</f>
        <v>18.5</v>
      </c>
      <c r="QE53" s="30">
        <f>IFERROR(IF(DATA[[#This Row],[Administrative Officer 1: Numbers employed (Full Time Equivalent)]]=0,"",DATA[[#This Row],[Administrative Officer 1: Current 2021/22 Maximum hourly pay rate ADJUSTED 2]]*DATA[[#This Row],[Administrative Officer 1: Numbers employed (Full Time Equivalent)]]),"")</f>
        <v>20</v>
      </c>
      <c r="QF53" s="30">
        <f>IFERROR(IF(DATA[[#This Row],[Administrative Officer 1: Numbers employed (Full Time Equivalent)]]=0,"",DATA[[#This Row],[Administrative Officer 1: Previous 2020/21 Minimum hourly pay rate ADJUSTED 2]]*DATA[[#This Row],[Administrative Officer 1: Numbers employed (Full Time Equivalent)]]),"")</f>
        <v>18.5</v>
      </c>
      <c r="QG53" s="30">
        <f>IFERROR(IF(DATA[[#This Row],[Administrative Officer 1: Numbers employed (Full Time Equivalent)]]=0,"",DATA[[#This Row],[Administrative Officer 1: Previous 2020/21 Maximum hourly pay rate ADJUSTED 2]]*DATA[[#This Row],[Administrative Officer 1: Numbers employed (Full Time Equivalent)]]),"")</f>
        <v>20</v>
      </c>
      <c r="QH53" s="30" t="str">
        <f>IFERROR(IF(DATA[[#This Row],[Administrative Officer 2: Numbers employed (Full Time Equivalent)]]=0,"",DATA[[#This Row],[Administrative Officer 2: Current 2021/22 Minimum hourly pay rate ADJUSTED 2]]*DATA[[#This Row],[Administrative Officer 2: Numbers employed (Full Time Equivalent)]]),"")</f>
        <v/>
      </c>
      <c r="QI53" s="30" t="str">
        <f>IFERROR(IF(DATA[[#This Row],[Administrative Officer 2: Numbers employed (Full Time Equivalent)]]=0,"",DATA[[#This Row],[Administrative Officer 2: Current 2021/22 Maximum hourly pay rate ADJUSTED 2]]*DATA[[#This Row],[Administrative Officer 2: Numbers employed (Full Time Equivalent)]]),"")</f>
        <v/>
      </c>
      <c r="QJ53" s="30" t="str">
        <f>IFERROR(IF(DATA[[#This Row],[Administrative Officer 2: Numbers employed (Full Time Equivalent)]]=0,"",DATA[[#This Row],[Administrative Officer 2: Previous 2020/21 Minimum hourly pay rate ADJUSTED 2]]*DATA[[#This Row],[Administrative Officer 2: Numbers employed (Full Time Equivalent)]]),"")</f>
        <v/>
      </c>
      <c r="QK53" s="30" t="str">
        <f>IFERROR(IF(DATA[[#This Row],[Administrative Officer 2: Numbers employed (Full Time Equivalent)]]=0,"",DATA[[#This Row],[Administrative Officer 2: Previous 2020/21 Maximum hourly pay rate ADJUSTED 2]]*DATA[[#This Row],[Administrative Officer 2: Numbers employed (Full Time Equivalent)]]),"")</f>
        <v/>
      </c>
      <c r="QL53" s="30" t="str">
        <f>IFERROR(IF(DATA[[#This Row],[Administrative Officer 3: Numbers employed (Full Time Equivalent)]]=0,"",DATA[[#This Row],[Administrative Officer 3: Current 2021/22 Minimum hourly pay rate ADJUSTED 2]]*DATA[[#This Row],[Administrative Officer 3: Numbers employed (Full Time Equivalent)]]),"")</f>
        <v/>
      </c>
      <c r="QM53" s="30" t="str">
        <f>IFERROR(IF(DATA[[#This Row],[Administrative Officer 3: Numbers employed (Full Time Equivalent)]]=0,"",DATA[[#This Row],[Administrative Officer 3: Current 2021/22 Maximum hourly pay rate ADJUSTED 2]]*DATA[[#This Row],[Administrative Officer 3: Numbers employed (Full Time Equivalent)]]),"")</f>
        <v/>
      </c>
      <c r="QN53" s="30" t="str">
        <f>IFERROR(IF(DATA[[#This Row],[Administrative Officer 3: Numbers employed (Full Time Equivalent)]]=0,"",DATA[[#This Row],[Administrative Officer 3: Previous 2020/21 Minimum hourly pay rate ADJUSTED 2]]*DATA[[#This Row],[Administrative Officer 3: Numbers employed (Full Time Equivalent)]]),"")</f>
        <v/>
      </c>
      <c r="QO53" s="30" t="str">
        <f>IFERROR(IF(DATA[[#This Row],[Administrative Officer 3: Numbers employed (Full Time Equivalent)]]=0,"",DATA[[#This Row],[Administrative Officer 3: Previous 2020/21 Maximum hourly pay rate ADJUSTED 2]]*DATA[[#This Row],[Administrative Officer 3: Numbers employed (Full Time Equivalent)]]),"")</f>
        <v/>
      </c>
      <c r="QP53" s="28" t="str">
        <f>IFERROR(IF(DATA[[#This Row],[Other staff 1: Numbers employed (Full Time Equivalent)]]=0,"",DATA[[#This Row],[Other staff 1: Current 2021/22 Minimum hourly pay rate ADJUSTED 2]]*DATA[[#This Row],[Other staff 1: Numbers employed (Full Time Equivalent)]]),"")</f>
        <v/>
      </c>
      <c r="QQ53" s="28" t="str">
        <f>IFERROR(IF(DATA[[#This Row],[Other staff 1: Numbers employed (Full Time Equivalent)]]=0,"",DATA[[#This Row],[Other staff 1: Current 2021/22 Maximum hourly pay rate ADJUSTED 2]]*DATA[[#This Row],[Other staff 1: Numbers employed (Full Time Equivalent)]]),"")</f>
        <v/>
      </c>
      <c r="QR53" s="28" t="str">
        <f>IFERROR(IF(DATA[[#This Row],[Other staff 1: Numbers employed (Full Time Equivalent)]]=0,"",DATA[[#This Row],[Other staff 1: Previous 2020/21 Minimum hourly pay rate ADJUSTED 2]]*DATA[[#This Row],[Other staff 1: Numbers employed (Full Time Equivalent)]]),"")</f>
        <v/>
      </c>
      <c r="QS53" s="28" t="str">
        <f>IFERROR(IF(DATA[[#This Row],[Other staff 1: Numbers employed (Full Time Equivalent)]]=0,"",DATA[[#This Row],[Other staff 1: Previous 2020/21 Maximum hourly pay rate ADJUSTED 2]]*DATA[[#This Row],[Other staff 1: Numbers employed (Full Time Equivalent)]]),"")</f>
        <v/>
      </c>
      <c r="QT53" s="28" t="str">
        <f>IFERROR(IF(DATA[[#This Row],[Other staff 2: Numbers employed (Full Time Equivalent)]]=0,"",DATA[[#This Row],[Other staff 2: Current 2021/22 Minimum hourly pay rate ADJUSTED 2]]*DATA[[#This Row],[Other staff 2: Numbers employed (Full Time Equivalent)]]),"")</f>
        <v/>
      </c>
      <c r="QU53" s="28" t="str">
        <f>IFERROR(IF(DATA[[#This Row],[Other staff 2: Numbers employed (Full Time Equivalent)]]=0,"",DATA[[#This Row],[Other staff 2: Current 2021/22 Maximum hourly pay rate ADJUSTED 2]]*DATA[[#This Row],[Other staff 2: Numbers employed (Full Time Equivalent)]]),"")</f>
        <v/>
      </c>
      <c r="QV53" s="28" t="str">
        <f>IFERROR(IF(DATA[[#This Row],[Other staff 2: Numbers employed (Full Time Equivalent)]]=0,"",DATA[[#This Row],[Other staff 2: Previous 2020/21 Minimum hourly pay rate ADJUSTED 2]]*DATA[[#This Row],[Other staff 2: Numbers employed (Full Time Equivalent)]]),"")</f>
        <v/>
      </c>
      <c r="QW53" s="28" t="str">
        <f>IFERROR(IF(DATA[[#This Row],[Other staff 2: Numbers employed (Full Time Equivalent)]]=0,"",DATA[[#This Row],[Other staff 2: Previous 2020/21 Maximum hourly pay rate ADJUSTED 2]]*DATA[[#This Row],[Other staff 2: Numbers employed (Full Time Equivalent)]]),"")</f>
        <v/>
      </c>
      <c r="QX53" s="28" t="str">
        <f>IFERROR(IF(DATA[[#This Row],[Other staff 3: Numbers employed (Full Time Equivalent)]]=0,"",DATA[[#This Row],[Other staff 3: Current 2021/22 Minimum hourly pay rate ADJUSTED 2]]*DATA[[#This Row],[Other staff 3: Numbers employed (Full Time Equivalent)]]),"")</f>
        <v/>
      </c>
      <c r="QY53" s="28" t="str">
        <f>IFERROR(IF(DATA[[#This Row],[Other staff 3: Numbers employed (Full Time Equivalent)]]=0,"",DATA[[#This Row],[Other staff 3: Current 2021/22 Maximum hourly pay rate ADJUSTED 2]]*DATA[[#This Row],[Other staff 3: Numbers employed (Full Time Equivalent)]]),"")</f>
        <v/>
      </c>
      <c r="QZ53" s="28" t="str">
        <f>IFERROR(IF(DATA[[#This Row],[Other staff 3: Numbers employed (Full Time Equivalent)]]=0,"",DATA[[#This Row],[Other staff 3: Previous 2020/21 Minimum hourly pay rate ADJUSTED 2]]*DATA[[#This Row],[Other staff 3: Numbers employed (Full Time Equivalent)]]),"")</f>
        <v/>
      </c>
      <c r="RA53" s="28" t="str">
        <f>IFERROR(IF(DATA[[#This Row],[Other staff 3: Numbers employed (Full Time Equivalent)]]=0,"",DATA[[#This Row],[Other staff 3: Previous 2020/21 Maximum hourly pay rate ADJUSTED 2]]*DATA[[#This Row],[Other staff 3: Numbers employed (Full Time Equivalent)]]),"")</f>
        <v/>
      </c>
      <c r="RB53"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53"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53"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53"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3</v>
      </c>
      <c r="RF53"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2</v>
      </c>
      <c r="RG53"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62</v>
      </c>
      <c r="RH53"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53"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53"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3"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2</v>
      </c>
      <c r="RL53"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53"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53"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53"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53"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4" spans="7:484" x14ac:dyDescent="0.25">
      <c r="G54" s="2">
        <v>48</v>
      </c>
      <c r="H54" s="2">
        <v>78</v>
      </c>
      <c r="J54" s="2">
        <v>1</v>
      </c>
      <c r="R54" s="2">
        <v>15.5</v>
      </c>
      <c r="S54" s="2">
        <v>15.75</v>
      </c>
      <c r="T54" s="2">
        <v>15.25</v>
      </c>
      <c r="U54" s="2">
        <v>15.5</v>
      </c>
      <c r="V54" s="2">
        <v>1</v>
      </c>
      <c r="W54" s="2">
        <v>13.75</v>
      </c>
      <c r="X54" s="2">
        <v>14</v>
      </c>
      <c r="Y54" s="2">
        <v>12.75</v>
      </c>
      <c r="Z54" s="2">
        <v>13</v>
      </c>
      <c r="AA54" s="2">
        <v>1</v>
      </c>
      <c r="AB54" s="2" t="s">
        <v>523</v>
      </c>
      <c r="AC54" s="2">
        <v>12.5</v>
      </c>
      <c r="AD54" s="2">
        <v>12.75</v>
      </c>
      <c r="AE54" s="2">
        <v>12.25</v>
      </c>
      <c r="AF54" s="2">
        <v>12.5</v>
      </c>
      <c r="AG54" s="2">
        <v>1</v>
      </c>
      <c r="AH54" s="2" t="s">
        <v>523</v>
      </c>
      <c r="AI54" s="2">
        <v>10.75</v>
      </c>
      <c r="AJ54" s="2">
        <v>11.5</v>
      </c>
      <c r="AK54" s="2">
        <v>10.25</v>
      </c>
      <c r="AL54" s="2">
        <v>10.5</v>
      </c>
      <c r="AM54" s="2">
        <v>1</v>
      </c>
      <c r="AN54" s="2" t="s">
        <v>523</v>
      </c>
      <c r="AO54" s="2">
        <v>10.75</v>
      </c>
      <c r="AP54" s="2">
        <v>11.5</v>
      </c>
      <c r="AQ54" s="2">
        <v>10.25</v>
      </c>
      <c r="AR54" s="2">
        <v>10.5</v>
      </c>
      <c r="AS54" s="2">
        <v>1</v>
      </c>
      <c r="AT54" s="2" t="s">
        <v>524</v>
      </c>
      <c r="AU54" s="2">
        <v>9.5</v>
      </c>
      <c r="AV54" s="2">
        <v>10</v>
      </c>
      <c r="AW54" s="2">
        <v>8.75</v>
      </c>
      <c r="AX54" s="2">
        <v>9.25</v>
      </c>
      <c r="AY54" s="2">
        <v>1</v>
      </c>
      <c r="AZ54" s="2" t="s">
        <v>525</v>
      </c>
      <c r="BA54" s="2">
        <v>9.25</v>
      </c>
      <c r="BB54" s="2">
        <v>9.25</v>
      </c>
      <c r="BC54" s="2">
        <v>8.75</v>
      </c>
      <c r="BD54" s="2">
        <v>9.25</v>
      </c>
      <c r="BE54" s="2">
        <v>1</v>
      </c>
      <c r="BF54" s="2" t="s">
        <v>526</v>
      </c>
      <c r="BG54" s="2">
        <v>9</v>
      </c>
      <c r="BH54" s="2">
        <v>9.5</v>
      </c>
      <c r="BI54" s="2">
        <v>8.75</v>
      </c>
      <c r="BJ54" s="2">
        <v>9</v>
      </c>
      <c r="BK54" s="2">
        <v>45</v>
      </c>
      <c r="BL54" s="2" t="s">
        <v>316</v>
      </c>
      <c r="BM54" s="2">
        <v>0</v>
      </c>
      <c r="BN54" s="2">
        <v>0</v>
      </c>
      <c r="BO54" s="2">
        <v>0</v>
      </c>
      <c r="BP54" s="2">
        <v>0</v>
      </c>
      <c r="BQ54" s="2">
        <v>0</v>
      </c>
      <c r="BR54" s="2" t="s">
        <v>466</v>
      </c>
      <c r="BS54" s="2">
        <v>9.25</v>
      </c>
      <c r="BT54" s="2">
        <v>9.5</v>
      </c>
      <c r="BU54" s="2">
        <v>9</v>
      </c>
      <c r="BV54" s="2">
        <v>9.25</v>
      </c>
      <c r="BW54" s="2">
        <v>1</v>
      </c>
      <c r="BX54" s="2" t="s">
        <v>527</v>
      </c>
      <c r="BY54" s="2">
        <v>4.3</v>
      </c>
      <c r="BZ54" s="2">
        <v>4.3</v>
      </c>
      <c r="CA54" s="2">
        <v>4.1500000000000004</v>
      </c>
      <c r="CB54" s="2">
        <v>4.1500000000000004</v>
      </c>
      <c r="CC54" s="2">
        <v>1</v>
      </c>
      <c r="CD54" s="2" t="s">
        <v>317</v>
      </c>
      <c r="CE54" s="2">
        <v>0</v>
      </c>
      <c r="CF54" s="2">
        <v>0</v>
      </c>
      <c r="CG54" s="2">
        <v>0</v>
      </c>
      <c r="CH54" s="2">
        <v>0</v>
      </c>
      <c r="CI54" s="2">
        <v>0</v>
      </c>
      <c r="CJ54" s="2" t="s">
        <v>318</v>
      </c>
      <c r="CK54" s="2">
        <v>0</v>
      </c>
      <c r="CL54" s="2">
        <v>0</v>
      </c>
      <c r="CM54" s="2">
        <v>0</v>
      </c>
      <c r="CN54" s="2">
        <v>0</v>
      </c>
      <c r="CO54" s="2">
        <v>0</v>
      </c>
      <c r="CP54" s="2" t="s">
        <v>318</v>
      </c>
      <c r="CQ54" s="2">
        <v>0</v>
      </c>
      <c r="CR54" s="2">
        <v>0</v>
      </c>
      <c r="CS54" s="2">
        <v>0</v>
      </c>
      <c r="CT54" s="2">
        <v>0</v>
      </c>
      <c r="CU54" s="2">
        <v>0</v>
      </c>
      <c r="CV54" s="2" t="s">
        <v>318</v>
      </c>
      <c r="CW54" s="2">
        <v>0</v>
      </c>
      <c r="CX54" s="2">
        <v>0</v>
      </c>
      <c r="CY54" s="2">
        <v>0</v>
      </c>
      <c r="CZ54" s="2">
        <v>0</v>
      </c>
      <c r="DA54" s="2">
        <v>0</v>
      </c>
      <c r="DB54" s="2">
        <v>0.03</v>
      </c>
      <c r="DC54" s="2">
        <v>1287.75</v>
      </c>
      <c r="DD54" s="2">
        <v>0</v>
      </c>
      <c r="DE54" s="2">
        <v>0</v>
      </c>
      <c r="DF54" s="2">
        <v>0</v>
      </c>
      <c r="DG54" s="2">
        <v>143.5</v>
      </c>
      <c r="DH54" s="2">
        <v>60</v>
      </c>
      <c r="DI54" s="2">
        <v>0</v>
      </c>
      <c r="DJ54" s="2">
        <v>0</v>
      </c>
      <c r="DK54" s="2">
        <v>0</v>
      </c>
      <c r="DL54" s="2">
        <v>0</v>
      </c>
      <c r="DM54" s="2">
        <v>0</v>
      </c>
      <c r="DN54" s="2">
        <v>0</v>
      </c>
      <c r="DO54" s="2">
        <v>15.58</v>
      </c>
      <c r="DP54" s="2">
        <v>15.58</v>
      </c>
      <c r="DQ54" s="2">
        <v>15.58</v>
      </c>
      <c r="DR54" s="18">
        <v>43922</v>
      </c>
      <c r="DS54" s="18">
        <v>44286</v>
      </c>
      <c r="DT54" s="2">
        <v>62810</v>
      </c>
      <c r="DU54" s="2">
        <v>141329</v>
      </c>
      <c r="DV54" s="2">
        <v>669782</v>
      </c>
      <c r="DW54" s="2">
        <v>16730</v>
      </c>
      <c r="DX54" s="2">
        <v>0</v>
      </c>
      <c r="DY54" s="2">
        <v>0</v>
      </c>
      <c r="DZ54" s="2">
        <v>5459</v>
      </c>
      <c r="EA54" s="2">
        <v>0</v>
      </c>
      <c r="EB54" s="2">
        <v>0</v>
      </c>
      <c r="EC54" s="2">
        <v>5800</v>
      </c>
      <c r="ED54" s="2">
        <v>4535</v>
      </c>
      <c r="EE54" s="2">
        <v>51001</v>
      </c>
      <c r="EF54" s="2">
        <v>3290</v>
      </c>
      <c r="EG54" s="2">
        <v>1000</v>
      </c>
      <c r="EH54" s="2" t="s">
        <v>528</v>
      </c>
      <c r="EI54" s="2">
        <v>2408</v>
      </c>
      <c r="EJ54" s="2"/>
      <c r="EK54" s="2">
        <v>0</v>
      </c>
      <c r="EL54" s="2">
        <v>5848</v>
      </c>
      <c r="EM54" s="2">
        <v>8353</v>
      </c>
      <c r="EN54" s="2">
        <v>6572</v>
      </c>
      <c r="EO54" s="2">
        <v>12888</v>
      </c>
      <c r="EP54" s="2">
        <v>4312</v>
      </c>
      <c r="EQ54" s="2">
        <v>0</v>
      </c>
      <c r="ER54" s="2">
        <v>0</v>
      </c>
      <c r="ES54" s="2">
        <v>5511</v>
      </c>
      <c r="ET54" s="2" t="s">
        <v>529</v>
      </c>
      <c r="EU54" s="2">
        <v>7999</v>
      </c>
      <c r="EV54" s="2" t="s">
        <v>530</v>
      </c>
      <c r="EW54" s="2">
        <v>3783</v>
      </c>
      <c r="EX54" s="2">
        <v>0</v>
      </c>
      <c r="EY54" s="2">
        <v>1785</v>
      </c>
      <c r="EZ54" s="2" t="s">
        <v>326</v>
      </c>
      <c r="FA54" s="2">
        <v>0</v>
      </c>
      <c r="FB54" s="2" t="s">
        <v>326</v>
      </c>
      <c r="FC54" s="2">
        <v>0</v>
      </c>
      <c r="FD54" s="2">
        <v>719</v>
      </c>
      <c r="FE54" s="2">
        <v>0</v>
      </c>
      <c r="FF54" s="2">
        <v>160378</v>
      </c>
      <c r="FG54" s="2"/>
      <c r="FH54" s="19">
        <v>44480.626863425925</v>
      </c>
      <c r="FI54" s="2" t="s">
        <v>345</v>
      </c>
      <c r="FJ54" s="2">
        <f>SUM(DATA[[#This Row],[Number of Home support clients:]],DATA[[#This Row],[Number of supported living clients:]])</f>
        <v>78</v>
      </c>
      <c r="FK54"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71-80</v>
      </c>
      <c r="FL54"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15.5</v>
      </c>
      <c r="FM54"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15.75</v>
      </c>
      <c r="FN54"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15.25</v>
      </c>
      <c r="FO54"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15.5</v>
      </c>
      <c r="FP54"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13.75</v>
      </c>
      <c r="FQ54"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14</v>
      </c>
      <c r="FR54"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12.75</v>
      </c>
      <c r="FS54"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13</v>
      </c>
      <c r="FT54"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12.5</v>
      </c>
      <c r="FU54"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12.75</v>
      </c>
      <c r="FV54"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12.25</v>
      </c>
      <c r="FW54"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12.5</v>
      </c>
      <c r="FX54"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10.75</v>
      </c>
      <c r="FY54"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11.5</v>
      </c>
      <c r="FZ54"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10.25</v>
      </c>
      <c r="GA54"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10.5</v>
      </c>
      <c r="GB54"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10.75</v>
      </c>
      <c r="GC54"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11.5</v>
      </c>
      <c r="GD54"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10.25</v>
      </c>
      <c r="GE54"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10.5</v>
      </c>
      <c r="GF54"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9.5</v>
      </c>
      <c r="GG54"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v>
      </c>
      <c r="GH54"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8.75</v>
      </c>
      <c r="GI54"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9.25</v>
      </c>
      <c r="GJ54"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9.25</v>
      </c>
      <c r="GK54"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9.25</v>
      </c>
      <c r="GL54"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8.75</v>
      </c>
      <c r="GM54"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9.25</v>
      </c>
      <c r="GN54"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v>
      </c>
      <c r="GO54"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9.5</v>
      </c>
      <c r="GP54"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8.75</v>
      </c>
      <c r="GQ54"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v>
      </c>
      <c r="GR54"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4"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4"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4"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4"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9.25</v>
      </c>
      <c r="GW54"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9.5</v>
      </c>
      <c r="GX54"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v>
      </c>
      <c r="GY54"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9.25</v>
      </c>
      <c r="GZ54"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4.3</v>
      </c>
      <c r="HA54"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4.3</v>
      </c>
      <c r="HB54"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4.1500000000000004</v>
      </c>
      <c r="HC54"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4.1500000000000004</v>
      </c>
      <c r="HD54"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54"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54"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54"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54"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54"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54"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54"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54"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54"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54"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54"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54"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4"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4"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4"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4"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15.5</v>
      </c>
      <c r="HU54"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15.75</v>
      </c>
      <c r="HV54"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15.25</v>
      </c>
      <c r="HW54"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15.5</v>
      </c>
      <c r="HX54"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13.75</v>
      </c>
      <c r="HY54"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14</v>
      </c>
      <c r="HZ54"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12.75</v>
      </c>
      <c r="IA54"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13</v>
      </c>
      <c r="IB54"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12.5</v>
      </c>
      <c r="IC54"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12.75</v>
      </c>
      <c r="ID54"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12.25</v>
      </c>
      <c r="IE54"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12.5</v>
      </c>
      <c r="IF54"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10.75</v>
      </c>
      <c r="IG54"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11.5</v>
      </c>
      <c r="IH54"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10.25</v>
      </c>
      <c r="II54"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10.5</v>
      </c>
      <c r="IJ54"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10.75</v>
      </c>
      <c r="IK54"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11.5</v>
      </c>
      <c r="IL54"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10.25</v>
      </c>
      <c r="IM54"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10.5</v>
      </c>
      <c r="IN54"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9.5</v>
      </c>
      <c r="IO54"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v>
      </c>
      <c r="IP54"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8.75</v>
      </c>
      <c r="IQ54"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9.25</v>
      </c>
      <c r="IR54"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9.25</v>
      </c>
      <c r="IS54"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9.25</v>
      </c>
      <c r="IT54"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8.75</v>
      </c>
      <c r="IU54"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9.25</v>
      </c>
      <c r="IV54"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v>
      </c>
      <c r="IW54"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9.5</v>
      </c>
      <c r="IX54"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8.75</v>
      </c>
      <c r="IY54"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v>
      </c>
      <c r="IZ54"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4"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4"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4"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4"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9.25</v>
      </c>
      <c r="JE54"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9.5</v>
      </c>
      <c r="JF54"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v>
      </c>
      <c r="JG54"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9.25</v>
      </c>
      <c r="JH54"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4.3</v>
      </c>
      <c r="JI54"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4.3</v>
      </c>
      <c r="JJ54"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4.1500000000000004</v>
      </c>
      <c r="JK54"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4.1500000000000004</v>
      </c>
      <c r="JL54"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54"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54"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54"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54"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54"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54"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54"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54"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54"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54"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54"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54"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4"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4"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4"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4"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5</v>
      </c>
      <c r="KC54" s="21">
        <f>SUM(DATA[[#This Row],[Care Assistant 1: Numbers employed (Full Time Equivalent)]],DATA[[#This Row],[Care Assistant 2: Numbers employed (Full Time Equivalent)]],DATA[[#This Row],[Care Assistant 3: Numbers employed (Full Time Equivalent)]],DATA[[#This Row],[Care Assistant 4: Numbers employed (Full Time Equivalent)]])</f>
        <v>47</v>
      </c>
      <c r="KD54" s="21">
        <f>SUM(DATA[[#This Row],[Administrative Officer 1: Numbers employed (Full Time Equivalent)]],DATA[[#This Row],[Administrative Officer 2: Numbers employed (Full Time Equivalent)]])</f>
        <v>2</v>
      </c>
      <c r="KE54" s="21">
        <f>SUM(DATA[[#This Row],[Other staff 1: Numbers employed (Full Time Equivalent)]],DATA[[#This Row],[Other staff 2: Numbers employed (Full Time Equivalent)]],DATA[[#This Row],[Other staff 3: Numbers employed (Full Time Equivalent)]])</f>
        <v>0</v>
      </c>
      <c r="KF54" s="21">
        <f>SUM(DATA[[#This Row],[Total FTE Management Employees]:[Total FTE Other Employees]])</f>
        <v>54</v>
      </c>
      <c r="KG54" s="21" t="str">
        <f>IF(SUM(DATA[[#This Row],[Home Support service split percentage (Expenditure):]],DATA[[#This Row],[Supported Living service split percentage (Expenditure):]])&gt;0, IF(DATA[[#This Row],[Home Support service split percentage (Expenditure):]]&gt;0.5,"Home Support","Supported Living"), "Unknown")</f>
        <v>Home Support</v>
      </c>
      <c r="KH54" s="21">
        <f>SUM(DATA[[#This Row],[Home Support: Birmingham City Council]:[Home Support: Self-funded]])</f>
        <v>1491.25</v>
      </c>
      <c r="KI54" s="21">
        <f>SUM(DATA[[#This Row],[Supported Living: Birmingham City Council]:[Supported Living: Self-funded]])</f>
        <v>0</v>
      </c>
      <c r="KJ54"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60.75</v>
      </c>
      <c r="KK54"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62</v>
      </c>
      <c r="KL54"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63.25</v>
      </c>
      <c r="KM54"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65.5</v>
      </c>
      <c r="KN54" s="21" t="b">
        <f>SUM(DATA[[#This Row],[Number of hours of care charged for in last full accounting year]:[Corporate Overheads: Other  - please specify (category) 1]])&gt;0</f>
        <v>1</v>
      </c>
      <c r="KO54" s="21">
        <f>SUM(DATA[[#This Row],[Total annual expenditure: Management staff]:[Total annual expenditure: Training and development]])</f>
        <v>833300</v>
      </c>
      <c r="KP54" s="21">
        <f>SUM(DATA[[#This Row],[Recruitment &amp; advertising (including DBS checks)]:[Non-Staffing Direct Cost: Other  - please specify (amount) 2]])</f>
        <v>68034</v>
      </c>
      <c r="KQ54" s="21">
        <f>SUM(DATA[[#This Row],[Insurance ]:[Indirect costs: Other 2 - please specify (amount)]])</f>
        <v>55266</v>
      </c>
      <c r="KR54" s="21">
        <f>SUM(DATA[[#This Row],[Central / Regional Management]],DATA[[#This Row],[Support Services (finance / HR / Payroll / legal etc.)]],DATA[[#This Row],[Corporate Overheads: Other  - please specify (amount) 1]],DATA[[#This Row],[Corporate Overheads: Other  - please specify (amount) 2]])</f>
        <v>1785</v>
      </c>
      <c r="KS54"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2.2501034867059384</v>
      </c>
      <c r="KT54"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10.663620442604682</v>
      </c>
      <c r="KU54"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0.26635886005413151</v>
      </c>
      <c r="KV54"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54"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54" s="30">
        <f>IF(OR(NOT(DATA[[#This Row],[Total annual expenditure: Travel Cost]]&gt;0),NOT(DATA[[#This Row],[Number of hours of care charged for in last full accounting year]]&gt;0)),0,DATA[[#This Row],[Total annual expenditure: Travel Cost]]/DATA[[#This Row],[Number of hours of care charged for in last full accounting year]])</f>
        <v>8.6912911956694788E-2</v>
      </c>
      <c r="KY54"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54"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54"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9.2341983760547683E-2</v>
      </c>
      <c r="LB54"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7.2201878681738579E-2</v>
      </c>
      <c r="LC54" s="30">
        <f>IF(OR(NOT(DATA[[#This Row],[Care consumables &amp; uniforms]]&gt;0),NOT(DATA[[#This Row],[Number of hours of care charged for in last full accounting year]]&gt;0)),0,DATA[[#This Row],[Care consumables &amp; uniforms]]/DATA[[#This Row],[Number of hours of care charged for in last full accounting year]])</f>
        <v>0.8119885368571883</v>
      </c>
      <c r="LD54" s="30">
        <f>IF(OR(NOT(DATA[[#This Row],[Electronic call monitoring]]&gt;0),NOT(DATA[[#This Row],[Number of hours of care charged for in last full accounting year]]&gt;0)),0,DATA[[#This Row],[Electronic call monitoring]]/DATA[[#This Row],[Number of hours of care charged for in last full accounting year]])</f>
        <v>5.2380194236586533E-2</v>
      </c>
      <c r="LE54" s="30">
        <f>IF(OR(NOT(DATA[[#This Row],[IT Equipment &amp; Telephoney]]&gt;0),NOT(DATA[[#This Row],[Number of hours of care charged for in last full accounting year]]&gt;0)),0,DATA[[#This Row],[IT Equipment &amp; Telephoney]]/DATA[[#This Row],[Number of hours of care charged for in last full accounting year]])</f>
        <v>1.5921031682853051E-2</v>
      </c>
      <c r="LF54"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3.8337844292310144E-2</v>
      </c>
      <c r="LG54"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54" s="30">
        <f>IF(OR(NOT(DATA[[#This Row],[Insurance ]]&gt;0),NOT(DATA[[#This Row],[Number of hours of care charged for in last full accounting year]]&gt;0)),0,DATA[[#This Row],[Insurance ]]/DATA[[#This Row],[Number of hours of care charged for in last full accounting year]])</f>
        <v>9.3106193281324634E-2</v>
      </c>
      <c r="LI54"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0.13298837764687152</v>
      </c>
      <c r="LJ54" s="30">
        <f>IF(OR(NOT(DATA[[#This Row],[Repairs and maintenance]]&gt;0),NOT(DATA[[#This Row],[Number of hours of care charged for in last full accounting year]]&gt;0)),0,DATA[[#This Row],[Repairs and maintenance]]/DATA[[#This Row],[Number of hours of care charged for in last full accounting year]])</f>
        <v>0.10463302021971024</v>
      </c>
      <c r="LK54"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0.2051902563286101</v>
      </c>
      <c r="LL54" s="30">
        <f>IF(OR(NOT(DATA[[#This Row],[Registration &amp; Inspection fees ]]&gt;0),NOT(DATA[[#This Row],[Number of hours of care charged for in last full accounting year]]&gt;0)),0,DATA[[#This Row],[Registration &amp; Inspection fees ]]/DATA[[#This Row],[Number of hours of care charged for in last full accounting year]])</f>
        <v>6.865148861646235E-2</v>
      </c>
      <c r="LM54" s="30">
        <f>IF(OR(NOT(DATA[[#This Row],[Subscriptions]]&gt;0),NOT(DATA[[#This Row],[Number of hours of care charged for in last full accounting year]]&gt;0)),0,DATA[[#This Row],[Subscriptions]]/DATA[[#This Row],[Number of hours of care charged for in last full accounting year]])</f>
        <v>0</v>
      </c>
      <c r="LN54" s="30">
        <f>IF(OR(NOT(DATA[[#This Row],[Cost of finance]]&gt;0),NOT(DATA[[#This Row],[Number of hours of care charged for in last full accounting year]]&gt;0)),0,DATA[[#This Row],[Cost of finance]]/DATA[[#This Row],[Number of hours of care charged for in last full accounting year]])</f>
        <v>0</v>
      </c>
      <c r="LO54" s="30">
        <f>IF(OR(NOT(DATA[[#This Row],[Other non-staff current expenses]]&gt;0),NOT(DATA[[#This Row],[Number of hours of care charged for in last full accounting year]]&gt;0)),0,DATA[[#This Row],[Other non-staff current expenses]]/DATA[[#This Row],[Number of hours of care charged for in last full accounting year]])</f>
        <v>8.7740805604203151E-2</v>
      </c>
      <c r="LP54"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0.12735233243114155</v>
      </c>
      <c r="LQ54"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6.0229262856233083E-2</v>
      </c>
      <c r="LR54" s="30">
        <f>IF(OR(NOT(DATA[[#This Row],[Central / Regional Management]]&gt;0),NOT(DATA[[#This Row],[Number of hours of care charged for in last full accounting year]]&gt;0)),0,DATA[[#This Row],[Central / Regional Management]]/DATA[[#This Row],[Number of hours of care charged for in last full accounting year]])</f>
        <v>0</v>
      </c>
      <c r="LS54"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2.8419041553892691E-2</v>
      </c>
      <c r="LT54"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54"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4" s="30">
        <f>SUM(DATA[[#This Row],[Management staff HOURLY RATE]:[Corporate Overheads: Other  - please specify (amount) 2 HOURLY RATE]])</f>
        <v>15.25847794937112</v>
      </c>
      <c r="LW54" s="30">
        <f>IF(OR(NOT(DATA[[#This Row],[Net Operating Profit]]&gt;0),NOT(DATA[[#This Row],[Number of hours of care charged for in last full accounting year]]&gt;0)),"",DATA[[#This Row],[Net Operating Profit]]/DATA[[#This Row],[Number of hours of care charged for in last full accounting year]])</f>
        <v>1.1447221779971341E-2</v>
      </c>
      <c r="LX54" s="30">
        <f>IF(OR(NOT(DATA[[#This Row],[Return on Capital employed]]&gt;0),NOT(DATA[[#This Row],[Number of hours of care charged for in last full accounting year]]&gt;0)),0,DATA[[#This Row],[Return on Capital employed]]/DATA[[#This Row],[Number of hours of care charged for in last full accounting year]])</f>
        <v>0</v>
      </c>
      <c r="LY54" s="31">
        <v>48</v>
      </c>
      <c r="LZ54" s="30" t="s">
        <v>345</v>
      </c>
      <c r="MA54" s="30" t="b">
        <f>DATA[[#This Row],[Number of Home support clients:]]&gt;0</f>
        <v>1</v>
      </c>
      <c r="MB54" s="30" t="b">
        <f>DATA[[#This Row],[Number of supported living clients:]]&gt;0</f>
        <v>0</v>
      </c>
      <c r="MC54" s="30" t="b">
        <f>DATA[[#This Row],[Total Home Support Hours]]&gt;0</f>
        <v>1</v>
      </c>
      <c r="MD54" s="30" t="b">
        <f>DATA[[#This Row],[Total Supported Living Hours]]&gt;0</f>
        <v>0</v>
      </c>
      <c r="ME54" s="30" t="b">
        <f>DATA[[#This Row],[Home Support service split percentage (Expenditure):]]&gt;0.5</f>
        <v>1</v>
      </c>
      <c r="MF54" s="30" t="b">
        <f>DATA[[#This Row],[Agency staff HOURLY RATE]]=0</f>
        <v>1</v>
      </c>
      <c r="MG54" s="30">
        <f>IFERROR(IF(AVERAGE(DATA[[#This Row],[Registered manager: Current 2021/22 Minimum hourly pay rate ADJUSTED]],DATA[[#This Row],[Registered manager: Current 2021/22 Maximum hourly pay rate ADJUSTED]])&lt;LIVING_WAGE_22_23,DATA[[#This Row],[Registered manager: Numbers employed (Full Time Equivalent)]],0),"")</f>
        <v>0</v>
      </c>
      <c r="MH54" s="30">
        <f>IFERROR(IF(AVERAGE(DATA[[#This Row],[Deputy manager: Current 2021/22 Minimum hourly pay rate ADJUSTED]],DATA[[#This Row],[Deputy manager: Current 2021/22 Maximum hourly pay rate ADJUSTED]])&lt;LIVING_WAGE_22_23,DATA[[#This Row],[Deputy manager: Numbers employed (Full Time Equivalent)]],0),"")</f>
        <v>0</v>
      </c>
      <c r="MI54" s="30">
        <f>IFERROR(IF(AVERAGE(DATA[[#This Row],[Other manager 1: Current 2021/22 Minimum hourly pay rate ADJUSTED]],DATA[[#This Row],[Other manager 1: Current 2021/22 Maximum hourly pay rate ADJUSTED]])&lt;LIVING_WAGE_22_23,DATA[[#This Row],[Other manager 1: Numbers employed (Full Time Equivalent)]],0),"")</f>
        <v>0</v>
      </c>
      <c r="MJ54" s="30">
        <f>IFERROR(IF(AVERAGE(DATA[[#This Row],[Other manager 2: Current 2021/22 Minimum hourly pay rate ADJUSTED]],DATA[[#This Row],[Other manager 2: Current 2021/22 Maximum hourly pay rate ADJUSTED]])&lt;LIVING_WAGE_22_23,DATA[[#This Row],[Other manager 2: Numbers employed (Full Time Equivalent)]],0),"")</f>
        <v>0</v>
      </c>
      <c r="MK54" s="30">
        <f>IFERROR(IF(AVERAGE(DATA[[#This Row],[Other manager 3: Current 2021/22 Minimum hourly pay rate ADJUSTED]],DATA[[#This Row],[Other manager 3: Current 2021/22 Maximum hourly pay rate ADJUSTED]])&lt;LIVING_WAGE_22_23,DATA[[#This Row],[Other manager 3: Numbers employed (Full Time Equivalent)]],0),"")</f>
        <v>0</v>
      </c>
      <c r="ML54" s="30">
        <f>IFERROR(IF(AVERAGE(DATA[[#This Row],[Care Assistant 1: Current 2021/22 Minimum hourly pay rate ADJUSTED]],DATA[[#This Row],[Care Assistant 1: Current 2021/22 Maximum hourly pay rate ADJUSTED]])&lt;LIVING_WAGE_22_23,DATA[[#This Row],[Care Assistant 1: Numbers employed (Full Time Equivalent)]],0),"")</f>
        <v>0</v>
      </c>
      <c r="MM54" s="30">
        <f>IFERROR(IF(AVERAGE(DATA[[#This Row],[Care Assistant 2: Current 2021/22 Minimum hourly pay rate ADJUSTED]],DATA[[#This Row],[Care Assistant 2: Current 2021/22 Maximum hourly pay rate ADJUSTED]])&lt;LIVING_WAGE_22_23,DATA[[#This Row],[Care Assistant 2: Numbers employed (Full Time Equivalent)]],0),"")</f>
        <v>1</v>
      </c>
      <c r="MN54" s="30">
        <f>IFERROR(IF(AVERAGE(DATA[[#This Row],[Care Assistant 3: Current 2021/22 Minimum hourly pay rate ADJUSTED]],DATA[[#This Row],[Care Assistant 3: Current 2021/22 Maximum hourly pay rate ADJUSTED]])&lt;LIVING_WAGE_22_23,DATA[[#This Row],[Care Assistant 3: Numbers employed (Full Time Equivalent)]],0),"")</f>
        <v>45</v>
      </c>
      <c r="MO54" s="30" t="str">
        <f>IFERROR(IF(AVERAGE(DATA[[#This Row],[Care Assistant 4: Current 2021/22 Minimum hourly pay rate ADJUSTED]],DATA[[#This Row],[Care Assistant 4: Current 2021/22 Maximum hourly pay rate ADJUSTED]])&lt;LIVING_WAGE_22_23,DATA[[#This Row],[Care Assistant 4: Numbers employed (Full Time Equivalent)]],0),"")</f>
        <v/>
      </c>
      <c r="MP54"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54"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1</v>
      </c>
      <c r="MR54" s="30" t="str">
        <f>IFERROR(IF(AVERAGE(DATA[[#This Row],[Other staff 1: Current 2021/22 Minimum hourly pay rate ADJUSTED]],DATA[[#This Row],[Other staff 1: Current 2021/22 Maximum hourly pay rate ADJUSTED]])&lt;LIVING_WAGE_22_23,DATA[[#This Row],[Other staff 1: Numbers employed (Full Time Equivalent)]],0),"")</f>
        <v/>
      </c>
      <c r="MS54" s="30" t="str">
        <f>IFERROR(IF(AVERAGE(DATA[[#This Row],[Other staff 2: Current 2021/22 Minimum hourly pay rate ADJUSTED]],DATA[[#This Row],[Other staff 2: Current 2021/22 Maximum hourly pay rate ADJUSTED]])&lt;LIVING_WAGE_22_23,DATA[[#This Row],[Other staff 2: Numbers employed (Full Time Equivalent)]],0),"")</f>
        <v/>
      </c>
      <c r="MT54" s="30" t="str">
        <f>IFERROR(IF(AVERAGE(DATA[[#This Row],[Other staff 3: Current 2021/22 Minimum hourly pay rate ADJUSTED]],DATA[[#This Row],[Other staff 3: Current 2021/22 Maximum hourly pay rate ADJUSTED]])&lt;LIVING_WAGE_22_23,DATA[[#This Row],[Other staff 3: Numbers employed (Full Time Equivalent)]],0),"")</f>
        <v/>
      </c>
      <c r="MU54" s="30">
        <f>SUM(DATA[[#This Row],[Registered Manager FTE earning less than NLW 23yrs 2022/23]:[Other staff 3 FTE earning less than NLW 23yrs 2022/23]])</f>
        <v>48</v>
      </c>
      <c r="MV54"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54"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54"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54"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54"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54"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54"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0.25</v>
      </c>
      <c r="NC54"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11.25</v>
      </c>
      <c r="ND54"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4"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0.125</v>
      </c>
      <c r="NF54"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5.2</v>
      </c>
      <c r="NG54"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54"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54"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4" s="30" t="b">
        <v>1</v>
      </c>
      <c r="NK54" s="30" t="b">
        <v>1</v>
      </c>
      <c r="NL54" s="30" t="s">
        <v>505</v>
      </c>
      <c r="NM54" s="30">
        <f>SUM(DATA[[#This Row],[Management staff HOURLY RATE]:[Training and development HOURLY RATE]])</f>
        <v>13.266995701321447</v>
      </c>
      <c r="NN54" s="30">
        <f>SUM(DATA[[#This Row],[Recruitment &amp; advertising (including DBS checks) HOURLY RATE]:[Non-Staffing Direct Cost: Other  - please specify (amount) 2 HOURLY RATE]])</f>
        <v>1.0831714695112242</v>
      </c>
      <c r="NO54" s="30">
        <f>SUM(DATA[[#This Row],[Insurance  HOURLY RATE]:[Indirect costs: Other  - please specify (amount) 2 HOURLY RATE]])</f>
        <v>0.87989173698455658</v>
      </c>
      <c r="NP54" s="30">
        <f>SUM(DATA[[#This Row],[Central / Regional Management HOURLY RATE]:[Corporate Overheads: Other  - please specify (amount) 2 HOURLY RATE]])</f>
        <v>2.8419041553892691E-2</v>
      </c>
      <c r="NQ54"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54" s="30">
        <f>IFERROR(IF(AVERAGE(DATA[[#This Row],[Deputy manager: Current 2021/22 Minimum hourly pay rate ADJUSTED]],DATA[[#This Row],[Deputy manager: Current 2021/22 Maximum hourly pay rate ADJUSTED]])&lt;REAL_LIVING_WAGE_22_23,DATA[[#This Row],[Deputy manager: Numbers employed (Full Time Equivalent)]],0),"")</f>
        <v>0</v>
      </c>
      <c r="NS54" s="30">
        <f>IFERROR(IF(AVERAGE(DATA[[#This Row],[Other manager 1: Current 2021/22 Minimum hourly pay rate ADJUSTED]],DATA[[#This Row],[Other manager 1: Current 2021/22 Maximum hourly pay rate ADJUSTED]])&lt;REAL_LIVING_WAGE_22_23,DATA[[#This Row],[Other manager 1: Numbers employed (Full Time Equivalent)]],0),"")</f>
        <v>0</v>
      </c>
      <c r="NT54" s="30">
        <f>IFERROR(IF(AVERAGE(DATA[[#This Row],[Other manager 2: Current 2021/22 Minimum hourly pay rate ADJUSTED]],DATA[[#This Row],[Other manager 2: Current 2021/22 Maximum hourly pay rate ADJUSTED]])&lt;REAL_LIVING_WAGE_22_23,DATA[[#This Row],[Other manager 2: Numbers employed (Full Time Equivalent)]],0),"")</f>
        <v>0</v>
      </c>
      <c r="NU54" s="30">
        <f>IFERROR(IF(AVERAGE(DATA[[#This Row],[Other manager 3: Current 2021/22 Minimum hourly pay rate ADJUSTED]],DATA[[#This Row],[Other manager 3: Current 2021/22 Maximum hourly pay rate ADJUSTED]])&lt;REAL_LIVING_WAGE_22_23,DATA[[#This Row],[Other manager 3: Numbers employed (Full Time Equivalent)]],0),"")</f>
        <v>0</v>
      </c>
      <c r="NV54" s="30">
        <f>IFERROR(IF(AVERAGE(DATA[[#This Row],[Care Assistant 1: Current 2021/22 Minimum hourly pay rate ADJUSTED]],DATA[[#This Row],[Care Assistant 1: Current 2021/22 Maximum hourly pay rate ADJUSTED]])&lt;REAL_LIVING_WAGE_22_23,DATA[[#This Row],[Care Assistant 1: Numbers employed (Full Time Equivalent)]],0),"")</f>
        <v>1</v>
      </c>
      <c r="NW54" s="30">
        <f>IFERROR(IF(AVERAGE(DATA[[#This Row],[Care Assistant 2: Current 2021/22 Minimum hourly pay rate ADJUSTED]],DATA[[#This Row],[Care Assistant 2: Current 2021/22 Maximum hourly pay rate ADJUSTED]])&lt;REAL_LIVING_WAGE_22_23,DATA[[#This Row],[Care Assistant 2: Numbers employed (Full Time Equivalent)]],0),"")</f>
        <v>1</v>
      </c>
      <c r="NX54" s="30">
        <f>IFERROR(IF(AVERAGE(DATA[[#This Row],[Care Assistant 3: Current 2021/22 Minimum hourly pay rate ADJUSTED]],DATA[[#This Row],[Care Assistant 3: Current 2021/22 Maximum hourly pay rate ADJUSTED]])&lt;REAL_LIVING_WAGE_22_23,DATA[[#This Row],[Care Assistant 3: Numbers employed (Full Time Equivalent)]],0),"")</f>
        <v>45</v>
      </c>
      <c r="NY54"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4"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54"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1</v>
      </c>
      <c r="OB54" s="30" t="str">
        <f>IFERROR(IF(AVERAGE(DATA[[#This Row],[Other staff 1: Current 2021/22 Minimum hourly pay rate ADJUSTED]],DATA[[#This Row],[Other staff 1: Current 2021/22 Maximum hourly pay rate ADJUSTED]])&lt;REAL_LIVING_WAGE_22_23,DATA[[#This Row],[Other staff 1: Numbers employed (Full Time Equivalent)]],0),"")</f>
        <v/>
      </c>
      <c r="OC54" s="30" t="str">
        <f>IFERROR(IF(AVERAGE(DATA[[#This Row],[Other staff 2: Current 2021/22 Minimum hourly pay rate ADJUSTED]],DATA[[#This Row],[Other staff 2: Current 2021/22 Maximum hourly pay rate ADJUSTED]])&lt;REAL_LIVING_WAGE_22_23,DATA[[#This Row],[Other staff 2: Numbers employed (Full Time Equivalent)]],0),"")</f>
        <v/>
      </c>
      <c r="OD54" s="30" t="str">
        <f>IFERROR(IF(AVERAGE(DATA[[#This Row],[Other staff 3: Current 2021/22 Minimum hourly pay rate ADJUSTED]],DATA[[#This Row],[Other staff 3: Current 2021/22 Maximum hourly pay rate ADJUSTED]])&lt;REAL_LIVING_WAGE_22_23,DATA[[#This Row],[Other staff 3: Numbers employed (Full Time Equivalent)]],0),"")</f>
        <v/>
      </c>
      <c r="OE54" s="30">
        <f>SUM(DATA[[#This Row],[Registered Manager FTE earning less than RLW 23yrs 2022/23]:[Other staff 3 FTE earning less than RLW 23yrs 2022/23]])</f>
        <v>49</v>
      </c>
      <c r="OF54"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54"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54"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54"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54"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54"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0.15000000000000036</v>
      </c>
      <c r="OL54"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0.65000000000000036</v>
      </c>
      <c r="OM54"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29.250000000000014</v>
      </c>
      <c r="ON54"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4"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0.52500000000000036</v>
      </c>
      <c r="OP54"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5.6000000000000005</v>
      </c>
      <c r="OQ54"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54"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54"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4" s="30">
        <f>IFERROR(IF(DATA[[#This Row],[Registered manager: Numbers employed (Full Time Equivalent)]]=0,"",DATA[[#This Row],[Registered manager: Current 2021/22 Minimum hourly pay rate ADJUSTED 2]]*DATA[[#This Row],[Registered manager: Numbers employed (Full Time Equivalent)]]),"")</f>
        <v>15.5</v>
      </c>
      <c r="OU54" s="30">
        <f>IFERROR(IF(DATA[[#This Row],[Registered manager: Numbers employed (Full Time Equivalent)]]=0,"",DATA[[#This Row],[Registered manager: Current 2021/22 Maximum hourly pay rate ADJUSTED 2]]*DATA[[#This Row],[Registered manager: Numbers employed (Full Time Equivalent)]]),"")</f>
        <v>15.75</v>
      </c>
      <c r="OV54" s="30">
        <f>IFERROR(IF(DATA[[#This Row],[Registered manager: Numbers employed (Full Time Equivalent)]]=0,"",DATA[[#This Row],[Registered manager: Previous 2020/21 Minimum hourly pay rate ADJUSTED 2]]*DATA[[#This Row],[Registered manager: Numbers employed (Full Time Equivalent)]]),"")</f>
        <v>15.25</v>
      </c>
      <c r="OW54" s="30">
        <f>IFERROR(IF(DATA[[#This Row],[Registered manager: Numbers employed (Full Time Equivalent)]]=0,"",DATA[[#This Row],[Registered manager: Previous 2020/21 Maximum hourly pay rate ADJUSTED 2]]*DATA[[#This Row],[Registered manager: Numbers employed (Full Time Equivalent)]]),"")</f>
        <v>15.5</v>
      </c>
      <c r="OX54" s="30">
        <f>IFERROR(IF(DATA[[#This Row],[Deputy manager: Numbers employed (Full Time Equivalent)]]=0,"",DATA[[#This Row],[Deputy manager: Current 2021/22 Minimum hourly pay rate ADJUSTED 2]]*DATA[[#This Row],[Deputy manager: Numbers employed (Full Time Equivalent)]]),"")</f>
        <v>13.75</v>
      </c>
      <c r="OY54" s="30">
        <f>IFERROR(IF(DATA[[#This Row],[Deputy manager: Numbers employed (Full Time Equivalent)]]=0,"",DATA[[#This Row],[Deputy manager: Current 2021/22 Maximum hourly pay rate ADJUSTED 2]]*DATA[[#This Row],[Deputy manager: Numbers employed (Full Time Equivalent)]]),"")</f>
        <v>14</v>
      </c>
      <c r="OZ54" s="30">
        <f>IFERROR(IF(DATA[[#This Row],[Deputy manager: Numbers employed (Full Time Equivalent)]]=0,"",DATA[[#This Row],[Deputy manager: Previous 2020/21 Minimum hourly pay rate ADJUSTED 2]]*DATA[[#This Row],[Deputy manager: Numbers employed (Full Time Equivalent)]]),"")</f>
        <v>12.75</v>
      </c>
      <c r="PA54" s="30">
        <f>IFERROR(IF(DATA[[#This Row],[Deputy manager: Numbers employed (Full Time Equivalent)]]=0,"",DATA[[#This Row],[Deputy manager: Previous 2020/21 Maximum hourly pay rate ADJUSTED 2]]*DATA[[#This Row],[Deputy manager: Numbers employed (Full Time Equivalent)]]),"")</f>
        <v>13</v>
      </c>
      <c r="PB54" s="30">
        <f>IFERROR(IF(DATA[[#This Row],[Other manager 1: Numbers employed (Full Time Equivalent)]]=0,"",DATA[[#This Row],[Other manager 1: Current 2021/22 Minimum hourly pay rate ADJUSTED 2]]*DATA[[#This Row],[Other manager 1: Numbers employed (Full Time Equivalent)]]),"")</f>
        <v>12.5</v>
      </c>
      <c r="PC54" s="30">
        <f>IFERROR(IF(DATA[[#This Row],[Other manager 1: Numbers employed (Full Time Equivalent)]]=0,"",DATA[[#This Row],[Other manager 1: Current 2021/22 Maximum hourly pay rate ADJUSTED 2]]*DATA[[#This Row],[Other manager 1: Numbers employed (Full Time Equivalent)]]),"")</f>
        <v>12.75</v>
      </c>
      <c r="PD54" s="30">
        <f>IFERROR(IF(DATA[[#This Row],[Other manager 1: Numbers employed (Full Time Equivalent)]]=0,"",DATA[[#This Row],[Other manager 1: Previous 2020/21 Minimum hourly pay rate ADJUSTED 2]]*DATA[[#This Row],[Other manager 1: Numbers employed (Full Time Equivalent)]]),"")</f>
        <v>12.25</v>
      </c>
      <c r="PE54" s="30">
        <f>IFERROR(IF(DATA[[#This Row],[Other manager 1: Numbers employed (Full Time Equivalent)]]=0,"",DATA[[#This Row],[Other manager 1: Previous 2020/21 Maximum hourly pay rate ADJUSTED 2]]*DATA[[#This Row],[Other manager 1: Numbers employed (Full Time Equivalent)]]),"")</f>
        <v>12.5</v>
      </c>
      <c r="PF54" s="30">
        <f>IFERROR(IF(DATA[[#This Row],[Other manager 2: Numbers employed (Full Time Equivalent)]]=0,"",DATA[[#This Row],[Other manager 2: Current 2021/22 Minimum hourly pay rate ADJUSTED 2]]*DATA[[#This Row],[Other manager 2: Numbers employed (Full Time Equivalent)]]),"")</f>
        <v>10.75</v>
      </c>
      <c r="PG54" s="30">
        <f>IFERROR(IF(DATA[[#This Row],[Other manager 2: Numbers employed (Full Time Equivalent)]]=0,"",DATA[[#This Row],[Other manager 2: Current 2021/22 Maximum hourly pay rate ADJUSTED 2]]*DATA[[#This Row],[Other manager 2: Numbers employed (Full Time Equivalent)]]),"")</f>
        <v>11.5</v>
      </c>
      <c r="PH54" s="30">
        <f>IFERROR(IF(DATA[[#This Row],[Other manager 2: Numbers employed (Full Time Equivalent)]]=0,"",DATA[[#This Row],[Other manager 2: Previous 2020/21 Minimum hourly pay rate ADJUSTED 2]]*DATA[[#This Row],[Other manager 2: Numbers employed (Full Time Equivalent)]]),"")</f>
        <v>10.25</v>
      </c>
      <c r="PI54" s="30">
        <f>IFERROR(IF(DATA[[#This Row],[Other manager 2: Numbers employed (Full Time Equivalent)]]=0,"",DATA[[#This Row],[Other manager 2: Previous 2020/21 Maximum hourly pay rate ADJUSTED 2]]*DATA[[#This Row],[Other manager 2: Numbers employed (Full Time Equivalent)]]),"")</f>
        <v>10.5</v>
      </c>
      <c r="PJ54" s="30">
        <f>IFERROR(IF(DATA[[#This Row],[Other manager 3: Numbers employed (Full Time Equivalent)]]=0,"",DATA[[#This Row],[Other manager 3: Current 2021/22 Minimum hourly pay rate ADJUSTED 2]]*DATA[[#This Row],[Other manager 3: Numbers employed (Full Time Equivalent)]]),"")</f>
        <v>10.75</v>
      </c>
      <c r="PK54" s="30">
        <f>IFERROR(IF(DATA[[#This Row],[Other manager 3: Numbers employed (Full Time Equivalent)]]=0,"",DATA[[#This Row],[Other manager 3: Current 2021/22 Maximum hourly pay rate ADJUSTED 2]]*DATA[[#This Row],[Other manager 3: Numbers employed (Full Time Equivalent)]]),"")</f>
        <v>11.5</v>
      </c>
      <c r="PL54" s="30">
        <f>IFERROR(IF(DATA[[#This Row],[Other manager 3: Numbers employed (Full Time Equivalent)]]=0,"",DATA[[#This Row],[Other manager 3: Previous 2020/21 Minimum hourly pay rate ADJUSTED 2]]*DATA[[#This Row],[Other manager 3: Numbers employed (Full Time Equivalent)]]),"")</f>
        <v>10.25</v>
      </c>
      <c r="PM54" s="30">
        <f>IFERROR(IF(DATA[[#This Row],[Other manager 3: Numbers employed (Full Time Equivalent)]]=0,"",DATA[[#This Row],[Other manager 3: Previous 2020/21 Maximum hourly pay rate ADJUSTED 2]]*DATA[[#This Row],[Other manager 3: Numbers employed (Full Time Equivalent)]]),"")</f>
        <v>10.5</v>
      </c>
      <c r="PN54" s="30">
        <f>IFERROR(IF(DATA[[#This Row],[Care Assistant 1: Numbers employed (Full Time Equivalent)]]=0,"",DATA[[#This Row],[Care Assistant 1: Current 2021/22 Minimum hourly pay rate ADJUSTED 2]]*DATA[[#This Row],[Care Assistant 1: Numbers employed (Full Time Equivalent)]]),"")</f>
        <v>9.5</v>
      </c>
      <c r="PO54" s="30">
        <f>IFERROR(IF(DATA[[#This Row],[Care Assistant 1: Numbers employed (Full Time Equivalent)]]=0,"",DATA[[#This Row],[Care Assistant 1: Current 2021/22 Maximum hourly pay rate ADJUSTED 2]]*DATA[[#This Row],[Care Assistant 1: Numbers employed (Full Time Equivalent)]]),"")</f>
        <v>10</v>
      </c>
      <c r="PP54" s="30">
        <f>IFERROR(IF(DATA[[#This Row],[Care Assistant 1: Numbers employed (Full Time Equivalent)]]=0,"",DATA[[#This Row],[Care Assistant 1: Previous 2020/21 Minimum hourly pay rate ADJUSTED 2]]*DATA[[#This Row],[Care Assistant 1: Numbers employed (Full Time Equivalent)]]),"")</f>
        <v>8.75</v>
      </c>
      <c r="PQ54" s="30">
        <f>IFERROR(IF(DATA[[#This Row],[Care Assistant 1: Numbers employed (Full Time Equivalent)]]=0,"",DATA[[#This Row],[Care Assistant 1: Previous 2020/21 Maximum hourly pay rate ADJUSTED 2]]*DATA[[#This Row],[Care Assistant 1: Numbers employed (Full Time Equivalent)]]),"")</f>
        <v>9.25</v>
      </c>
      <c r="PR54" s="30">
        <f>IFERROR(IF(DATA[[#This Row],[Care Assistant 2: Numbers employed (Full Time Equivalent)]]=0,"",DATA[[#This Row],[Care Assistant 2: Current 2021/22 Minimum hourly pay rate ADJUSTED 2]]*DATA[[#This Row],[Care Assistant 2: Numbers employed (Full Time Equivalent)]]),"")</f>
        <v>9.25</v>
      </c>
      <c r="PS54" s="30">
        <f>IFERROR(IF(DATA[[#This Row],[Care Assistant 2: Numbers employed (Full Time Equivalent)]]=0,"",DATA[[#This Row],[Care Assistant 2: Current 2021/22 Maximum hourly pay rate ADJUSTED 2]]*DATA[[#This Row],[Care Assistant 2: Numbers employed (Full Time Equivalent)]]),"")</f>
        <v>9.25</v>
      </c>
      <c r="PT54" s="30">
        <f>IFERROR(IF(DATA[[#This Row],[Care Assistant 2: Numbers employed (Full Time Equivalent)]]=0,"",DATA[[#This Row],[Care Assistant 2: Previous 2020/21 Minimum hourly pay rate ADJUSTED 2]]*DATA[[#This Row],[Care Assistant 2: Numbers employed (Full Time Equivalent)]]),"")</f>
        <v>8.75</v>
      </c>
      <c r="PU54" s="30">
        <f>IFERROR(IF(DATA[[#This Row],[Care Assistant 2: Numbers employed (Full Time Equivalent)]]=0,"",DATA[[#This Row],[Care Assistant 2: Previous 2020/21 Maximum hourly pay rate ADJUSTED 2]]*DATA[[#This Row],[Care Assistant 2: Numbers employed (Full Time Equivalent)]]),"")</f>
        <v>9.25</v>
      </c>
      <c r="PV54" s="30">
        <f>IFERROR(IF(DATA[[#This Row],[Care Assistant 3: Numbers employed (Full Time Equivalent)]]=0,"",DATA[[#This Row],[Care Assistant 3: Current 2021/22 Minimum hourly pay rate ADJUSTED 2]]*DATA[[#This Row],[Care Assistant 3: Numbers employed (Full Time Equivalent)]]),"")</f>
        <v>405</v>
      </c>
      <c r="PW54" s="30">
        <f>IFERROR(IF(DATA[[#This Row],[Care Assistant 3: Numbers employed (Full Time Equivalent)]]=0,"",DATA[[#This Row],[Care Assistant 3: Current 2021/22 Maximum hourly pay rate ADJUSTED 2]]*DATA[[#This Row],[Care Assistant 3: Numbers employed (Full Time Equivalent)]]),"")</f>
        <v>427.5</v>
      </c>
      <c r="PX54" s="30">
        <f>IFERROR(IF(DATA[[#This Row],[Care Assistant 3: Numbers employed (Full Time Equivalent)]]=0,"",DATA[[#This Row],[Care Assistant 3: Previous 2020/21 Minimum hourly pay rate ADJUSTED 2]]*DATA[[#This Row],[Care Assistant 3: Numbers employed (Full Time Equivalent)]]),"")</f>
        <v>393.75</v>
      </c>
      <c r="PY54" s="30">
        <f>IFERROR(IF(DATA[[#This Row],[Care Assistant 3: Numbers employed (Full Time Equivalent)]]=0,"",DATA[[#This Row],[Care Assistant 3: Previous 2020/21 Maximum hourly pay rate ADJUSTED 2]]*DATA[[#This Row],[Care Assistant 3: Numbers employed (Full Time Equivalent)]]),"")</f>
        <v>405</v>
      </c>
      <c r="PZ54" s="30" t="str">
        <f>IFERROR(IF(DATA[[#This Row],[Care Assistant 4: Numbers employed (Full Time Equivalent)]]=0,"",DATA[[#This Row],[Care Assistant 4: Current 2021/22 Minimum hourly pay rate ADJUSTED 2]]*DATA[[#This Row],[Care Assistant 4: Numbers employed (Full Time Equivalent)]]),"")</f>
        <v/>
      </c>
      <c r="QA54" s="30" t="str">
        <f>IFERROR(IF(DATA[[#This Row],[Care Assistant 4: Numbers employed (Full Time Equivalent)]]=0,"",DATA[[#This Row],[Care Assistant 4: Current 2021/22 Maximum hourly pay rate ADJUSTED 2]]*DATA[[#This Row],[Care Assistant 4: Numbers employed (Full Time Equivalent)]]),"")</f>
        <v/>
      </c>
      <c r="QB54" s="30" t="str">
        <f>IFERROR(IF(DATA[[#This Row],[Care Assistant 4: Numbers employed (Full Time Equivalent)]]=0,"",DATA[[#This Row],[Care Assistant 4: Previous 2020/21 Minimum hourly pay rate ADJUSTED 2]]*DATA[[#This Row],[Care Assistant 4: Numbers employed (Full Time Equivalent)]]),"")</f>
        <v/>
      </c>
      <c r="QC54" s="30" t="str">
        <f>IFERROR(IF(DATA[[#This Row],[Care Assistant 4: Numbers employed (Full Time Equivalent)]]=0,"",DATA[[#This Row],[Care Assistant 4: Previous 2020/21 Maximum hourly pay rate ADJUSTED 2]]*DATA[[#This Row],[Care Assistant 4: Numbers employed (Full Time Equivalent)]]),"")</f>
        <v/>
      </c>
      <c r="QD54" s="30">
        <f>IFERROR(IF(DATA[[#This Row],[Administrative Officer 1: Numbers employed (Full Time Equivalent)]]=0,"",DATA[[#This Row],[Administrative Officer 1: Current 2021/22 Minimum hourly pay rate ADJUSTED 2]]*DATA[[#This Row],[Administrative Officer 1: Numbers employed (Full Time Equivalent)]]),"")</f>
        <v>9.25</v>
      </c>
      <c r="QE54" s="30">
        <f>IFERROR(IF(DATA[[#This Row],[Administrative Officer 1: Numbers employed (Full Time Equivalent)]]=0,"",DATA[[#This Row],[Administrative Officer 1: Current 2021/22 Maximum hourly pay rate ADJUSTED 2]]*DATA[[#This Row],[Administrative Officer 1: Numbers employed (Full Time Equivalent)]]),"")</f>
        <v>9.5</v>
      </c>
      <c r="QF54" s="30">
        <f>IFERROR(IF(DATA[[#This Row],[Administrative Officer 1: Numbers employed (Full Time Equivalent)]]=0,"",DATA[[#This Row],[Administrative Officer 1: Previous 2020/21 Minimum hourly pay rate ADJUSTED 2]]*DATA[[#This Row],[Administrative Officer 1: Numbers employed (Full Time Equivalent)]]),"")</f>
        <v>9</v>
      </c>
      <c r="QG54" s="30">
        <f>IFERROR(IF(DATA[[#This Row],[Administrative Officer 1: Numbers employed (Full Time Equivalent)]]=0,"",DATA[[#This Row],[Administrative Officer 1: Previous 2020/21 Maximum hourly pay rate ADJUSTED 2]]*DATA[[#This Row],[Administrative Officer 1: Numbers employed (Full Time Equivalent)]]),"")</f>
        <v>9.25</v>
      </c>
      <c r="QH54" s="30">
        <f>IFERROR(IF(DATA[[#This Row],[Administrative Officer 2: Numbers employed (Full Time Equivalent)]]=0,"",DATA[[#This Row],[Administrative Officer 2: Current 2021/22 Minimum hourly pay rate ADJUSTED 2]]*DATA[[#This Row],[Administrative Officer 2: Numbers employed (Full Time Equivalent)]]),"")</f>
        <v>4.3</v>
      </c>
      <c r="QI54" s="30">
        <f>IFERROR(IF(DATA[[#This Row],[Administrative Officer 2: Numbers employed (Full Time Equivalent)]]=0,"",DATA[[#This Row],[Administrative Officer 2: Current 2021/22 Maximum hourly pay rate ADJUSTED 2]]*DATA[[#This Row],[Administrative Officer 2: Numbers employed (Full Time Equivalent)]]),"")</f>
        <v>4.3</v>
      </c>
      <c r="QJ54" s="30">
        <f>IFERROR(IF(DATA[[#This Row],[Administrative Officer 2: Numbers employed (Full Time Equivalent)]]=0,"",DATA[[#This Row],[Administrative Officer 2: Previous 2020/21 Minimum hourly pay rate ADJUSTED 2]]*DATA[[#This Row],[Administrative Officer 2: Numbers employed (Full Time Equivalent)]]),"")</f>
        <v>4.1500000000000004</v>
      </c>
      <c r="QK54" s="30">
        <f>IFERROR(IF(DATA[[#This Row],[Administrative Officer 2: Numbers employed (Full Time Equivalent)]]=0,"",DATA[[#This Row],[Administrative Officer 2: Previous 2020/21 Maximum hourly pay rate ADJUSTED 2]]*DATA[[#This Row],[Administrative Officer 2: Numbers employed (Full Time Equivalent)]]),"")</f>
        <v>4.1500000000000004</v>
      </c>
      <c r="QL54" s="30" t="str">
        <f>IFERROR(IF(DATA[[#This Row],[Administrative Officer 3: Numbers employed (Full Time Equivalent)]]=0,"",DATA[[#This Row],[Administrative Officer 3: Current 2021/22 Minimum hourly pay rate ADJUSTED 2]]*DATA[[#This Row],[Administrative Officer 3: Numbers employed (Full Time Equivalent)]]),"")</f>
        <v/>
      </c>
      <c r="QM54" s="30" t="str">
        <f>IFERROR(IF(DATA[[#This Row],[Administrative Officer 3: Numbers employed (Full Time Equivalent)]]=0,"",DATA[[#This Row],[Administrative Officer 3: Current 2021/22 Maximum hourly pay rate ADJUSTED 2]]*DATA[[#This Row],[Administrative Officer 3: Numbers employed (Full Time Equivalent)]]),"")</f>
        <v/>
      </c>
      <c r="QN54" s="30" t="str">
        <f>IFERROR(IF(DATA[[#This Row],[Administrative Officer 3: Numbers employed (Full Time Equivalent)]]=0,"",DATA[[#This Row],[Administrative Officer 3: Previous 2020/21 Minimum hourly pay rate ADJUSTED 2]]*DATA[[#This Row],[Administrative Officer 3: Numbers employed (Full Time Equivalent)]]),"")</f>
        <v/>
      </c>
      <c r="QO54" s="30" t="str">
        <f>IFERROR(IF(DATA[[#This Row],[Administrative Officer 3: Numbers employed (Full Time Equivalent)]]=0,"",DATA[[#This Row],[Administrative Officer 3: Previous 2020/21 Maximum hourly pay rate ADJUSTED 2]]*DATA[[#This Row],[Administrative Officer 3: Numbers employed (Full Time Equivalent)]]),"")</f>
        <v/>
      </c>
      <c r="QP54" s="28" t="str">
        <f>IFERROR(IF(DATA[[#This Row],[Other staff 1: Numbers employed (Full Time Equivalent)]]=0,"",DATA[[#This Row],[Other staff 1: Current 2021/22 Minimum hourly pay rate ADJUSTED 2]]*DATA[[#This Row],[Other staff 1: Numbers employed (Full Time Equivalent)]]),"")</f>
        <v/>
      </c>
      <c r="QQ54" s="28" t="str">
        <f>IFERROR(IF(DATA[[#This Row],[Other staff 1: Numbers employed (Full Time Equivalent)]]=0,"",DATA[[#This Row],[Other staff 1: Current 2021/22 Maximum hourly pay rate ADJUSTED 2]]*DATA[[#This Row],[Other staff 1: Numbers employed (Full Time Equivalent)]]),"")</f>
        <v/>
      </c>
      <c r="QR54" s="28" t="str">
        <f>IFERROR(IF(DATA[[#This Row],[Other staff 1: Numbers employed (Full Time Equivalent)]]=0,"",DATA[[#This Row],[Other staff 1: Previous 2020/21 Minimum hourly pay rate ADJUSTED 2]]*DATA[[#This Row],[Other staff 1: Numbers employed (Full Time Equivalent)]]),"")</f>
        <v/>
      </c>
      <c r="QS54" s="28" t="str">
        <f>IFERROR(IF(DATA[[#This Row],[Other staff 1: Numbers employed (Full Time Equivalent)]]=0,"",DATA[[#This Row],[Other staff 1: Previous 2020/21 Maximum hourly pay rate ADJUSTED 2]]*DATA[[#This Row],[Other staff 1: Numbers employed (Full Time Equivalent)]]),"")</f>
        <v/>
      </c>
      <c r="QT54" s="28" t="str">
        <f>IFERROR(IF(DATA[[#This Row],[Other staff 2: Numbers employed (Full Time Equivalent)]]=0,"",DATA[[#This Row],[Other staff 2: Current 2021/22 Minimum hourly pay rate ADJUSTED 2]]*DATA[[#This Row],[Other staff 2: Numbers employed (Full Time Equivalent)]]),"")</f>
        <v/>
      </c>
      <c r="QU54" s="28" t="str">
        <f>IFERROR(IF(DATA[[#This Row],[Other staff 2: Numbers employed (Full Time Equivalent)]]=0,"",DATA[[#This Row],[Other staff 2: Current 2021/22 Maximum hourly pay rate ADJUSTED 2]]*DATA[[#This Row],[Other staff 2: Numbers employed (Full Time Equivalent)]]),"")</f>
        <v/>
      </c>
      <c r="QV54" s="28" t="str">
        <f>IFERROR(IF(DATA[[#This Row],[Other staff 2: Numbers employed (Full Time Equivalent)]]=0,"",DATA[[#This Row],[Other staff 2: Previous 2020/21 Minimum hourly pay rate ADJUSTED 2]]*DATA[[#This Row],[Other staff 2: Numbers employed (Full Time Equivalent)]]),"")</f>
        <v/>
      </c>
      <c r="QW54" s="28" t="str">
        <f>IFERROR(IF(DATA[[#This Row],[Other staff 2: Numbers employed (Full Time Equivalent)]]=0,"",DATA[[#This Row],[Other staff 2: Previous 2020/21 Maximum hourly pay rate ADJUSTED 2]]*DATA[[#This Row],[Other staff 2: Numbers employed (Full Time Equivalent)]]),"")</f>
        <v/>
      </c>
      <c r="QX54" s="28" t="str">
        <f>IFERROR(IF(DATA[[#This Row],[Other staff 3: Numbers employed (Full Time Equivalent)]]=0,"",DATA[[#This Row],[Other staff 3: Current 2021/22 Minimum hourly pay rate ADJUSTED 2]]*DATA[[#This Row],[Other staff 3: Numbers employed (Full Time Equivalent)]]),"")</f>
        <v/>
      </c>
      <c r="QY54" s="28" t="str">
        <f>IFERROR(IF(DATA[[#This Row],[Other staff 3: Numbers employed (Full Time Equivalent)]]=0,"",DATA[[#This Row],[Other staff 3: Current 2021/22 Maximum hourly pay rate ADJUSTED 2]]*DATA[[#This Row],[Other staff 3: Numbers employed (Full Time Equivalent)]]),"")</f>
        <v/>
      </c>
      <c r="QZ54" s="28" t="str">
        <f>IFERROR(IF(DATA[[#This Row],[Other staff 3: Numbers employed (Full Time Equivalent)]]=0,"",DATA[[#This Row],[Other staff 3: Previous 2020/21 Minimum hourly pay rate ADJUSTED 2]]*DATA[[#This Row],[Other staff 3: Numbers employed (Full Time Equivalent)]]),"")</f>
        <v/>
      </c>
      <c r="RA54" s="28" t="str">
        <f>IFERROR(IF(DATA[[#This Row],[Other staff 3: Numbers employed (Full Time Equivalent)]]=0,"",DATA[[#This Row],[Other staff 3: Previous 2020/21 Maximum hourly pay rate ADJUSTED 2]]*DATA[[#This Row],[Other staff 3: Numbers employed (Full Time Equivalent)]]),"")</f>
        <v/>
      </c>
      <c r="RB54"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54"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54"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54"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54"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1</v>
      </c>
      <c r="RG54"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v>
      </c>
      <c r="RH54"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v>
      </c>
      <c r="RI54"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45</v>
      </c>
      <c r="RJ54"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4"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54"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54"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54"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54"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54"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5" spans="7:484" x14ac:dyDescent="0.25">
      <c r="G55" s="2">
        <v>49</v>
      </c>
      <c r="H55" s="2">
        <v>0</v>
      </c>
      <c r="I55" s="2">
        <v>25</v>
      </c>
      <c r="J55" s="2">
        <v>0</v>
      </c>
      <c r="K55" s="2">
        <v>1</v>
      </c>
      <c r="L55" s="2" t="s">
        <v>328</v>
      </c>
      <c r="M55" s="2" t="s">
        <v>328</v>
      </c>
      <c r="R55" s="2">
        <v>20.190000000000001</v>
      </c>
      <c r="S55" s="2">
        <v>20.190000000000001</v>
      </c>
      <c r="T55" s="2">
        <v>19.23</v>
      </c>
      <c r="U55" s="2">
        <v>19.23</v>
      </c>
      <c r="V55" s="2">
        <v>1</v>
      </c>
      <c r="W55" s="2">
        <v>11.37</v>
      </c>
      <c r="X55" s="2">
        <v>11.37</v>
      </c>
      <c r="Y55" s="2">
        <v>11.13</v>
      </c>
      <c r="Z55" s="2">
        <v>11.13</v>
      </c>
      <c r="AA55" s="2">
        <v>1</v>
      </c>
      <c r="AB55" s="2" t="s">
        <v>531</v>
      </c>
      <c r="AC55" s="2">
        <v>27.4</v>
      </c>
      <c r="AD55" s="2">
        <v>33.17</v>
      </c>
      <c r="AE55" s="2">
        <v>26.44</v>
      </c>
      <c r="AF55" s="2">
        <v>32.21</v>
      </c>
      <c r="AG55" s="2">
        <v>0.2</v>
      </c>
      <c r="AH55" s="2" t="s">
        <v>532</v>
      </c>
      <c r="AI55" s="2">
        <v>22.6</v>
      </c>
      <c r="AJ55" s="2">
        <v>31.25</v>
      </c>
      <c r="AK55" s="2">
        <v>20.190000000000001</v>
      </c>
      <c r="AL55" s="2">
        <v>28.85</v>
      </c>
      <c r="AM55" s="2">
        <v>0.2</v>
      </c>
      <c r="AN55" s="2" t="s">
        <v>533</v>
      </c>
      <c r="AO55" s="2">
        <v>20.67</v>
      </c>
      <c r="AP55" s="2">
        <v>20.67</v>
      </c>
      <c r="AQ55" s="2">
        <v>20.190000000000001</v>
      </c>
      <c r="AR55" s="2">
        <v>20.190000000000001</v>
      </c>
      <c r="AS55" s="2">
        <v>0.2</v>
      </c>
      <c r="AT55" s="2" t="s">
        <v>389</v>
      </c>
      <c r="AU55" s="2">
        <v>8.91</v>
      </c>
      <c r="AV55" s="2">
        <v>8.91</v>
      </c>
      <c r="AW55" s="2">
        <v>8.7200000000000006</v>
      </c>
      <c r="AX55" s="2">
        <v>8.7200000000000006</v>
      </c>
      <c r="AY55" s="2">
        <v>14</v>
      </c>
      <c r="AZ55" s="2" t="s">
        <v>534</v>
      </c>
      <c r="BA55" s="2">
        <v>10.31</v>
      </c>
      <c r="BB55" s="2">
        <v>10.31</v>
      </c>
      <c r="BC55" s="2">
        <v>10.09</v>
      </c>
      <c r="BD55" s="2">
        <v>10.09</v>
      </c>
      <c r="BE55" s="2">
        <v>2</v>
      </c>
      <c r="BF55" s="2" t="s">
        <v>316</v>
      </c>
      <c r="BG55" s="2">
        <v>0</v>
      </c>
      <c r="BH55" s="2">
        <v>0</v>
      </c>
      <c r="BI55" s="2">
        <v>0</v>
      </c>
      <c r="BJ55" s="2">
        <v>0</v>
      </c>
      <c r="BK55" s="2">
        <v>0</v>
      </c>
      <c r="BL55" s="2" t="s">
        <v>316</v>
      </c>
      <c r="BM55" s="2">
        <v>0</v>
      </c>
      <c r="BN55" s="2">
        <v>0</v>
      </c>
      <c r="BO55" s="2">
        <v>0</v>
      </c>
      <c r="BP55" s="2">
        <v>0</v>
      </c>
      <c r="BQ55" s="2">
        <v>0</v>
      </c>
      <c r="BR55" s="2" t="s">
        <v>535</v>
      </c>
      <c r="BS55" s="2">
        <v>8.91</v>
      </c>
      <c r="BT55" s="2">
        <v>8.91</v>
      </c>
      <c r="BU55" s="2">
        <v>8.7200000000000006</v>
      </c>
      <c r="BV55" s="2">
        <v>8.7200000000000006</v>
      </c>
      <c r="BW55" s="2">
        <v>1</v>
      </c>
      <c r="BX55" s="2" t="s">
        <v>536</v>
      </c>
      <c r="BY55" s="2">
        <v>12.82</v>
      </c>
      <c r="BZ55" s="2">
        <v>12.82</v>
      </c>
      <c r="CA55" s="2">
        <v>12.31</v>
      </c>
      <c r="CB55" s="2">
        <v>12.31</v>
      </c>
      <c r="CC55" s="2">
        <v>0.2</v>
      </c>
      <c r="CD55" s="2" t="s">
        <v>317</v>
      </c>
      <c r="CE55" s="2">
        <v>8.91</v>
      </c>
      <c r="CF55" s="2">
        <v>8.91</v>
      </c>
      <c r="CG55" s="2">
        <v>8.7200000000000006</v>
      </c>
      <c r="CH55" s="2">
        <v>8.7200000000000006</v>
      </c>
      <c r="CI55" s="2">
        <v>0.2</v>
      </c>
      <c r="CJ55" s="2" t="s">
        <v>417</v>
      </c>
      <c r="CK55" s="2">
        <v>10.31</v>
      </c>
      <c r="CL55" s="2">
        <v>10.31</v>
      </c>
      <c r="CM55" s="2">
        <v>10.09</v>
      </c>
      <c r="CN55" s="2">
        <v>10.09</v>
      </c>
      <c r="CO55" s="2">
        <v>0.2</v>
      </c>
      <c r="CP55" s="2" t="s">
        <v>417</v>
      </c>
      <c r="CQ55" s="2">
        <v>19.71</v>
      </c>
      <c r="CR55" s="2">
        <v>19.71</v>
      </c>
      <c r="CS55" s="2">
        <v>19.23</v>
      </c>
      <c r="CT55" s="2">
        <v>19.23</v>
      </c>
      <c r="CU55" s="2">
        <v>0.2</v>
      </c>
      <c r="CV55" s="2" t="s">
        <v>318</v>
      </c>
      <c r="CW55" s="2">
        <v>0</v>
      </c>
      <c r="CX55" s="2">
        <v>0</v>
      </c>
      <c r="CY55" s="2">
        <v>0</v>
      </c>
      <c r="CZ55" s="2">
        <v>0</v>
      </c>
      <c r="DA55" s="2">
        <v>0</v>
      </c>
      <c r="DB55" s="2">
        <v>0.03</v>
      </c>
      <c r="DC55" s="2">
        <v>0</v>
      </c>
      <c r="DD55" s="2">
        <v>0</v>
      </c>
      <c r="DE55" s="2">
        <v>0</v>
      </c>
      <c r="DF55" s="2">
        <v>0</v>
      </c>
      <c r="DG55" s="2">
        <v>0</v>
      </c>
      <c r="DH55" s="2">
        <v>0</v>
      </c>
      <c r="DI55" s="2">
        <v>1060</v>
      </c>
      <c r="DJ55" s="2">
        <v>0</v>
      </c>
      <c r="DK55" s="2">
        <v>0</v>
      </c>
      <c r="DL55" s="2">
        <v>0</v>
      </c>
      <c r="DM55" s="2">
        <v>0</v>
      </c>
      <c r="DN55" s="2">
        <v>0</v>
      </c>
      <c r="DO55" s="2">
        <v>15.58</v>
      </c>
      <c r="DP55" s="2">
        <v>0</v>
      </c>
      <c r="DQ55" s="2">
        <v>0</v>
      </c>
      <c r="DR55" s="18">
        <v>43739</v>
      </c>
      <c r="DS55" s="18">
        <v>44104</v>
      </c>
      <c r="DT55" s="2">
        <v>45865</v>
      </c>
      <c r="DU55" s="2">
        <v>135000</v>
      </c>
      <c r="DV55" s="2">
        <v>400000</v>
      </c>
      <c r="DW55" s="2">
        <v>35000</v>
      </c>
      <c r="DX55" s="2">
        <v>6000</v>
      </c>
      <c r="DY55" s="2">
        <v>0</v>
      </c>
      <c r="DZ55" s="2">
        <v>1000</v>
      </c>
      <c r="EA55" s="2"/>
      <c r="EB55" s="2">
        <v>15000</v>
      </c>
      <c r="EC55" s="2">
        <v>2500</v>
      </c>
      <c r="ED55" s="2">
        <v>500</v>
      </c>
      <c r="EE55" s="2">
        <v>3000</v>
      </c>
      <c r="EF55" s="2">
        <v>0</v>
      </c>
      <c r="EG55" s="2">
        <v>2000</v>
      </c>
      <c r="EH55" s="2" t="s">
        <v>324</v>
      </c>
      <c r="EI55" s="2">
        <v>0</v>
      </c>
      <c r="EJ55" s="2" t="s">
        <v>324</v>
      </c>
      <c r="EK55" s="2">
        <v>0</v>
      </c>
      <c r="EL55" s="2">
        <v>2000</v>
      </c>
      <c r="EM55" s="2">
        <v>8000</v>
      </c>
      <c r="EN55" s="2">
        <v>2000</v>
      </c>
      <c r="EO55" s="2">
        <v>18000</v>
      </c>
      <c r="EP55" s="2">
        <v>1000</v>
      </c>
      <c r="EQ55" s="2">
        <v>1000</v>
      </c>
      <c r="ER55" s="2">
        <v>1000</v>
      </c>
      <c r="ES55" s="2">
        <v>0</v>
      </c>
      <c r="ET55" s="2" t="s">
        <v>537</v>
      </c>
      <c r="EU55" s="2">
        <v>1500</v>
      </c>
      <c r="EV55" s="2" t="s">
        <v>538</v>
      </c>
      <c r="EW55" s="2">
        <v>1400</v>
      </c>
      <c r="EX55" s="2">
        <v>0</v>
      </c>
      <c r="EY55" s="2">
        <v>7500</v>
      </c>
      <c r="EZ55" s="2" t="s">
        <v>326</v>
      </c>
      <c r="FA55" s="2">
        <v>0</v>
      </c>
      <c r="FB55" s="2" t="s">
        <v>326</v>
      </c>
      <c r="FC55" s="2">
        <v>0</v>
      </c>
      <c r="FD55" s="2">
        <v>41737</v>
      </c>
      <c r="FE55" s="2"/>
      <c r="FF55" s="2"/>
      <c r="FG55" s="2"/>
      <c r="FH55" s="19">
        <v>44480.626898148148</v>
      </c>
      <c r="FI55" s="2" t="s">
        <v>345</v>
      </c>
      <c r="FJ55" s="2">
        <f>SUM(DATA[[#This Row],[Number of Home support clients:]],DATA[[#This Row],[Number of supported living clients:]])</f>
        <v>25</v>
      </c>
      <c r="FK55"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55"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20.190000000000001</v>
      </c>
      <c r="FM55"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20.190000000000001</v>
      </c>
      <c r="FN55"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19.23</v>
      </c>
      <c r="FO55"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19.23</v>
      </c>
      <c r="FP55"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11.37</v>
      </c>
      <c r="FQ55"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11.37</v>
      </c>
      <c r="FR55"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11.13</v>
      </c>
      <c r="FS55"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11.13</v>
      </c>
      <c r="FT55"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27.4</v>
      </c>
      <c r="FU55"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33.17</v>
      </c>
      <c r="FV55"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26.44</v>
      </c>
      <c r="FW55"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32.21</v>
      </c>
      <c r="FX55"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22.6</v>
      </c>
      <c r="FY55"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31.25</v>
      </c>
      <c r="FZ55"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20.190000000000001</v>
      </c>
      <c r="GA55"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28.85</v>
      </c>
      <c r="GB55"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20.67</v>
      </c>
      <c r="GC55"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20.67</v>
      </c>
      <c r="GD55"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20.190000000000001</v>
      </c>
      <c r="GE55"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20.190000000000001</v>
      </c>
      <c r="GF55"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55"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55"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55"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8.7200000000000006</v>
      </c>
      <c r="GJ55"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10.31</v>
      </c>
      <c r="GK55"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10.31</v>
      </c>
      <c r="GL55"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10.09</v>
      </c>
      <c r="GM55"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10.09</v>
      </c>
      <c r="GN55"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55"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55"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55"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55"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5"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5"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5"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5"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8.91</v>
      </c>
      <c r="GW55"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8.91</v>
      </c>
      <c r="GX55"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8.7200000000000006</v>
      </c>
      <c r="GY55"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8.7200000000000006</v>
      </c>
      <c r="GZ55"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12.82</v>
      </c>
      <c r="HA55"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12.82</v>
      </c>
      <c r="HB55"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12.31</v>
      </c>
      <c r="HC55"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12.31</v>
      </c>
      <c r="HD55"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8.91</v>
      </c>
      <c r="HE55"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8.91</v>
      </c>
      <c r="HF55" s="2">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8.7200000000000006</v>
      </c>
      <c r="HG55" s="2">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8.7200000000000006</v>
      </c>
      <c r="HH55"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10.31</v>
      </c>
      <c r="HI55"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10.31</v>
      </c>
      <c r="HJ55"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10.09</v>
      </c>
      <c r="HK55"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10.09</v>
      </c>
      <c r="HL55"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19.71</v>
      </c>
      <c r="HM55"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19.71</v>
      </c>
      <c r="HN55" s="2">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19.23</v>
      </c>
      <c r="HO55" s="2">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19.23</v>
      </c>
      <c r="HP55"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5"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5"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5"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5"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20.190000000000001</v>
      </c>
      <c r="HU55"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20.190000000000001</v>
      </c>
      <c r="HV55"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19.23</v>
      </c>
      <c r="HW55"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19.23</v>
      </c>
      <c r="HX55"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11.37</v>
      </c>
      <c r="HY55"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11.37</v>
      </c>
      <c r="HZ55"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11.13</v>
      </c>
      <c r="IA55"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11.13</v>
      </c>
      <c r="IB55"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27.4</v>
      </c>
      <c r="IC55"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33.17</v>
      </c>
      <c r="ID55"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26.44</v>
      </c>
      <c r="IE55"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32.21</v>
      </c>
      <c r="IF55"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22.6</v>
      </c>
      <c r="IG55"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31.25</v>
      </c>
      <c r="IH55"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20.190000000000001</v>
      </c>
      <c r="II55"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28.85</v>
      </c>
      <c r="IJ55"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20.67</v>
      </c>
      <c r="IK55"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20.67</v>
      </c>
      <c r="IL55"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20.190000000000001</v>
      </c>
      <c r="IM55"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20.190000000000001</v>
      </c>
      <c r="IN55"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55"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55"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55"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8.7200000000000006</v>
      </c>
      <c r="IR55"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10.31</v>
      </c>
      <c r="IS55"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10.31</v>
      </c>
      <c r="IT55"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10.09</v>
      </c>
      <c r="IU55"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10.09</v>
      </c>
      <c r="IV55"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55"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55"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55"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55"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5"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5"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5"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5"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8.91</v>
      </c>
      <c r="JE55"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8.91</v>
      </c>
      <c r="JF55"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8.7200000000000006</v>
      </c>
      <c r="JG55"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8.7200000000000006</v>
      </c>
      <c r="JH55"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12.82</v>
      </c>
      <c r="JI55"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12.82</v>
      </c>
      <c r="JJ55"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12.31</v>
      </c>
      <c r="JK55"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12.31</v>
      </c>
      <c r="JL55"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8.91</v>
      </c>
      <c r="JM55"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8.91</v>
      </c>
      <c r="JN55"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8.7200000000000006</v>
      </c>
      <c r="JO55"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8.7200000000000006</v>
      </c>
      <c r="JP55"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10.31</v>
      </c>
      <c r="JQ55"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10.31</v>
      </c>
      <c r="JR55"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10.09</v>
      </c>
      <c r="JS55"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10.09</v>
      </c>
      <c r="JT55"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19.71</v>
      </c>
      <c r="JU55"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19.71</v>
      </c>
      <c r="JV55"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19.23</v>
      </c>
      <c r="JW55"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19.23</v>
      </c>
      <c r="JX55"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5"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5"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5"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5"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2.6000000000000005</v>
      </c>
      <c r="KC55" s="21">
        <f>SUM(DATA[[#This Row],[Care Assistant 1: Numbers employed (Full Time Equivalent)]],DATA[[#This Row],[Care Assistant 2: Numbers employed (Full Time Equivalent)]],DATA[[#This Row],[Care Assistant 3: Numbers employed (Full Time Equivalent)]],DATA[[#This Row],[Care Assistant 4: Numbers employed (Full Time Equivalent)]])</f>
        <v>16</v>
      </c>
      <c r="KD55" s="21">
        <f>SUM(DATA[[#This Row],[Administrative Officer 1: Numbers employed (Full Time Equivalent)]],DATA[[#This Row],[Administrative Officer 2: Numbers employed (Full Time Equivalent)]])</f>
        <v>1.2</v>
      </c>
      <c r="KE55" s="21">
        <f>SUM(DATA[[#This Row],[Other staff 1: Numbers employed (Full Time Equivalent)]],DATA[[#This Row],[Other staff 2: Numbers employed (Full Time Equivalent)]],DATA[[#This Row],[Other staff 3: Numbers employed (Full Time Equivalent)]])</f>
        <v>0.4</v>
      </c>
      <c r="KF55" s="21">
        <f>SUM(DATA[[#This Row],[Total FTE Management Employees]:[Total FTE Other Employees]])</f>
        <v>20.2</v>
      </c>
      <c r="KG55" s="21" t="str">
        <f>IF(SUM(DATA[[#This Row],[Home Support service split percentage (Expenditure):]],DATA[[#This Row],[Supported Living service split percentage (Expenditure):]])&gt;0, IF(DATA[[#This Row],[Home Support service split percentage (Expenditure):]]&gt;0.5,"Home Support","Supported Living"), "Unknown")</f>
        <v>Supported Living</v>
      </c>
      <c r="KH55" s="21">
        <f>SUM(DATA[[#This Row],[Home Support: Birmingham City Council]:[Home Support: Self-funded]])</f>
        <v>0</v>
      </c>
      <c r="KI55" s="21">
        <f>SUM(DATA[[#This Row],[Supported Living: Birmingham City Council]:[Supported Living: Self-funded]])</f>
        <v>1060</v>
      </c>
      <c r="KJ55"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43.72399999999999</v>
      </c>
      <c r="KK55"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46.61</v>
      </c>
      <c r="KL55"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45.69400000000001</v>
      </c>
      <c r="KM55"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48.578000000000003</v>
      </c>
      <c r="KN55" s="21" t="b">
        <f>SUM(DATA[[#This Row],[Number of hours of care charged for in last full accounting year]:[Corporate Overheads: Other  - please specify (category) 1]])&gt;0</f>
        <v>1</v>
      </c>
      <c r="KO55" s="21">
        <f>SUM(DATA[[#This Row],[Total annual expenditure: Management staff]:[Total annual expenditure: Training and development]])</f>
        <v>592000</v>
      </c>
      <c r="KP55" s="21">
        <f>SUM(DATA[[#This Row],[Recruitment &amp; advertising (including DBS checks)]:[Non-Staffing Direct Cost: Other  - please specify (amount) 2]])</f>
        <v>8000</v>
      </c>
      <c r="KQ55" s="21">
        <f>SUM(DATA[[#This Row],[Insurance ]:[Indirect costs: Other 2 - please specify (amount)]])</f>
        <v>35900</v>
      </c>
      <c r="KR55" s="21">
        <f>SUM(DATA[[#This Row],[Central / Regional Management]],DATA[[#This Row],[Support Services (finance / HR / Payroll / legal etc.)]],DATA[[#This Row],[Corporate Overheads: Other  - please specify (amount) 1]],DATA[[#This Row],[Corporate Overheads: Other  - please specify (amount) 2]])</f>
        <v>7500</v>
      </c>
      <c r="KS55"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2.9434209091900141</v>
      </c>
      <c r="KT55"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8.7212471383407824</v>
      </c>
      <c r="KU55"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0.7631091246048185</v>
      </c>
      <c r="KV55" s="30">
        <f>IF(OR(NOT(DATA[[#This Row],[Total annual expenditure: Other staff]]&gt;0),NOT(DATA[[#This Row],[Number of hours of care charged for in last full accounting year]]&gt;0)),0,DATA[[#This Row],[Total annual expenditure: Other staff]]/DATA[[#This Row],[Number of hours of care charged for in last full accounting year]])</f>
        <v>0.13081870707511173</v>
      </c>
      <c r="KW55"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55" s="30">
        <f>IF(OR(NOT(DATA[[#This Row],[Total annual expenditure: Travel Cost]]&gt;0),NOT(DATA[[#This Row],[Number of hours of care charged for in last full accounting year]]&gt;0)),0,DATA[[#This Row],[Total annual expenditure: Travel Cost]]/DATA[[#This Row],[Number of hours of care charged for in last full accounting year]])</f>
        <v>2.1803117845851958E-2</v>
      </c>
      <c r="KY55"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55"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0.32704676768777935</v>
      </c>
      <c r="LA55"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5.4507794614629894E-2</v>
      </c>
      <c r="LB55"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1.0901558922925979E-2</v>
      </c>
      <c r="LC55" s="30">
        <f>IF(OR(NOT(DATA[[#This Row],[Care consumables &amp; uniforms]]&gt;0),NOT(DATA[[#This Row],[Number of hours of care charged for in last full accounting year]]&gt;0)),0,DATA[[#This Row],[Care consumables &amp; uniforms]]/DATA[[#This Row],[Number of hours of care charged for in last full accounting year]])</f>
        <v>6.5409353537555864E-2</v>
      </c>
      <c r="LD55" s="30">
        <f>IF(OR(NOT(DATA[[#This Row],[Electronic call monitoring]]&gt;0),NOT(DATA[[#This Row],[Number of hours of care charged for in last full accounting year]]&gt;0)),0,DATA[[#This Row],[Electronic call monitoring]]/DATA[[#This Row],[Number of hours of care charged for in last full accounting year]])</f>
        <v>0</v>
      </c>
      <c r="LE55" s="30">
        <f>IF(OR(NOT(DATA[[#This Row],[IT Equipment &amp; Telephoney]]&gt;0),NOT(DATA[[#This Row],[Number of hours of care charged for in last full accounting year]]&gt;0)),0,DATA[[#This Row],[IT Equipment &amp; Telephoney]]/DATA[[#This Row],[Number of hours of care charged for in last full accounting year]])</f>
        <v>4.3606235691703917E-2</v>
      </c>
      <c r="LF55"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55"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55" s="30">
        <f>IF(OR(NOT(DATA[[#This Row],[Insurance ]]&gt;0),NOT(DATA[[#This Row],[Number of hours of care charged for in last full accounting year]]&gt;0)),0,DATA[[#This Row],[Insurance ]]/DATA[[#This Row],[Number of hours of care charged for in last full accounting year]])</f>
        <v>4.3606235691703917E-2</v>
      </c>
      <c r="LI55"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0.17442494276681567</v>
      </c>
      <c r="LJ55" s="30">
        <f>IF(OR(NOT(DATA[[#This Row],[Repairs and maintenance]]&gt;0),NOT(DATA[[#This Row],[Number of hours of care charged for in last full accounting year]]&gt;0)),0,DATA[[#This Row],[Repairs and maintenance]]/DATA[[#This Row],[Number of hours of care charged for in last full accounting year]])</f>
        <v>4.3606235691703917E-2</v>
      </c>
      <c r="LK55"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0.39245612122533524</v>
      </c>
      <c r="LL55" s="30">
        <f>IF(OR(NOT(DATA[[#This Row],[Registration &amp; Inspection fees ]]&gt;0),NOT(DATA[[#This Row],[Number of hours of care charged for in last full accounting year]]&gt;0)),0,DATA[[#This Row],[Registration &amp; Inspection fees ]]/DATA[[#This Row],[Number of hours of care charged for in last full accounting year]])</f>
        <v>2.1803117845851958E-2</v>
      </c>
      <c r="LM55" s="30">
        <f>IF(OR(NOT(DATA[[#This Row],[Subscriptions]]&gt;0),NOT(DATA[[#This Row],[Number of hours of care charged for in last full accounting year]]&gt;0)),0,DATA[[#This Row],[Subscriptions]]/DATA[[#This Row],[Number of hours of care charged for in last full accounting year]])</f>
        <v>2.1803117845851958E-2</v>
      </c>
      <c r="LN55" s="30">
        <f>IF(OR(NOT(DATA[[#This Row],[Cost of finance]]&gt;0),NOT(DATA[[#This Row],[Number of hours of care charged for in last full accounting year]]&gt;0)),0,DATA[[#This Row],[Cost of finance]]/DATA[[#This Row],[Number of hours of care charged for in last full accounting year]])</f>
        <v>2.1803117845851958E-2</v>
      </c>
      <c r="LO55" s="30">
        <f>IF(OR(NOT(DATA[[#This Row],[Other non-staff current expenses]]&gt;0),NOT(DATA[[#This Row],[Number of hours of care charged for in last full accounting year]]&gt;0)),0,DATA[[#This Row],[Other non-staff current expenses]]/DATA[[#This Row],[Number of hours of care charged for in last full accounting year]])</f>
        <v>0</v>
      </c>
      <c r="LP55"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3.2704676768777932E-2</v>
      </c>
      <c r="LQ55"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3.0524364984192739E-2</v>
      </c>
      <c r="LR55" s="30">
        <f>IF(OR(NOT(DATA[[#This Row],[Central / Regional Management]]&gt;0),NOT(DATA[[#This Row],[Number of hours of care charged for in last full accounting year]]&gt;0)),0,DATA[[#This Row],[Central / Regional Management]]/DATA[[#This Row],[Number of hours of care charged for in last full accounting year]])</f>
        <v>0</v>
      </c>
      <c r="LS55"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0.16352338384388967</v>
      </c>
      <c r="LT55"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55"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5" s="30">
        <f>SUM(DATA[[#This Row],[Management staff HOURLY RATE]:[Corporate Overheads: Other  - please specify (amount) 2 HOURLY RATE]])</f>
        <v>14.028126022021146</v>
      </c>
      <c r="LW55" s="30">
        <f>IF(OR(NOT(DATA[[#This Row],[Net Operating Profit]]&gt;0),NOT(DATA[[#This Row],[Number of hours of care charged for in last full accounting year]]&gt;0)),"",DATA[[#This Row],[Net Operating Profit]]/DATA[[#This Row],[Number of hours of care charged for in last full accounting year]])</f>
        <v>0.90999672953232313</v>
      </c>
      <c r="LX55" s="30">
        <f>IF(OR(NOT(DATA[[#This Row],[Return on Capital employed]]&gt;0),NOT(DATA[[#This Row],[Number of hours of care charged for in last full accounting year]]&gt;0)),0,DATA[[#This Row],[Return on Capital employed]]/DATA[[#This Row],[Number of hours of care charged for in last full accounting year]])</f>
        <v>0</v>
      </c>
      <c r="LY55" s="31">
        <v>49</v>
      </c>
      <c r="LZ55" s="30" t="s">
        <v>345</v>
      </c>
      <c r="MA55" s="30" t="b">
        <f>DATA[[#This Row],[Number of Home support clients:]]&gt;0</f>
        <v>0</v>
      </c>
      <c r="MB55" s="30" t="b">
        <f>DATA[[#This Row],[Number of supported living clients:]]&gt;0</f>
        <v>1</v>
      </c>
      <c r="MC55" s="30" t="b">
        <f>DATA[[#This Row],[Total Home Support Hours]]&gt;0</f>
        <v>0</v>
      </c>
      <c r="MD55" s="30" t="b">
        <f>DATA[[#This Row],[Total Supported Living Hours]]&gt;0</f>
        <v>1</v>
      </c>
      <c r="ME55" s="30" t="b">
        <f>DATA[[#This Row],[Home Support service split percentage (Expenditure):]]&gt;0.5</f>
        <v>0</v>
      </c>
      <c r="MF55" s="30" t="b">
        <f>DATA[[#This Row],[Agency staff HOURLY RATE]]=0</f>
        <v>1</v>
      </c>
      <c r="MG55" s="30">
        <f>IFERROR(IF(AVERAGE(DATA[[#This Row],[Registered manager: Current 2021/22 Minimum hourly pay rate ADJUSTED]],DATA[[#This Row],[Registered manager: Current 2021/22 Maximum hourly pay rate ADJUSTED]])&lt;LIVING_WAGE_22_23,DATA[[#This Row],[Registered manager: Numbers employed (Full Time Equivalent)]],0),"")</f>
        <v>0</v>
      </c>
      <c r="MH55" s="30">
        <f>IFERROR(IF(AVERAGE(DATA[[#This Row],[Deputy manager: Current 2021/22 Minimum hourly pay rate ADJUSTED]],DATA[[#This Row],[Deputy manager: Current 2021/22 Maximum hourly pay rate ADJUSTED]])&lt;LIVING_WAGE_22_23,DATA[[#This Row],[Deputy manager: Numbers employed (Full Time Equivalent)]],0),"")</f>
        <v>0</v>
      </c>
      <c r="MI55" s="30">
        <f>IFERROR(IF(AVERAGE(DATA[[#This Row],[Other manager 1: Current 2021/22 Minimum hourly pay rate ADJUSTED]],DATA[[#This Row],[Other manager 1: Current 2021/22 Maximum hourly pay rate ADJUSTED]])&lt;LIVING_WAGE_22_23,DATA[[#This Row],[Other manager 1: Numbers employed (Full Time Equivalent)]],0),"")</f>
        <v>0</v>
      </c>
      <c r="MJ55" s="30">
        <f>IFERROR(IF(AVERAGE(DATA[[#This Row],[Other manager 2: Current 2021/22 Minimum hourly pay rate ADJUSTED]],DATA[[#This Row],[Other manager 2: Current 2021/22 Maximum hourly pay rate ADJUSTED]])&lt;LIVING_WAGE_22_23,DATA[[#This Row],[Other manager 2: Numbers employed (Full Time Equivalent)]],0),"")</f>
        <v>0</v>
      </c>
      <c r="MK55" s="30">
        <f>IFERROR(IF(AVERAGE(DATA[[#This Row],[Other manager 3: Current 2021/22 Minimum hourly pay rate ADJUSTED]],DATA[[#This Row],[Other manager 3: Current 2021/22 Maximum hourly pay rate ADJUSTED]])&lt;LIVING_WAGE_22_23,DATA[[#This Row],[Other manager 3: Numbers employed (Full Time Equivalent)]],0),"")</f>
        <v>0</v>
      </c>
      <c r="ML55" s="30">
        <f>IFERROR(IF(AVERAGE(DATA[[#This Row],[Care Assistant 1: Current 2021/22 Minimum hourly pay rate ADJUSTED]],DATA[[#This Row],[Care Assistant 1: Current 2021/22 Maximum hourly pay rate ADJUSTED]])&lt;LIVING_WAGE_22_23,DATA[[#This Row],[Care Assistant 1: Numbers employed (Full Time Equivalent)]],0),"")</f>
        <v>14</v>
      </c>
      <c r="MM55" s="30">
        <f>IFERROR(IF(AVERAGE(DATA[[#This Row],[Care Assistant 2: Current 2021/22 Minimum hourly pay rate ADJUSTED]],DATA[[#This Row],[Care Assistant 2: Current 2021/22 Maximum hourly pay rate ADJUSTED]])&lt;LIVING_WAGE_22_23,DATA[[#This Row],[Care Assistant 2: Numbers employed (Full Time Equivalent)]],0),"")</f>
        <v>0</v>
      </c>
      <c r="MN55" s="30" t="str">
        <f>IFERROR(IF(AVERAGE(DATA[[#This Row],[Care Assistant 3: Current 2021/22 Minimum hourly pay rate ADJUSTED]],DATA[[#This Row],[Care Assistant 3: Current 2021/22 Maximum hourly pay rate ADJUSTED]])&lt;LIVING_WAGE_22_23,DATA[[#This Row],[Care Assistant 3: Numbers employed (Full Time Equivalent)]],0),"")</f>
        <v/>
      </c>
      <c r="MO55" s="30" t="str">
        <f>IFERROR(IF(AVERAGE(DATA[[#This Row],[Care Assistant 4: Current 2021/22 Minimum hourly pay rate ADJUSTED]],DATA[[#This Row],[Care Assistant 4: Current 2021/22 Maximum hourly pay rate ADJUSTED]])&lt;LIVING_WAGE_22_23,DATA[[#This Row],[Care Assistant 4: Numbers employed (Full Time Equivalent)]],0),"")</f>
        <v/>
      </c>
      <c r="MP55"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55"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55" s="30">
        <f>IFERROR(IF(AVERAGE(DATA[[#This Row],[Other staff 1: Current 2021/22 Minimum hourly pay rate ADJUSTED]],DATA[[#This Row],[Other staff 1: Current 2021/22 Maximum hourly pay rate ADJUSTED]])&lt;LIVING_WAGE_22_23,DATA[[#This Row],[Other staff 1: Numbers employed (Full Time Equivalent)]],0),"")</f>
        <v>0</v>
      </c>
      <c r="MS55" s="30">
        <f>IFERROR(IF(AVERAGE(DATA[[#This Row],[Other staff 2: Current 2021/22 Minimum hourly pay rate ADJUSTED]],DATA[[#This Row],[Other staff 2: Current 2021/22 Maximum hourly pay rate ADJUSTED]])&lt;LIVING_WAGE_22_23,DATA[[#This Row],[Other staff 2: Numbers employed (Full Time Equivalent)]],0),"")</f>
        <v>0</v>
      </c>
      <c r="MT55" s="30" t="str">
        <f>IFERROR(IF(AVERAGE(DATA[[#This Row],[Other staff 3: Current 2021/22 Minimum hourly pay rate ADJUSTED]],DATA[[#This Row],[Other staff 3: Current 2021/22 Maximum hourly pay rate ADJUSTED]])&lt;LIVING_WAGE_22_23,DATA[[#This Row],[Other staff 3: Numbers employed (Full Time Equivalent)]],0),"")</f>
        <v/>
      </c>
      <c r="MU55" s="30">
        <f>SUM(DATA[[#This Row],[Registered Manager FTE earning less than NLW 23yrs 2022/23]:[Other staff 3 FTE earning less than NLW 23yrs 2022/23]])</f>
        <v>15</v>
      </c>
      <c r="MV55"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55"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55"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55"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55"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55"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8.259999999999998</v>
      </c>
      <c r="NB55"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55"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55"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5"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0.58999999999999986</v>
      </c>
      <c r="NF55"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55"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55"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0</v>
      </c>
      <c r="NI55"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5" s="30" t="b">
        <v>0</v>
      </c>
      <c r="NK55" s="30" t="b">
        <v>1</v>
      </c>
      <c r="NL55" s="30" t="s">
        <v>972</v>
      </c>
      <c r="NM55" s="30">
        <f>SUM(DATA[[#This Row],[Management staff HOURLY RATE]:[Training and development HOURLY RATE]])</f>
        <v>12.907445764744358</v>
      </c>
      <c r="NN55" s="30">
        <f>SUM(DATA[[#This Row],[Recruitment &amp; advertising (including DBS checks) HOURLY RATE]:[Non-Staffing Direct Cost: Other  - please specify (amount) 2 HOURLY RATE]])</f>
        <v>0.17442494276681564</v>
      </c>
      <c r="NO55" s="30">
        <f>SUM(DATA[[#This Row],[Insurance  HOURLY RATE]:[Indirect costs: Other  - please specify (amount) 2 HOURLY RATE]])</f>
        <v>0.78273193066608548</v>
      </c>
      <c r="NP55" s="30">
        <f>SUM(DATA[[#This Row],[Central / Regional Management HOURLY RATE]:[Corporate Overheads: Other  - please specify (amount) 2 HOURLY RATE]])</f>
        <v>0.16352338384388967</v>
      </c>
      <c r="NQ55"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55" s="30">
        <f>IFERROR(IF(AVERAGE(DATA[[#This Row],[Deputy manager: Current 2021/22 Minimum hourly pay rate ADJUSTED]],DATA[[#This Row],[Deputy manager: Current 2021/22 Maximum hourly pay rate ADJUSTED]])&lt;REAL_LIVING_WAGE_22_23,DATA[[#This Row],[Deputy manager: Numbers employed (Full Time Equivalent)]],0),"")</f>
        <v>0</v>
      </c>
      <c r="NS55" s="30">
        <f>IFERROR(IF(AVERAGE(DATA[[#This Row],[Other manager 1: Current 2021/22 Minimum hourly pay rate ADJUSTED]],DATA[[#This Row],[Other manager 1: Current 2021/22 Maximum hourly pay rate ADJUSTED]])&lt;REAL_LIVING_WAGE_22_23,DATA[[#This Row],[Other manager 1: Numbers employed (Full Time Equivalent)]],0),"")</f>
        <v>0</v>
      </c>
      <c r="NT55" s="30">
        <f>IFERROR(IF(AVERAGE(DATA[[#This Row],[Other manager 2: Current 2021/22 Minimum hourly pay rate ADJUSTED]],DATA[[#This Row],[Other manager 2: Current 2021/22 Maximum hourly pay rate ADJUSTED]])&lt;REAL_LIVING_WAGE_22_23,DATA[[#This Row],[Other manager 2: Numbers employed (Full Time Equivalent)]],0),"")</f>
        <v>0</v>
      </c>
      <c r="NU55" s="30">
        <f>IFERROR(IF(AVERAGE(DATA[[#This Row],[Other manager 3: Current 2021/22 Minimum hourly pay rate ADJUSTED]],DATA[[#This Row],[Other manager 3: Current 2021/22 Maximum hourly pay rate ADJUSTED]])&lt;REAL_LIVING_WAGE_22_23,DATA[[#This Row],[Other manager 3: Numbers employed (Full Time Equivalent)]],0),"")</f>
        <v>0</v>
      </c>
      <c r="NV55" s="30">
        <f>IFERROR(IF(AVERAGE(DATA[[#This Row],[Care Assistant 1: Current 2021/22 Minimum hourly pay rate ADJUSTED]],DATA[[#This Row],[Care Assistant 1: Current 2021/22 Maximum hourly pay rate ADJUSTED]])&lt;REAL_LIVING_WAGE_22_23,DATA[[#This Row],[Care Assistant 1: Numbers employed (Full Time Equivalent)]],0),"")</f>
        <v>14</v>
      </c>
      <c r="NW55" s="30">
        <f>IFERROR(IF(AVERAGE(DATA[[#This Row],[Care Assistant 2: Current 2021/22 Minimum hourly pay rate ADJUSTED]],DATA[[#This Row],[Care Assistant 2: Current 2021/22 Maximum hourly pay rate ADJUSTED]])&lt;REAL_LIVING_WAGE_22_23,DATA[[#This Row],[Care Assistant 2: Numbers employed (Full Time Equivalent)]],0),"")</f>
        <v>0</v>
      </c>
      <c r="NX55"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55"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5"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55"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55" s="30">
        <f>IFERROR(IF(AVERAGE(DATA[[#This Row],[Other staff 1: Current 2021/22 Minimum hourly pay rate ADJUSTED]],DATA[[#This Row],[Other staff 1: Current 2021/22 Maximum hourly pay rate ADJUSTED]])&lt;REAL_LIVING_WAGE_22_23,DATA[[#This Row],[Other staff 1: Numbers employed (Full Time Equivalent)]],0),"")</f>
        <v>0</v>
      </c>
      <c r="OC55" s="30">
        <f>IFERROR(IF(AVERAGE(DATA[[#This Row],[Other staff 2: Current 2021/22 Minimum hourly pay rate ADJUSTED]],DATA[[#This Row],[Other staff 2: Current 2021/22 Maximum hourly pay rate ADJUSTED]])&lt;REAL_LIVING_WAGE_22_23,DATA[[#This Row],[Other staff 2: Numbers employed (Full Time Equivalent)]],0),"")</f>
        <v>0</v>
      </c>
      <c r="OD55" s="30" t="str">
        <f>IFERROR(IF(AVERAGE(DATA[[#This Row],[Other staff 3: Current 2021/22 Minimum hourly pay rate ADJUSTED]],DATA[[#This Row],[Other staff 3: Current 2021/22 Maximum hourly pay rate ADJUSTED]])&lt;REAL_LIVING_WAGE_22_23,DATA[[#This Row],[Other staff 3: Numbers employed (Full Time Equivalent)]],0),"")</f>
        <v/>
      </c>
      <c r="OE55" s="30">
        <f>SUM(DATA[[#This Row],[Registered Manager FTE earning less than RLW 23yrs 2022/23]:[Other staff 3 FTE earning less than RLW 23yrs 2022/23]])</f>
        <v>15</v>
      </c>
      <c r="OF55"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55"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55"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55"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55"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55"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13.860000000000003</v>
      </c>
      <c r="OL55"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55"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55"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5"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0.99000000000000021</v>
      </c>
      <c r="OP55"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55"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55"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0</v>
      </c>
      <c r="OS55"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5" s="30">
        <f>IFERROR(IF(DATA[[#This Row],[Registered manager: Numbers employed (Full Time Equivalent)]]=0,"",DATA[[#This Row],[Registered manager: Current 2021/22 Minimum hourly pay rate ADJUSTED 2]]*DATA[[#This Row],[Registered manager: Numbers employed (Full Time Equivalent)]]),"")</f>
        <v>20.190000000000001</v>
      </c>
      <c r="OU55" s="30">
        <f>IFERROR(IF(DATA[[#This Row],[Registered manager: Numbers employed (Full Time Equivalent)]]=0,"",DATA[[#This Row],[Registered manager: Current 2021/22 Maximum hourly pay rate ADJUSTED 2]]*DATA[[#This Row],[Registered manager: Numbers employed (Full Time Equivalent)]]),"")</f>
        <v>20.190000000000001</v>
      </c>
      <c r="OV55" s="30">
        <f>IFERROR(IF(DATA[[#This Row],[Registered manager: Numbers employed (Full Time Equivalent)]]=0,"",DATA[[#This Row],[Registered manager: Previous 2020/21 Minimum hourly pay rate ADJUSTED 2]]*DATA[[#This Row],[Registered manager: Numbers employed (Full Time Equivalent)]]),"")</f>
        <v>19.23</v>
      </c>
      <c r="OW55" s="30">
        <f>IFERROR(IF(DATA[[#This Row],[Registered manager: Numbers employed (Full Time Equivalent)]]=0,"",DATA[[#This Row],[Registered manager: Previous 2020/21 Maximum hourly pay rate ADJUSTED 2]]*DATA[[#This Row],[Registered manager: Numbers employed (Full Time Equivalent)]]),"")</f>
        <v>19.23</v>
      </c>
      <c r="OX55" s="30">
        <f>IFERROR(IF(DATA[[#This Row],[Deputy manager: Numbers employed (Full Time Equivalent)]]=0,"",DATA[[#This Row],[Deputy manager: Current 2021/22 Minimum hourly pay rate ADJUSTED 2]]*DATA[[#This Row],[Deputy manager: Numbers employed (Full Time Equivalent)]]),"")</f>
        <v>11.37</v>
      </c>
      <c r="OY55" s="30">
        <f>IFERROR(IF(DATA[[#This Row],[Deputy manager: Numbers employed (Full Time Equivalent)]]=0,"",DATA[[#This Row],[Deputy manager: Current 2021/22 Maximum hourly pay rate ADJUSTED 2]]*DATA[[#This Row],[Deputy manager: Numbers employed (Full Time Equivalent)]]),"")</f>
        <v>11.37</v>
      </c>
      <c r="OZ55" s="30">
        <f>IFERROR(IF(DATA[[#This Row],[Deputy manager: Numbers employed (Full Time Equivalent)]]=0,"",DATA[[#This Row],[Deputy manager: Previous 2020/21 Minimum hourly pay rate ADJUSTED 2]]*DATA[[#This Row],[Deputy manager: Numbers employed (Full Time Equivalent)]]),"")</f>
        <v>11.13</v>
      </c>
      <c r="PA55" s="30">
        <f>IFERROR(IF(DATA[[#This Row],[Deputy manager: Numbers employed (Full Time Equivalent)]]=0,"",DATA[[#This Row],[Deputy manager: Previous 2020/21 Maximum hourly pay rate ADJUSTED 2]]*DATA[[#This Row],[Deputy manager: Numbers employed (Full Time Equivalent)]]),"")</f>
        <v>11.13</v>
      </c>
      <c r="PB55" s="30">
        <f>IFERROR(IF(DATA[[#This Row],[Other manager 1: Numbers employed (Full Time Equivalent)]]=0,"",DATA[[#This Row],[Other manager 1: Current 2021/22 Minimum hourly pay rate ADJUSTED 2]]*DATA[[#This Row],[Other manager 1: Numbers employed (Full Time Equivalent)]]),"")</f>
        <v>5.48</v>
      </c>
      <c r="PC55" s="30">
        <f>IFERROR(IF(DATA[[#This Row],[Other manager 1: Numbers employed (Full Time Equivalent)]]=0,"",DATA[[#This Row],[Other manager 1: Current 2021/22 Maximum hourly pay rate ADJUSTED 2]]*DATA[[#This Row],[Other manager 1: Numbers employed (Full Time Equivalent)]]),"")</f>
        <v>6.6340000000000003</v>
      </c>
      <c r="PD55" s="30">
        <f>IFERROR(IF(DATA[[#This Row],[Other manager 1: Numbers employed (Full Time Equivalent)]]=0,"",DATA[[#This Row],[Other manager 1: Previous 2020/21 Minimum hourly pay rate ADJUSTED 2]]*DATA[[#This Row],[Other manager 1: Numbers employed (Full Time Equivalent)]]),"")</f>
        <v>5.2880000000000003</v>
      </c>
      <c r="PE55" s="30">
        <f>IFERROR(IF(DATA[[#This Row],[Other manager 1: Numbers employed (Full Time Equivalent)]]=0,"",DATA[[#This Row],[Other manager 1: Previous 2020/21 Maximum hourly pay rate ADJUSTED 2]]*DATA[[#This Row],[Other manager 1: Numbers employed (Full Time Equivalent)]]),"")</f>
        <v>6.4420000000000002</v>
      </c>
      <c r="PF55" s="30">
        <f>IFERROR(IF(DATA[[#This Row],[Other manager 2: Numbers employed (Full Time Equivalent)]]=0,"",DATA[[#This Row],[Other manager 2: Current 2021/22 Minimum hourly pay rate ADJUSTED 2]]*DATA[[#This Row],[Other manager 2: Numbers employed (Full Time Equivalent)]]),"")</f>
        <v>4.5200000000000005</v>
      </c>
      <c r="PG55" s="30">
        <f>IFERROR(IF(DATA[[#This Row],[Other manager 2: Numbers employed (Full Time Equivalent)]]=0,"",DATA[[#This Row],[Other manager 2: Current 2021/22 Maximum hourly pay rate ADJUSTED 2]]*DATA[[#This Row],[Other manager 2: Numbers employed (Full Time Equivalent)]]),"")</f>
        <v>6.25</v>
      </c>
      <c r="PH55" s="30">
        <f>IFERROR(IF(DATA[[#This Row],[Other manager 2: Numbers employed (Full Time Equivalent)]]=0,"",DATA[[#This Row],[Other manager 2: Previous 2020/21 Minimum hourly pay rate ADJUSTED 2]]*DATA[[#This Row],[Other manager 2: Numbers employed (Full Time Equivalent)]]),"")</f>
        <v>4.0380000000000003</v>
      </c>
      <c r="PI55" s="30">
        <f>IFERROR(IF(DATA[[#This Row],[Other manager 2: Numbers employed (Full Time Equivalent)]]=0,"",DATA[[#This Row],[Other manager 2: Previous 2020/21 Maximum hourly pay rate ADJUSTED 2]]*DATA[[#This Row],[Other manager 2: Numbers employed (Full Time Equivalent)]]),"")</f>
        <v>5.7700000000000005</v>
      </c>
      <c r="PJ55" s="30">
        <f>IFERROR(IF(DATA[[#This Row],[Other manager 3: Numbers employed (Full Time Equivalent)]]=0,"",DATA[[#This Row],[Other manager 3: Current 2021/22 Minimum hourly pay rate ADJUSTED 2]]*DATA[[#This Row],[Other manager 3: Numbers employed (Full Time Equivalent)]]),"")</f>
        <v>4.1340000000000003</v>
      </c>
      <c r="PK55" s="30">
        <f>IFERROR(IF(DATA[[#This Row],[Other manager 3: Numbers employed (Full Time Equivalent)]]=0,"",DATA[[#This Row],[Other manager 3: Current 2021/22 Maximum hourly pay rate ADJUSTED 2]]*DATA[[#This Row],[Other manager 3: Numbers employed (Full Time Equivalent)]]),"")</f>
        <v>4.1340000000000003</v>
      </c>
      <c r="PL55" s="30">
        <f>IFERROR(IF(DATA[[#This Row],[Other manager 3: Numbers employed (Full Time Equivalent)]]=0,"",DATA[[#This Row],[Other manager 3: Previous 2020/21 Minimum hourly pay rate ADJUSTED 2]]*DATA[[#This Row],[Other manager 3: Numbers employed (Full Time Equivalent)]]),"")</f>
        <v>4.0380000000000003</v>
      </c>
      <c r="PM55" s="30">
        <f>IFERROR(IF(DATA[[#This Row],[Other manager 3: Numbers employed (Full Time Equivalent)]]=0,"",DATA[[#This Row],[Other manager 3: Previous 2020/21 Maximum hourly pay rate ADJUSTED 2]]*DATA[[#This Row],[Other manager 3: Numbers employed (Full Time Equivalent)]]),"")</f>
        <v>4.0380000000000003</v>
      </c>
      <c r="PN55" s="30">
        <f>IFERROR(IF(DATA[[#This Row],[Care Assistant 1: Numbers employed (Full Time Equivalent)]]=0,"",DATA[[#This Row],[Care Assistant 1: Current 2021/22 Minimum hourly pay rate ADJUSTED 2]]*DATA[[#This Row],[Care Assistant 1: Numbers employed (Full Time Equivalent)]]),"")</f>
        <v>124.74000000000001</v>
      </c>
      <c r="PO55" s="30">
        <f>IFERROR(IF(DATA[[#This Row],[Care Assistant 1: Numbers employed (Full Time Equivalent)]]=0,"",DATA[[#This Row],[Care Assistant 1: Current 2021/22 Maximum hourly pay rate ADJUSTED 2]]*DATA[[#This Row],[Care Assistant 1: Numbers employed (Full Time Equivalent)]]),"")</f>
        <v>124.74000000000001</v>
      </c>
      <c r="PP55" s="30">
        <f>IFERROR(IF(DATA[[#This Row],[Care Assistant 1: Numbers employed (Full Time Equivalent)]]=0,"",DATA[[#This Row],[Care Assistant 1: Previous 2020/21 Minimum hourly pay rate ADJUSTED 2]]*DATA[[#This Row],[Care Assistant 1: Numbers employed (Full Time Equivalent)]]),"")</f>
        <v>122.08000000000001</v>
      </c>
      <c r="PQ55" s="30">
        <f>IFERROR(IF(DATA[[#This Row],[Care Assistant 1: Numbers employed (Full Time Equivalent)]]=0,"",DATA[[#This Row],[Care Assistant 1: Previous 2020/21 Maximum hourly pay rate ADJUSTED 2]]*DATA[[#This Row],[Care Assistant 1: Numbers employed (Full Time Equivalent)]]),"")</f>
        <v>122.08000000000001</v>
      </c>
      <c r="PR55" s="30">
        <f>IFERROR(IF(DATA[[#This Row],[Care Assistant 2: Numbers employed (Full Time Equivalent)]]=0,"",DATA[[#This Row],[Care Assistant 2: Current 2021/22 Minimum hourly pay rate ADJUSTED 2]]*DATA[[#This Row],[Care Assistant 2: Numbers employed (Full Time Equivalent)]]),"")</f>
        <v>20.62</v>
      </c>
      <c r="PS55" s="30">
        <f>IFERROR(IF(DATA[[#This Row],[Care Assistant 2: Numbers employed (Full Time Equivalent)]]=0,"",DATA[[#This Row],[Care Assistant 2: Current 2021/22 Maximum hourly pay rate ADJUSTED 2]]*DATA[[#This Row],[Care Assistant 2: Numbers employed (Full Time Equivalent)]]),"")</f>
        <v>20.62</v>
      </c>
      <c r="PT55" s="30">
        <f>IFERROR(IF(DATA[[#This Row],[Care Assistant 2: Numbers employed (Full Time Equivalent)]]=0,"",DATA[[#This Row],[Care Assistant 2: Previous 2020/21 Minimum hourly pay rate ADJUSTED 2]]*DATA[[#This Row],[Care Assistant 2: Numbers employed (Full Time Equivalent)]]),"")</f>
        <v>20.18</v>
      </c>
      <c r="PU55" s="30">
        <f>IFERROR(IF(DATA[[#This Row],[Care Assistant 2: Numbers employed (Full Time Equivalent)]]=0,"",DATA[[#This Row],[Care Assistant 2: Previous 2020/21 Maximum hourly pay rate ADJUSTED 2]]*DATA[[#This Row],[Care Assistant 2: Numbers employed (Full Time Equivalent)]]),"")</f>
        <v>20.18</v>
      </c>
      <c r="PV55" s="30" t="str">
        <f>IFERROR(IF(DATA[[#This Row],[Care Assistant 3: Numbers employed (Full Time Equivalent)]]=0,"",DATA[[#This Row],[Care Assistant 3: Current 2021/22 Minimum hourly pay rate ADJUSTED 2]]*DATA[[#This Row],[Care Assistant 3: Numbers employed (Full Time Equivalent)]]),"")</f>
        <v/>
      </c>
      <c r="PW55" s="30" t="str">
        <f>IFERROR(IF(DATA[[#This Row],[Care Assistant 3: Numbers employed (Full Time Equivalent)]]=0,"",DATA[[#This Row],[Care Assistant 3: Current 2021/22 Maximum hourly pay rate ADJUSTED 2]]*DATA[[#This Row],[Care Assistant 3: Numbers employed (Full Time Equivalent)]]),"")</f>
        <v/>
      </c>
      <c r="PX55" s="30" t="str">
        <f>IFERROR(IF(DATA[[#This Row],[Care Assistant 3: Numbers employed (Full Time Equivalent)]]=0,"",DATA[[#This Row],[Care Assistant 3: Previous 2020/21 Minimum hourly pay rate ADJUSTED 2]]*DATA[[#This Row],[Care Assistant 3: Numbers employed (Full Time Equivalent)]]),"")</f>
        <v/>
      </c>
      <c r="PY55" s="30" t="str">
        <f>IFERROR(IF(DATA[[#This Row],[Care Assistant 3: Numbers employed (Full Time Equivalent)]]=0,"",DATA[[#This Row],[Care Assistant 3: Previous 2020/21 Maximum hourly pay rate ADJUSTED 2]]*DATA[[#This Row],[Care Assistant 3: Numbers employed (Full Time Equivalent)]]),"")</f>
        <v/>
      </c>
      <c r="PZ55" s="30" t="str">
        <f>IFERROR(IF(DATA[[#This Row],[Care Assistant 4: Numbers employed (Full Time Equivalent)]]=0,"",DATA[[#This Row],[Care Assistant 4: Current 2021/22 Minimum hourly pay rate ADJUSTED 2]]*DATA[[#This Row],[Care Assistant 4: Numbers employed (Full Time Equivalent)]]),"")</f>
        <v/>
      </c>
      <c r="QA55" s="30" t="str">
        <f>IFERROR(IF(DATA[[#This Row],[Care Assistant 4: Numbers employed (Full Time Equivalent)]]=0,"",DATA[[#This Row],[Care Assistant 4: Current 2021/22 Maximum hourly pay rate ADJUSTED 2]]*DATA[[#This Row],[Care Assistant 4: Numbers employed (Full Time Equivalent)]]),"")</f>
        <v/>
      </c>
      <c r="QB55" s="30" t="str">
        <f>IFERROR(IF(DATA[[#This Row],[Care Assistant 4: Numbers employed (Full Time Equivalent)]]=0,"",DATA[[#This Row],[Care Assistant 4: Previous 2020/21 Minimum hourly pay rate ADJUSTED 2]]*DATA[[#This Row],[Care Assistant 4: Numbers employed (Full Time Equivalent)]]),"")</f>
        <v/>
      </c>
      <c r="QC55" s="30" t="str">
        <f>IFERROR(IF(DATA[[#This Row],[Care Assistant 4: Numbers employed (Full Time Equivalent)]]=0,"",DATA[[#This Row],[Care Assistant 4: Previous 2020/21 Maximum hourly pay rate ADJUSTED 2]]*DATA[[#This Row],[Care Assistant 4: Numbers employed (Full Time Equivalent)]]),"")</f>
        <v/>
      </c>
      <c r="QD55" s="30">
        <f>IFERROR(IF(DATA[[#This Row],[Administrative Officer 1: Numbers employed (Full Time Equivalent)]]=0,"",DATA[[#This Row],[Administrative Officer 1: Current 2021/22 Minimum hourly pay rate ADJUSTED 2]]*DATA[[#This Row],[Administrative Officer 1: Numbers employed (Full Time Equivalent)]]),"")</f>
        <v>8.91</v>
      </c>
      <c r="QE55" s="30">
        <f>IFERROR(IF(DATA[[#This Row],[Administrative Officer 1: Numbers employed (Full Time Equivalent)]]=0,"",DATA[[#This Row],[Administrative Officer 1: Current 2021/22 Maximum hourly pay rate ADJUSTED 2]]*DATA[[#This Row],[Administrative Officer 1: Numbers employed (Full Time Equivalent)]]),"")</f>
        <v>8.91</v>
      </c>
      <c r="QF55" s="30">
        <f>IFERROR(IF(DATA[[#This Row],[Administrative Officer 1: Numbers employed (Full Time Equivalent)]]=0,"",DATA[[#This Row],[Administrative Officer 1: Previous 2020/21 Minimum hourly pay rate ADJUSTED 2]]*DATA[[#This Row],[Administrative Officer 1: Numbers employed (Full Time Equivalent)]]),"")</f>
        <v>8.7200000000000006</v>
      </c>
      <c r="QG55" s="30">
        <f>IFERROR(IF(DATA[[#This Row],[Administrative Officer 1: Numbers employed (Full Time Equivalent)]]=0,"",DATA[[#This Row],[Administrative Officer 1: Previous 2020/21 Maximum hourly pay rate ADJUSTED 2]]*DATA[[#This Row],[Administrative Officer 1: Numbers employed (Full Time Equivalent)]]),"")</f>
        <v>8.7200000000000006</v>
      </c>
      <c r="QH55" s="30">
        <f>IFERROR(IF(DATA[[#This Row],[Administrative Officer 2: Numbers employed (Full Time Equivalent)]]=0,"",DATA[[#This Row],[Administrative Officer 2: Current 2021/22 Minimum hourly pay rate ADJUSTED 2]]*DATA[[#This Row],[Administrative Officer 2: Numbers employed (Full Time Equivalent)]]),"")</f>
        <v>2.5640000000000001</v>
      </c>
      <c r="QI55" s="30">
        <f>IFERROR(IF(DATA[[#This Row],[Administrative Officer 2: Numbers employed (Full Time Equivalent)]]=0,"",DATA[[#This Row],[Administrative Officer 2: Current 2021/22 Maximum hourly pay rate ADJUSTED 2]]*DATA[[#This Row],[Administrative Officer 2: Numbers employed (Full Time Equivalent)]]),"")</f>
        <v>2.5640000000000001</v>
      </c>
      <c r="QJ55" s="30">
        <f>IFERROR(IF(DATA[[#This Row],[Administrative Officer 2: Numbers employed (Full Time Equivalent)]]=0,"",DATA[[#This Row],[Administrative Officer 2: Previous 2020/21 Minimum hourly pay rate ADJUSTED 2]]*DATA[[#This Row],[Administrative Officer 2: Numbers employed (Full Time Equivalent)]]),"")</f>
        <v>2.4620000000000002</v>
      </c>
      <c r="QK55" s="30">
        <f>IFERROR(IF(DATA[[#This Row],[Administrative Officer 2: Numbers employed (Full Time Equivalent)]]=0,"",DATA[[#This Row],[Administrative Officer 2: Previous 2020/21 Maximum hourly pay rate ADJUSTED 2]]*DATA[[#This Row],[Administrative Officer 2: Numbers employed (Full Time Equivalent)]]),"")</f>
        <v>2.4620000000000002</v>
      </c>
      <c r="QL55" s="30">
        <f>IFERROR(IF(DATA[[#This Row],[Administrative Officer 3: Numbers employed (Full Time Equivalent)]]=0,"",DATA[[#This Row],[Administrative Officer 3: Current 2021/22 Minimum hourly pay rate ADJUSTED 2]]*DATA[[#This Row],[Administrative Officer 3: Numbers employed (Full Time Equivalent)]]),"")</f>
        <v>1.782</v>
      </c>
      <c r="QM55" s="30">
        <f>IFERROR(IF(DATA[[#This Row],[Administrative Officer 3: Numbers employed (Full Time Equivalent)]]=0,"",DATA[[#This Row],[Administrative Officer 3: Current 2021/22 Maximum hourly pay rate ADJUSTED 2]]*DATA[[#This Row],[Administrative Officer 3: Numbers employed (Full Time Equivalent)]]),"")</f>
        <v>1.782</v>
      </c>
      <c r="QN55" s="30">
        <f>IFERROR(IF(DATA[[#This Row],[Administrative Officer 3: Numbers employed (Full Time Equivalent)]]=0,"",DATA[[#This Row],[Administrative Officer 3: Previous 2020/21 Minimum hourly pay rate ADJUSTED 2]]*DATA[[#This Row],[Administrative Officer 3: Numbers employed (Full Time Equivalent)]]),"")</f>
        <v>1.7440000000000002</v>
      </c>
      <c r="QO55" s="30">
        <f>IFERROR(IF(DATA[[#This Row],[Administrative Officer 3: Numbers employed (Full Time Equivalent)]]=0,"",DATA[[#This Row],[Administrative Officer 3: Previous 2020/21 Maximum hourly pay rate ADJUSTED 2]]*DATA[[#This Row],[Administrative Officer 3: Numbers employed (Full Time Equivalent)]]),"")</f>
        <v>1.7440000000000002</v>
      </c>
      <c r="QP55" s="28">
        <f>IFERROR(IF(DATA[[#This Row],[Other staff 1: Numbers employed (Full Time Equivalent)]]=0,"",DATA[[#This Row],[Other staff 1: Current 2021/22 Minimum hourly pay rate ADJUSTED 2]]*DATA[[#This Row],[Other staff 1: Numbers employed (Full Time Equivalent)]]),"")</f>
        <v>2.0620000000000003</v>
      </c>
      <c r="QQ55" s="28">
        <f>IFERROR(IF(DATA[[#This Row],[Other staff 1: Numbers employed (Full Time Equivalent)]]=0,"",DATA[[#This Row],[Other staff 1: Current 2021/22 Maximum hourly pay rate ADJUSTED 2]]*DATA[[#This Row],[Other staff 1: Numbers employed (Full Time Equivalent)]]),"")</f>
        <v>2.0620000000000003</v>
      </c>
      <c r="QR55" s="28">
        <f>IFERROR(IF(DATA[[#This Row],[Other staff 1: Numbers employed (Full Time Equivalent)]]=0,"",DATA[[#This Row],[Other staff 1: Previous 2020/21 Minimum hourly pay rate ADJUSTED 2]]*DATA[[#This Row],[Other staff 1: Numbers employed (Full Time Equivalent)]]),"")</f>
        <v>2.0180000000000002</v>
      </c>
      <c r="QS55" s="28">
        <f>IFERROR(IF(DATA[[#This Row],[Other staff 1: Numbers employed (Full Time Equivalent)]]=0,"",DATA[[#This Row],[Other staff 1: Previous 2020/21 Maximum hourly pay rate ADJUSTED 2]]*DATA[[#This Row],[Other staff 1: Numbers employed (Full Time Equivalent)]]),"")</f>
        <v>2.0180000000000002</v>
      </c>
      <c r="QT55" s="28">
        <f>IFERROR(IF(DATA[[#This Row],[Other staff 2: Numbers employed (Full Time Equivalent)]]=0,"",DATA[[#This Row],[Other staff 2: Current 2021/22 Minimum hourly pay rate ADJUSTED 2]]*DATA[[#This Row],[Other staff 2: Numbers employed (Full Time Equivalent)]]),"")</f>
        <v>3.9420000000000002</v>
      </c>
      <c r="QU55" s="28">
        <f>IFERROR(IF(DATA[[#This Row],[Other staff 2: Numbers employed (Full Time Equivalent)]]=0,"",DATA[[#This Row],[Other staff 2: Current 2021/22 Maximum hourly pay rate ADJUSTED 2]]*DATA[[#This Row],[Other staff 2: Numbers employed (Full Time Equivalent)]]),"")</f>
        <v>3.9420000000000002</v>
      </c>
      <c r="QV55" s="28">
        <f>IFERROR(IF(DATA[[#This Row],[Other staff 2: Numbers employed (Full Time Equivalent)]]=0,"",DATA[[#This Row],[Other staff 2: Previous 2020/21 Minimum hourly pay rate ADJUSTED 2]]*DATA[[#This Row],[Other staff 2: Numbers employed (Full Time Equivalent)]]),"")</f>
        <v>3.8460000000000001</v>
      </c>
      <c r="QW55" s="28">
        <f>IFERROR(IF(DATA[[#This Row],[Other staff 2: Numbers employed (Full Time Equivalent)]]=0,"",DATA[[#This Row],[Other staff 2: Previous 2020/21 Maximum hourly pay rate ADJUSTED 2]]*DATA[[#This Row],[Other staff 2: Numbers employed (Full Time Equivalent)]]),"")</f>
        <v>3.8460000000000001</v>
      </c>
      <c r="QX55" s="28" t="str">
        <f>IFERROR(IF(DATA[[#This Row],[Other staff 3: Numbers employed (Full Time Equivalent)]]=0,"",DATA[[#This Row],[Other staff 3: Current 2021/22 Minimum hourly pay rate ADJUSTED 2]]*DATA[[#This Row],[Other staff 3: Numbers employed (Full Time Equivalent)]]),"")</f>
        <v/>
      </c>
      <c r="QY55" s="28" t="str">
        <f>IFERROR(IF(DATA[[#This Row],[Other staff 3: Numbers employed (Full Time Equivalent)]]=0,"",DATA[[#This Row],[Other staff 3: Current 2021/22 Maximum hourly pay rate ADJUSTED 2]]*DATA[[#This Row],[Other staff 3: Numbers employed (Full Time Equivalent)]]),"")</f>
        <v/>
      </c>
      <c r="QZ55" s="28" t="str">
        <f>IFERROR(IF(DATA[[#This Row],[Other staff 3: Numbers employed (Full Time Equivalent)]]=0,"",DATA[[#This Row],[Other staff 3: Previous 2020/21 Minimum hourly pay rate ADJUSTED 2]]*DATA[[#This Row],[Other staff 3: Numbers employed (Full Time Equivalent)]]),"")</f>
        <v/>
      </c>
      <c r="RA55" s="28" t="str">
        <f>IFERROR(IF(DATA[[#This Row],[Other staff 3: Numbers employed (Full Time Equivalent)]]=0,"",DATA[[#This Row],[Other staff 3: Previous 2020/21 Maximum hourly pay rate ADJUSTED 2]]*DATA[[#This Row],[Other staff 3: Numbers employed (Full Time Equivalent)]]),"")</f>
        <v/>
      </c>
      <c r="RB55"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55"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55"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0.2</v>
      </c>
      <c r="RE55"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0.2</v>
      </c>
      <c r="RF55"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0.2</v>
      </c>
      <c r="RG55"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14</v>
      </c>
      <c r="RH55"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2</v>
      </c>
      <c r="RI55"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55"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5"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55"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0.2</v>
      </c>
      <c r="RM55"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0.2</v>
      </c>
      <c r="RN55"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0.2</v>
      </c>
      <c r="RO55"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0.2</v>
      </c>
      <c r="RP55"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6" spans="7:484" x14ac:dyDescent="0.25">
      <c r="G56" s="2">
        <v>50</v>
      </c>
      <c r="H56" s="2">
        <v>0</v>
      </c>
      <c r="I56" s="2">
        <v>32</v>
      </c>
      <c r="L56" s="2" t="s">
        <v>328</v>
      </c>
      <c r="M56" s="2" t="s">
        <v>328</v>
      </c>
      <c r="R56" s="2">
        <v>18.5</v>
      </c>
      <c r="S56" s="2">
        <v>0</v>
      </c>
      <c r="T56" s="2">
        <v>0</v>
      </c>
      <c r="U56" s="2">
        <v>0</v>
      </c>
      <c r="V56" s="2">
        <v>1</v>
      </c>
      <c r="W56" s="2">
        <v>15.5</v>
      </c>
      <c r="X56" s="2">
        <v>0</v>
      </c>
      <c r="Y56" s="2">
        <v>0</v>
      </c>
      <c r="Z56" s="2">
        <v>0</v>
      </c>
      <c r="AA56" s="2">
        <v>1</v>
      </c>
      <c r="AB56" s="2" t="s">
        <v>539</v>
      </c>
      <c r="AC56" s="2">
        <v>18.5</v>
      </c>
      <c r="AD56" s="2">
        <v>0</v>
      </c>
      <c r="AE56" s="2">
        <v>0</v>
      </c>
      <c r="AF56" s="2">
        <v>0</v>
      </c>
      <c r="AG56" s="2">
        <v>1</v>
      </c>
      <c r="AH56" s="2" t="s">
        <v>540</v>
      </c>
      <c r="AI56" s="2">
        <v>0</v>
      </c>
      <c r="AJ56" s="2">
        <v>0</v>
      </c>
      <c r="AK56" s="2">
        <v>0</v>
      </c>
      <c r="AL56" s="2">
        <v>0</v>
      </c>
      <c r="AM56" s="2">
        <v>0</v>
      </c>
      <c r="AN56" s="2" t="s">
        <v>315</v>
      </c>
      <c r="AO56" s="2">
        <v>0</v>
      </c>
      <c r="AP56" s="2">
        <v>0</v>
      </c>
      <c r="AQ56" s="2">
        <v>0</v>
      </c>
      <c r="AR56" s="2">
        <v>0</v>
      </c>
      <c r="AS56" s="2">
        <v>0</v>
      </c>
      <c r="AT56" s="2" t="s">
        <v>316</v>
      </c>
      <c r="AU56" s="2">
        <v>9.5</v>
      </c>
      <c r="AV56" s="2">
        <v>0</v>
      </c>
      <c r="AW56" s="2">
        <v>0</v>
      </c>
      <c r="AX56" s="2">
        <v>0</v>
      </c>
      <c r="AY56" s="2">
        <v>3</v>
      </c>
      <c r="AZ56" s="2" t="s">
        <v>316</v>
      </c>
      <c r="BA56" s="2">
        <v>9.25</v>
      </c>
      <c r="BB56" s="2">
        <v>0</v>
      </c>
      <c r="BC56" s="2">
        <v>0</v>
      </c>
      <c r="BD56" s="2">
        <v>0</v>
      </c>
      <c r="BE56" s="2">
        <v>5</v>
      </c>
      <c r="BF56" s="2" t="s">
        <v>316</v>
      </c>
      <c r="BG56" s="2">
        <v>0</v>
      </c>
      <c r="BH56" s="2">
        <v>0</v>
      </c>
      <c r="BI56" s="2">
        <v>0</v>
      </c>
      <c r="BJ56" s="2">
        <v>0</v>
      </c>
      <c r="BK56" s="2">
        <v>0</v>
      </c>
      <c r="BL56" s="2" t="s">
        <v>316</v>
      </c>
      <c r="BM56" s="2">
        <v>0</v>
      </c>
      <c r="BN56" s="2">
        <v>0</v>
      </c>
      <c r="BO56" s="2">
        <v>0</v>
      </c>
      <c r="BP56" s="2">
        <v>0</v>
      </c>
      <c r="BQ56" s="2">
        <v>0</v>
      </c>
      <c r="BR56" s="2" t="s">
        <v>317</v>
      </c>
      <c r="BS56" s="2">
        <v>9.25</v>
      </c>
      <c r="BT56" s="2">
        <v>0</v>
      </c>
      <c r="BU56" s="2">
        <v>0</v>
      </c>
      <c r="BV56" s="2">
        <v>0</v>
      </c>
      <c r="BW56" s="2">
        <v>1</v>
      </c>
      <c r="BX56" s="2" t="s">
        <v>317</v>
      </c>
      <c r="BY56" s="2">
        <v>0</v>
      </c>
      <c r="BZ56" s="2">
        <v>0</v>
      </c>
      <c r="CA56" s="2">
        <v>0</v>
      </c>
      <c r="CB56" s="2">
        <v>0</v>
      </c>
      <c r="CC56" s="2">
        <v>0</v>
      </c>
      <c r="CD56" s="2" t="s">
        <v>317</v>
      </c>
      <c r="CE56" s="2">
        <v>0</v>
      </c>
      <c r="CF56" s="2">
        <v>0</v>
      </c>
      <c r="CG56" s="2">
        <v>0</v>
      </c>
      <c r="CH56" s="2">
        <v>0</v>
      </c>
      <c r="CI56" s="2">
        <v>0</v>
      </c>
      <c r="CJ56" s="2" t="s">
        <v>318</v>
      </c>
      <c r="CK56" s="2">
        <v>0</v>
      </c>
      <c r="CL56" s="2">
        <v>0</v>
      </c>
      <c r="CM56" s="2">
        <v>0</v>
      </c>
      <c r="CN56" s="2">
        <v>0</v>
      </c>
      <c r="CO56" s="2">
        <v>0</v>
      </c>
      <c r="CP56" s="2" t="s">
        <v>318</v>
      </c>
      <c r="CQ56" s="2">
        <v>0</v>
      </c>
      <c r="CR56" s="2">
        <v>0</v>
      </c>
      <c r="CS56" s="2">
        <v>0</v>
      </c>
      <c r="CT56" s="2">
        <v>0</v>
      </c>
      <c r="CU56" s="2">
        <v>0</v>
      </c>
      <c r="CV56" s="2" t="s">
        <v>318</v>
      </c>
      <c r="CW56" s="2">
        <v>0</v>
      </c>
      <c r="CX56" s="2">
        <v>0</v>
      </c>
      <c r="CY56" s="2">
        <v>0</v>
      </c>
      <c r="CZ56" s="2">
        <v>0</v>
      </c>
      <c r="DA56" s="2">
        <v>0</v>
      </c>
      <c r="DB56" s="2">
        <v>4.4999999999999998E-2</v>
      </c>
      <c r="DC56" s="2">
        <v>0</v>
      </c>
      <c r="DD56" s="2">
        <v>0</v>
      </c>
      <c r="DE56" s="2">
        <v>0</v>
      </c>
      <c r="DF56" s="2">
        <v>0</v>
      </c>
      <c r="DG56" s="2">
        <v>0</v>
      </c>
      <c r="DH56" s="2">
        <v>0</v>
      </c>
      <c r="DI56" s="2">
        <v>193.75</v>
      </c>
      <c r="DJ56" s="2">
        <v>3</v>
      </c>
      <c r="DK56" s="2">
        <v>108</v>
      </c>
      <c r="DL56" s="2">
        <v>15</v>
      </c>
      <c r="DM56" s="2">
        <v>74.5</v>
      </c>
      <c r="DN56" s="2">
        <v>2</v>
      </c>
      <c r="DO56" s="2">
        <v>15.58</v>
      </c>
      <c r="DP56" s="2">
        <v>15.58</v>
      </c>
      <c r="DQ56" s="2">
        <v>15.27</v>
      </c>
      <c r="DR56" s="18">
        <v>43922</v>
      </c>
      <c r="DS56" s="18">
        <v>44287</v>
      </c>
      <c r="DT56" s="2">
        <v>20245.25</v>
      </c>
      <c r="DU56" s="2">
        <v>60523</v>
      </c>
      <c r="DV56" s="2">
        <v>161859.13</v>
      </c>
      <c r="DW56" s="2">
        <v>8404.2000000000007</v>
      </c>
      <c r="DX56" s="2">
        <v>5287.88</v>
      </c>
      <c r="DY56" s="2">
        <v>0</v>
      </c>
      <c r="DZ56" s="2">
        <v>3519.95</v>
      </c>
      <c r="EA56" s="2">
        <v>0</v>
      </c>
      <c r="EB56" s="2">
        <v>9522.24</v>
      </c>
      <c r="EC56" s="2">
        <v>412.86</v>
      </c>
      <c r="ED56" s="2">
        <v>982.58</v>
      </c>
      <c r="EE56" s="2">
        <v>823.76</v>
      </c>
      <c r="EF56" s="2">
        <v>5460</v>
      </c>
      <c r="EG56" s="2">
        <v>1189.92</v>
      </c>
      <c r="EH56" s="2" t="s">
        <v>541</v>
      </c>
      <c r="EI56" s="2">
        <v>2432</v>
      </c>
      <c r="EJ56" s="2" t="s">
        <v>324</v>
      </c>
      <c r="EK56" s="2">
        <v>0</v>
      </c>
      <c r="EL56" s="2">
        <v>14176.8</v>
      </c>
      <c r="EM56" s="2">
        <v>6169.08</v>
      </c>
      <c r="EN56" s="2">
        <v>465.48</v>
      </c>
      <c r="EO56" s="2">
        <v>9388.5</v>
      </c>
      <c r="EP56" s="2">
        <v>2150</v>
      </c>
      <c r="EQ56" s="2">
        <v>1198.18</v>
      </c>
      <c r="ER56" s="2">
        <v>525</v>
      </c>
      <c r="ES56" s="2">
        <v>1763.58</v>
      </c>
      <c r="ET56" s="2" t="s">
        <v>324</v>
      </c>
      <c r="EU56" s="2">
        <v>0</v>
      </c>
      <c r="EV56" s="2" t="s">
        <v>324</v>
      </c>
      <c r="EW56" s="2">
        <v>0</v>
      </c>
      <c r="EX56" s="2">
        <v>22100</v>
      </c>
      <c r="EY56" s="2">
        <v>5286.6</v>
      </c>
      <c r="EZ56" s="2" t="s">
        <v>326</v>
      </c>
      <c r="FA56" s="2">
        <v>0</v>
      </c>
      <c r="FB56" s="2" t="s">
        <v>326</v>
      </c>
      <c r="FC56" s="2">
        <v>0</v>
      </c>
      <c r="FD56" s="2">
        <v>11040.46</v>
      </c>
      <c r="FE56" s="2">
        <v>54.48</v>
      </c>
      <c r="FF56" s="2">
        <v>20262</v>
      </c>
      <c r="FG56" s="2"/>
      <c r="FH56" s="19">
        <v>44480.626944444448</v>
      </c>
      <c r="FI56" s="2" t="s">
        <v>345</v>
      </c>
      <c r="FJ56" s="2">
        <f>SUM(DATA[[#This Row],[Number of Home support clients:]],DATA[[#This Row],[Number of supported living clients:]])</f>
        <v>32</v>
      </c>
      <c r="FK56"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31-40</v>
      </c>
      <c r="FL56"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18.5</v>
      </c>
      <c r="FM56"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18.5</v>
      </c>
      <c r="FN56"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56"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56"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15.5</v>
      </c>
      <c r="FQ56"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56"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56"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56"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18.5</v>
      </c>
      <c r="FU56"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18.5</v>
      </c>
      <c r="FV56"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56"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56"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56"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56"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56"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56"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56"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56"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56"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56"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9.5</v>
      </c>
      <c r="GG56"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9.5</v>
      </c>
      <c r="GH56"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56"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56"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9.25</v>
      </c>
      <c r="GK56"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9.25</v>
      </c>
      <c r="GL56"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56"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56"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56"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56"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56"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56"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6"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6"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6"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6"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9.25</v>
      </c>
      <c r="GW56"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9.25</v>
      </c>
      <c r="GX56"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56"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56"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56"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56"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56"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56"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56"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56"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56"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56"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56"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56"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56"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56"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56"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56"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56"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56"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6"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6"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6"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6"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18.5</v>
      </c>
      <c r="HU56"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18.5</v>
      </c>
      <c r="HV56"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18.5</v>
      </c>
      <c r="HW56"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18.5</v>
      </c>
      <c r="HX56"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15.5</v>
      </c>
      <c r="HY56"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56"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15.5</v>
      </c>
      <c r="IA56"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56"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18.5</v>
      </c>
      <c r="IC56"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18.5</v>
      </c>
      <c r="ID56"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18.5</v>
      </c>
      <c r="IE56"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18.5</v>
      </c>
      <c r="IF56"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56"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56"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56"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56"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56"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56"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56"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56"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9.5</v>
      </c>
      <c r="IO56"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9.5</v>
      </c>
      <c r="IP56"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9.5</v>
      </c>
      <c r="IQ56"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9.5</v>
      </c>
      <c r="IR56"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9.25</v>
      </c>
      <c r="IS56"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9.25</v>
      </c>
      <c r="IT56"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9.25</v>
      </c>
      <c r="IU56"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9.25</v>
      </c>
      <c r="IV56"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56"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56"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56"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56"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6"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6"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6"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6"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9.25</v>
      </c>
      <c r="JE56"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9.25</v>
      </c>
      <c r="JF56"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9.25</v>
      </c>
      <c r="JG56"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9.25</v>
      </c>
      <c r="JH56"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56"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56"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56"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56"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56"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56"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56"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56"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56"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56"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56"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56"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56"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56"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56"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56"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6"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6"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6"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6"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56" s="21">
        <f>SUM(DATA[[#This Row],[Care Assistant 1: Numbers employed (Full Time Equivalent)]],DATA[[#This Row],[Care Assistant 2: Numbers employed (Full Time Equivalent)]],DATA[[#This Row],[Care Assistant 3: Numbers employed (Full Time Equivalent)]],DATA[[#This Row],[Care Assistant 4: Numbers employed (Full Time Equivalent)]])</f>
        <v>8</v>
      </c>
      <c r="KD56" s="21">
        <f>SUM(DATA[[#This Row],[Administrative Officer 1: Numbers employed (Full Time Equivalent)]],DATA[[#This Row],[Administrative Officer 2: Numbers employed (Full Time Equivalent)]])</f>
        <v>1</v>
      </c>
      <c r="KE56" s="21">
        <f>SUM(DATA[[#This Row],[Other staff 1: Numbers employed (Full Time Equivalent)]],DATA[[#This Row],[Other staff 2: Numbers employed (Full Time Equivalent)]],DATA[[#This Row],[Other staff 3: Numbers employed (Full Time Equivalent)]])</f>
        <v>0</v>
      </c>
      <c r="KF56" s="21">
        <f>SUM(DATA[[#This Row],[Total FTE Management Employees]:[Total FTE Other Employees]])</f>
        <v>12</v>
      </c>
      <c r="KG56" s="21" t="str">
        <f>IF(SUM(DATA[[#This Row],[Home Support service split percentage (Expenditure):]],DATA[[#This Row],[Supported Living service split percentage (Expenditure):]])&gt;0, IF(DATA[[#This Row],[Home Support service split percentage (Expenditure):]]&gt;0.5,"Home Support","Supported Living"), "Unknown")</f>
        <v>Unknown</v>
      </c>
      <c r="KH56" s="21">
        <f>SUM(DATA[[#This Row],[Home Support: Birmingham City Council]:[Home Support: Self-funded]])</f>
        <v>0</v>
      </c>
      <c r="KI56" s="21">
        <f>SUM(DATA[[#This Row],[Supported Living: Birmingham City Council]:[Supported Living: Self-funded]])</f>
        <v>396.25</v>
      </c>
      <c r="KJ56"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56"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56"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56"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56" s="21" t="b">
        <f>SUM(DATA[[#This Row],[Number of hours of care charged for in last full accounting year]:[Corporate Overheads: Other  - please specify (category) 1]])&gt;0</f>
        <v>1</v>
      </c>
      <c r="KO56" s="21">
        <f>SUM(DATA[[#This Row],[Total annual expenditure: Management staff]:[Total annual expenditure: Training and development]])</f>
        <v>249116.40000000002</v>
      </c>
      <c r="KP56" s="21">
        <f>SUM(DATA[[#This Row],[Recruitment &amp; advertising (including DBS checks)]:[Non-Staffing Direct Cost: Other  - please specify (amount) 2]])</f>
        <v>11301.119999999999</v>
      </c>
      <c r="KQ56" s="21">
        <f>SUM(DATA[[#This Row],[Insurance ]:[Indirect costs: Other 2 - please specify (amount)]])</f>
        <v>35836.619999999995</v>
      </c>
      <c r="KR56" s="21">
        <f>SUM(DATA[[#This Row],[Central / Regional Management]],DATA[[#This Row],[Support Services (finance / HR / Payroll / legal etc.)]],DATA[[#This Row],[Corporate Overheads: Other  - please specify (amount) 1]],DATA[[#This Row],[Corporate Overheads: Other  - please specify (amount) 2]])</f>
        <v>27386.6</v>
      </c>
      <c r="KS56"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2.9894913621713735</v>
      </c>
      <c r="KT56"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7.9949188081154841</v>
      </c>
      <c r="KU56"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0.41511959595460668</v>
      </c>
      <c r="KV56" s="30">
        <f>IF(OR(NOT(DATA[[#This Row],[Total annual expenditure: Other staff]]&gt;0),NOT(DATA[[#This Row],[Number of hours of care charged for in last full accounting year]]&gt;0)),0,DATA[[#This Row],[Total annual expenditure: Other staff]]/DATA[[#This Row],[Number of hours of care charged for in last full accounting year]])</f>
        <v>0.26119114360158557</v>
      </c>
      <c r="KW56"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56" s="30">
        <f>IF(OR(NOT(DATA[[#This Row],[Total annual expenditure: Travel Cost]]&gt;0),NOT(DATA[[#This Row],[Number of hours of care charged for in last full accounting year]]&gt;0)),0,DATA[[#This Row],[Total annual expenditure: Travel Cost]]/DATA[[#This Row],[Number of hours of care charged for in last full accounting year]])</f>
        <v>0.17386547461750287</v>
      </c>
      <c r="KY56"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56"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0.47034440177325543</v>
      </c>
      <c r="LA56"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2.0392931675331252E-2</v>
      </c>
      <c r="LB56"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4.853385361998494E-2</v>
      </c>
      <c r="LC56" s="30">
        <f>IF(OR(NOT(DATA[[#This Row],[Care consumables &amp; uniforms]]&gt;0),NOT(DATA[[#This Row],[Number of hours of care charged for in last full accounting year]]&gt;0)),0,DATA[[#This Row],[Care consumables &amp; uniforms]]/DATA[[#This Row],[Number of hours of care charged for in last full accounting year]])</f>
        <v>4.0689050518022747E-2</v>
      </c>
      <c r="LD56" s="30">
        <f>IF(OR(NOT(DATA[[#This Row],[Electronic call monitoring]]&gt;0),NOT(DATA[[#This Row],[Number of hours of care charged for in last full accounting year]]&gt;0)),0,DATA[[#This Row],[Electronic call monitoring]]/DATA[[#This Row],[Number of hours of care charged for in last full accounting year]])</f>
        <v>0.26969289092503179</v>
      </c>
      <c r="LE56" s="30">
        <f>IF(OR(NOT(DATA[[#This Row],[IT Equipment &amp; Telephoney]]&gt;0),NOT(DATA[[#This Row],[Number of hours of care charged for in last full accounting year]]&gt;0)),0,DATA[[#This Row],[IT Equipment &amp; Telephoney]]/DATA[[#This Row],[Number of hours of care charged for in last full accounting year]])</f>
        <v>5.8775268272804736E-2</v>
      </c>
      <c r="LF56"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0.12012694335708377</v>
      </c>
      <c r="LG56"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56" s="30">
        <f>IF(OR(NOT(DATA[[#This Row],[Insurance ]]&gt;0),NOT(DATA[[#This Row],[Number of hours of care charged for in last full accounting year]]&gt;0)),0,DATA[[#This Row],[Insurance ]]/DATA[[#This Row],[Number of hours of care charged for in last full accounting year]])</f>
        <v>0.70025314579963194</v>
      </c>
      <c r="LI56"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0.30471740284758153</v>
      </c>
      <c r="LJ56" s="30">
        <f>IF(OR(NOT(DATA[[#This Row],[Repairs and maintenance]]&gt;0),NOT(DATA[[#This Row],[Number of hours of care charged for in last full accounting year]]&gt;0)),0,DATA[[#This Row],[Repairs and maintenance]]/DATA[[#This Row],[Number of hours of care charged for in last full accounting year]])</f>
        <v>2.2992059865894469E-2</v>
      </c>
      <c r="LK56"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0.46373840777466319</v>
      </c>
      <c r="LL56" s="30">
        <f>IF(OR(NOT(DATA[[#This Row],[Registration &amp; Inspection fees ]]&gt;0),NOT(DATA[[#This Row],[Number of hours of care charged for in last full accounting year]]&gt;0)),0,DATA[[#This Row],[Registration &amp; Inspection fees ]]/DATA[[#This Row],[Number of hours of care charged for in last full accounting year]])</f>
        <v>0.10619775008952717</v>
      </c>
      <c r="LM56" s="30">
        <f>IF(OR(NOT(DATA[[#This Row],[Subscriptions]]&gt;0),NOT(DATA[[#This Row],[Number of hours of care charged for in last full accounting year]]&gt;0)),0,DATA[[#This Row],[Subscriptions]]/DATA[[#This Row],[Number of hours of care charged for in last full accounting year]])</f>
        <v>5.9183265210357987E-2</v>
      </c>
      <c r="LN56" s="30">
        <f>IF(OR(NOT(DATA[[#This Row],[Cost of finance]]&gt;0),NOT(DATA[[#This Row],[Number of hours of care charged for in last full accounting year]]&gt;0)),0,DATA[[#This Row],[Cost of finance]]/DATA[[#This Row],[Number of hours of care charged for in last full accounting year]])</f>
        <v>2.5932008742791519E-2</v>
      </c>
      <c r="LO56" s="30">
        <f>IF(OR(NOT(DATA[[#This Row],[Other non-staff current expenses]]&gt;0),NOT(DATA[[#This Row],[Number of hours of care charged for in last full accounting year]]&gt;0)),0,DATA[[#This Row],[Other non-staff current expenses]]/DATA[[#This Row],[Number of hours of care charged for in last full accounting year]])</f>
        <v>8.7110803768785272E-2</v>
      </c>
      <c r="LP56"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56"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56" s="30">
        <f>IF(OR(NOT(DATA[[#This Row],[Central / Regional Management]]&gt;0),NOT(DATA[[#This Row],[Number of hours of care charged for in last full accounting year]]&gt;0)),0,DATA[[#This Row],[Central / Regional Management]]/DATA[[#This Row],[Number of hours of care charged for in last full accounting year]])</f>
        <v>1.0916140823156049</v>
      </c>
      <c r="LS56"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0.26112791889455556</v>
      </c>
      <c r="LT56"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56"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6" s="30">
        <f>SUM(DATA[[#This Row],[Management staff HOURLY RATE]:[Corporate Overheads: Other  - please specify (amount) 2 HOURLY RATE]])</f>
        <v>15.986008569911462</v>
      </c>
      <c r="LW56" s="30">
        <f>IF(OR(NOT(DATA[[#This Row],[Net Operating Profit]]&gt;0),NOT(DATA[[#This Row],[Number of hours of care charged for in last full accounting year]]&gt;0)),"",DATA[[#This Row],[Net Operating Profit]]/DATA[[#This Row],[Number of hours of care charged for in last full accounting year]])</f>
        <v>0.54533581951321908</v>
      </c>
      <c r="LX56" s="30">
        <f>IF(OR(NOT(DATA[[#This Row],[Return on Capital employed]]&gt;0),NOT(DATA[[#This Row],[Number of hours of care charged for in last full accounting year]]&gt;0)),0,DATA[[#This Row],[Return on Capital employed]]/DATA[[#This Row],[Number of hours of care charged for in last full accounting year]])</f>
        <v>2.6910015929662513E-3</v>
      </c>
      <c r="LY56" s="31">
        <v>50</v>
      </c>
      <c r="LZ56" s="30" t="s">
        <v>345</v>
      </c>
      <c r="MA56" s="30" t="b">
        <f>DATA[[#This Row],[Number of Home support clients:]]&gt;0</f>
        <v>0</v>
      </c>
      <c r="MB56" s="30" t="b">
        <f>DATA[[#This Row],[Number of supported living clients:]]&gt;0</f>
        <v>1</v>
      </c>
      <c r="MC56" s="30" t="b">
        <f>DATA[[#This Row],[Total Home Support Hours]]&gt;0</f>
        <v>0</v>
      </c>
      <c r="MD56" s="30" t="b">
        <f>DATA[[#This Row],[Total Supported Living Hours]]&gt;0</f>
        <v>1</v>
      </c>
      <c r="ME56" s="30" t="b">
        <f>DATA[[#This Row],[Home Support service split percentage (Expenditure):]]&gt;0.5</f>
        <v>0</v>
      </c>
      <c r="MF56" s="30" t="b">
        <f>DATA[[#This Row],[Agency staff HOURLY RATE]]=0</f>
        <v>1</v>
      </c>
      <c r="MG56" s="30">
        <f>IFERROR(IF(AVERAGE(DATA[[#This Row],[Registered manager: Current 2021/22 Minimum hourly pay rate ADJUSTED]],DATA[[#This Row],[Registered manager: Current 2021/22 Maximum hourly pay rate ADJUSTED]])&lt;LIVING_WAGE_22_23,DATA[[#This Row],[Registered manager: Numbers employed (Full Time Equivalent)]],0),"")</f>
        <v>0</v>
      </c>
      <c r="MH56" s="30">
        <f>IFERROR(IF(AVERAGE(DATA[[#This Row],[Deputy manager: Current 2021/22 Minimum hourly pay rate ADJUSTED]],DATA[[#This Row],[Deputy manager: Current 2021/22 Maximum hourly pay rate ADJUSTED]])&lt;LIVING_WAGE_22_23,DATA[[#This Row],[Deputy manager: Numbers employed (Full Time Equivalent)]],0),"")</f>
        <v>0</v>
      </c>
      <c r="MI56" s="30">
        <f>IFERROR(IF(AVERAGE(DATA[[#This Row],[Other manager 1: Current 2021/22 Minimum hourly pay rate ADJUSTED]],DATA[[#This Row],[Other manager 1: Current 2021/22 Maximum hourly pay rate ADJUSTED]])&lt;LIVING_WAGE_22_23,DATA[[#This Row],[Other manager 1: Numbers employed (Full Time Equivalent)]],0),"")</f>
        <v>0</v>
      </c>
      <c r="MJ56" s="30" t="str">
        <f>IFERROR(IF(AVERAGE(DATA[[#This Row],[Other manager 2: Current 2021/22 Minimum hourly pay rate ADJUSTED]],DATA[[#This Row],[Other manager 2: Current 2021/22 Maximum hourly pay rate ADJUSTED]])&lt;LIVING_WAGE_22_23,DATA[[#This Row],[Other manager 2: Numbers employed (Full Time Equivalent)]],0),"")</f>
        <v/>
      </c>
      <c r="MK56" s="30" t="str">
        <f>IFERROR(IF(AVERAGE(DATA[[#This Row],[Other manager 3: Current 2021/22 Minimum hourly pay rate ADJUSTED]],DATA[[#This Row],[Other manager 3: Current 2021/22 Maximum hourly pay rate ADJUSTED]])&lt;LIVING_WAGE_22_23,DATA[[#This Row],[Other manager 3: Numbers employed (Full Time Equivalent)]],0),"")</f>
        <v/>
      </c>
      <c r="ML56" s="30">
        <f>IFERROR(IF(AVERAGE(DATA[[#This Row],[Care Assistant 1: Current 2021/22 Minimum hourly pay rate ADJUSTED]],DATA[[#This Row],[Care Assistant 1: Current 2021/22 Maximum hourly pay rate ADJUSTED]])&lt;LIVING_WAGE_22_23,DATA[[#This Row],[Care Assistant 1: Numbers employed (Full Time Equivalent)]],0),"")</f>
        <v>0</v>
      </c>
      <c r="MM56" s="30">
        <f>IFERROR(IF(AVERAGE(DATA[[#This Row],[Care Assistant 2: Current 2021/22 Minimum hourly pay rate ADJUSTED]],DATA[[#This Row],[Care Assistant 2: Current 2021/22 Maximum hourly pay rate ADJUSTED]])&lt;LIVING_WAGE_22_23,DATA[[#This Row],[Care Assistant 2: Numbers employed (Full Time Equivalent)]],0),"")</f>
        <v>5</v>
      </c>
      <c r="MN56" s="30" t="str">
        <f>IFERROR(IF(AVERAGE(DATA[[#This Row],[Care Assistant 3: Current 2021/22 Minimum hourly pay rate ADJUSTED]],DATA[[#This Row],[Care Assistant 3: Current 2021/22 Maximum hourly pay rate ADJUSTED]])&lt;LIVING_WAGE_22_23,DATA[[#This Row],[Care Assistant 3: Numbers employed (Full Time Equivalent)]],0),"")</f>
        <v/>
      </c>
      <c r="MO56" s="30" t="str">
        <f>IFERROR(IF(AVERAGE(DATA[[#This Row],[Care Assistant 4: Current 2021/22 Minimum hourly pay rate ADJUSTED]],DATA[[#This Row],[Care Assistant 4: Current 2021/22 Maximum hourly pay rate ADJUSTED]])&lt;LIVING_WAGE_22_23,DATA[[#This Row],[Care Assistant 4: Numbers employed (Full Time Equivalent)]],0),"")</f>
        <v/>
      </c>
      <c r="MP56"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1</v>
      </c>
      <c r="MQ56"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56" s="30" t="str">
        <f>IFERROR(IF(AVERAGE(DATA[[#This Row],[Other staff 1: Current 2021/22 Minimum hourly pay rate ADJUSTED]],DATA[[#This Row],[Other staff 1: Current 2021/22 Maximum hourly pay rate ADJUSTED]])&lt;LIVING_WAGE_22_23,DATA[[#This Row],[Other staff 1: Numbers employed (Full Time Equivalent)]],0),"")</f>
        <v/>
      </c>
      <c r="MS56" s="30" t="str">
        <f>IFERROR(IF(AVERAGE(DATA[[#This Row],[Other staff 2: Current 2021/22 Minimum hourly pay rate ADJUSTED]],DATA[[#This Row],[Other staff 2: Current 2021/22 Maximum hourly pay rate ADJUSTED]])&lt;LIVING_WAGE_22_23,DATA[[#This Row],[Other staff 2: Numbers employed (Full Time Equivalent)]],0),"")</f>
        <v/>
      </c>
      <c r="MT56" s="30" t="str">
        <f>IFERROR(IF(AVERAGE(DATA[[#This Row],[Other staff 3: Current 2021/22 Minimum hourly pay rate ADJUSTED]],DATA[[#This Row],[Other staff 3: Current 2021/22 Maximum hourly pay rate ADJUSTED]])&lt;LIVING_WAGE_22_23,DATA[[#This Row],[Other staff 3: Numbers employed (Full Time Equivalent)]],0),"")</f>
        <v/>
      </c>
      <c r="MU56" s="30">
        <f>SUM(DATA[[#This Row],[Registered Manager FTE earning less than NLW 23yrs 2022/23]:[Other staff 3 FTE earning less than NLW 23yrs 2022/23]])</f>
        <v>6</v>
      </c>
      <c r="MV56"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56"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56"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56"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56"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56"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56"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1.25</v>
      </c>
      <c r="NC56"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56"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6"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0.25</v>
      </c>
      <c r="NF56"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56"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56"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56"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6" s="30" t="b">
        <v>0</v>
      </c>
      <c r="NK56" s="30" t="b">
        <v>1</v>
      </c>
      <c r="NL56" s="30" t="s">
        <v>972</v>
      </c>
      <c r="NM56" s="30">
        <f>SUM(DATA[[#This Row],[Management staff HOURLY RATE]:[Training and development HOURLY RATE]])</f>
        <v>12.304930786233809</v>
      </c>
      <c r="NN56" s="30">
        <f>SUM(DATA[[#This Row],[Recruitment &amp; advertising (including DBS checks) HOURLY RATE]:[Non-Staffing Direct Cost: Other  - please specify (amount) 2 HOURLY RATE]])</f>
        <v>0.55821093836825919</v>
      </c>
      <c r="NO56" s="30">
        <f>SUM(DATA[[#This Row],[Insurance  HOURLY RATE]:[Indirect costs: Other  - please specify (amount) 2 HOURLY RATE]])</f>
        <v>1.770124844099233</v>
      </c>
      <c r="NP56" s="30">
        <f>SUM(DATA[[#This Row],[Central / Regional Management HOURLY RATE]:[Corporate Overheads: Other  - please specify (amount) 2 HOURLY RATE]])</f>
        <v>1.3527420012101605</v>
      </c>
      <c r="NQ56"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56" s="30">
        <f>IFERROR(IF(AVERAGE(DATA[[#This Row],[Deputy manager: Current 2021/22 Minimum hourly pay rate ADJUSTED]],DATA[[#This Row],[Deputy manager: Current 2021/22 Maximum hourly pay rate ADJUSTED]])&lt;REAL_LIVING_WAGE_22_23,DATA[[#This Row],[Deputy manager: Numbers employed (Full Time Equivalent)]],0),"")</f>
        <v>0</v>
      </c>
      <c r="NS56" s="30">
        <f>IFERROR(IF(AVERAGE(DATA[[#This Row],[Other manager 1: Current 2021/22 Minimum hourly pay rate ADJUSTED]],DATA[[#This Row],[Other manager 1: Current 2021/22 Maximum hourly pay rate ADJUSTED]])&lt;REAL_LIVING_WAGE_22_23,DATA[[#This Row],[Other manager 1: Numbers employed (Full Time Equivalent)]],0),"")</f>
        <v>0</v>
      </c>
      <c r="NT56" s="30" t="str">
        <f>IFERROR(IF(AVERAGE(DATA[[#This Row],[Other manager 2: Current 2021/22 Minimum hourly pay rate ADJUSTED]],DATA[[#This Row],[Other manager 2: Current 2021/22 Maximum hourly pay rate ADJUSTED]])&lt;REAL_LIVING_WAGE_22_23,DATA[[#This Row],[Other manager 2: Numbers employed (Full Time Equivalent)]],0),"")</f>
        <v/>
      </c>
      <c r="NU56" s="30" t="str">
        <f>IFERROR(IF(AVERAGE(DATA[[#This Row],[Other manager 3: Current 2021/22 Minimum hourly pay rate ADJUSTED]],DATA[[#This Row],[Other manager 3: Current 2021/22 Maximum hourly pay rate ADJUSTED]])&lt;REAL_LIVING_WAGE_22_23,DATA[[#This Row],[Other manager 3: Numbers employed (Full Time Equivalent)]],0),"")</f>
        <v/>
      </c>
      <c r="NV56" s="30">
        <f>IFERROR(IF(AVERAGE(DATA[[#This Row],[Care Assistant 1: Current 2021/22 Minimum hourly pay rate ADJUSTED]],DATA[[#This Row],[Care Assistant 1: Current 2021/22 Maximum hourly pay rate ADJUSTED]])&lt;REAL_LIVING_WAGE_22_23,DATA[[#This Row],[Care Assistant 1: Numbers employed (Full Time Equivalent)]],0),"")</f>
        <v>3</v>
      </c>
      <c r="NW56" s="30">
        <f>IFERROR(IF(AVERAGE(DATA[[#This Row],[Care Assistant 2: Current 2021/22 Minimum hourly pay rate ADJUSTED]],DATA[[#This Row],[Care Assistant 2: Current 2021/22 Maximum hourly pay rate ADJUSTED]])&lt;REAL_LIVING_WAGE_22_23,DATA[[#This Row],[Care Assistant 2: Numbers employed (Full Time Equivalent)]],0),"")</f>
        <v>5</v>
      </c>
      <c r="NX56"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56"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6"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56"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56" s="30" t="str">
        <f>IFERROR(IF(AVERAGE(DATA[[#This Row],[Other staff 1: Current 2021/22 Minimum hourly pay rate ADJUSTED]],DATA[[#This Row],[Other staff 1: Current 2021/22 Maximum hourly pay rate ADJUSTED]])&lt;REAL_LIVING_WAGE_22_23,DATA[[#This Row],[Other staff 1: Numbers employed (Full Time Equivalent)]],0),"")</f>
        <v/>
      </c>
      <c r="OC56" s="30" t="str">
        <f>IFERROR(IF(AVERAGE(DATA[[#This Row],[Other staff 2: Current 2021/22 Minimum hourly pay rate ADJUSTED]],DATA[[#This Row],[Other staff 2: Current 2021/22 Maximum hourly pay rate ADJUSTED]])&lt;REAL_LIVING_WAGE_22_23,DATA[[#This Row],[Other staff 2: Numbers employed (Full Time Equivalent)]],0),"")</f>
        <v/>
      </c>
      <c r="OD56" s="30" t="str">
        <f>IFERROR(IF(AVERAGE(DATA[[#This Row],[Other staff 3: Current 2021/22 Minimum hourly pay rate ADJUSTED]],DATA[[#This Row],[Other staff 3: Current 2021/22 Maximum hourly pay rate ADJUSTED]])&lt;REAL_LIVING_WAGE_22_23,DATA[[#This Row],[Other staff 3: Numbers employed (Full Time Equivalent)]],0),"")</f>
        <v/>
      </c>
      <c r="OE56" s="30">
        <f>SUM(DATA[[#This Row],[Registered Manager FTE earning less than RLW 23yrs 2022/23]:[Other staff 3 FTE earning less than RLW 23yrs 2022/23]])</f>
        <v>9</v>
      </c>
      <c r="OF56"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56"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56"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56"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56"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56"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1.2000000000000011</v>
      </c>
      <c r="OL56"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3.2500000000000018</v>
      </c>
      <c r="OM56"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56"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6"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0.65000000000000036</v>
      </c>
      <c r="OP56"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56"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56"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56"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6" s="30">
        <f>IFERROR(IF(DATA[[#This Row],[Registered manager: Numbers employed (Full Time Equivalent)]]=0,"",DATA[[#This Row],[Registered manager: Current 2021/22 Minimum hourly pay rate ADJUSTED 2]]*DATA[[#This Row],[Registered manager: Numbers employed (Full Time Equivalent)]]),"")</f>
        <v>18.5</v>
      </c>
      <c r="OU56" s="30">
        <f>IFERROR(IF(DATA[[#This Row],[Registered manager: Numbers employed (Full Time Equivalent)]]=0,"",DATA[[#This Row],[Registered manager: Current 2021/22 Maximum hourly pay rate ADJUSTED 2]]*DATA[[#This Row],[Registered manager: Numbers employed (Full Time Equivalent)]]),"")</f>
        <v>18.5</v>
      </c>
      <c r="OV56" s="30">
        <f>IFERROR(IF(DATA[[#This Row],[Registered manager: Numbers employed (Full Time Equivalent)]]=0,"",DATA[[#This Row],[Registered manager: Previous 2020/21 Minimum hourly pay rate ADJUSTED 2]]*DATA[[#This Row],[Registered manager: Numbers employed (Full Time Equivalent)]]),"")</f>
        <v>18.5</v>
      </c>
      <c r="OW56" s="30">
        <f>IFERROR(IF(DATA[[#This Row],[Registered manager: Numbers employed (Full Time Equivalent)]]=0,"",DATA[[#This Row],[Registered manager: Previous 2020/21 Maximum hourly pay rate ADJUSTED 2]]*DATA[[#This Row],[Registered manager: Numbers employed (Full Time Equivalent)]]),"")</f>
        <v>18.5</v>
      </c>
      <c r="OX56" s="30">
        <f>IFERROR(IF(DATA[[#This Row],[Deputy manager: Numbers employed (Full Time Equivalent)]]=0,"",DATA[[#This Row],[Deputy manager: Current 2021/22 Minimum hourly pay rate ADJUSTED 2]]*DATA[[#This Row],[Deputy manager: Numbers employed (Full Time Equivalent)]]),"")</f>
        <v>15.5</v>
      </c>
      <c r="OY56" s="30" t="str">
        <f>IFERROR(IF(DATA[[#This Row],[Deputy manager: Numbers employed (Full Time Equivalent)]]=0,"",DATA[[#This Row],[Deputy manager: Current 2021/22 Maximum hourly pay rate ADJUSTED 2]]*DATA[[#This Row],[Deputy manager: Numbers employed (Full Time Equivalent)]]),"")</f>
        <v/>
      </c>
      <c r="OZ56" s="30">
        <f>IFERROR(IF(DATA[[#This Row],[Deputy manager: Numbers employed (Full Time Equivalent)]]=0,"",DATA[[#This Row],[Deputy manager: Previous 2020/21 Minimum hourly pay rate ADJUSTED 2]]*DATA[[#This Row],[Deputy manager: Numbers employed (Full Time Equivalent)]]),"")</f>
        <v>15.5</v>
      </c>
      <c r="PA56" s="30" t="str">
        <f>IFERROR(IF(DATA[[#This Row],[Deputy manager: Numbers employed (Full Time Equivalent)]]=0,"",DATA[[#This Row],[Deputy manager: Previous 2020/21 Maximum hourly pay rate ADJUSTED 2]]*DATA[[#This Row],[Deputy manager: Numbers employed (Full Time Equivalent)]]),"")</f>
        <v/>
      </c>
      <c r="PB56" s="30">
        <f>IFERROR(IF(DATA[[#This Row],[Other manager 1: Numbers employed (Full Time Equivalent)]]=0,"",DATA[[#This Row],[Other manager 1: Current 2021/22 Minimum hourly pay rate ADJUSTED 2]]*DATA[[#This Row],[Other manager 1: Numbers employed (Full Time Equivalent)]]),"")</f>
        <v>18.5</v>
      </c>
      <c r="PC56" s="30">
        <f>IFERROR(IF(DATA[[#This Row],[Other manager 1: Numbers employed (Full Time Equivalent)]]=0,"",DATA[[#This Row],[Other manager 1: Current 2021/22 Maximum hourly pay rate ADJUSTED 2]]*DATA[[#This Row],[Other manager 1: Numbers employed (Full Time Equivalent)]]),"")</f>
        <v>18.5</v>
      </c>
      <c r="PD56" s="30">
        <f>IFERROR(IF(DATA[[#This Row],[Other manager 1: Numbers employed (Full Time Equivalent)]]=0,"",DATA[[#This Row],[Other manager 1: Previous 2020/21 Minimum hourly pay rate ADJUSTED 2]]*DATA[[#This Row],[Other manager 1: Numbers employed (Full Time Equivalent)]]),"")</f>
        <v>18.5</v>
      </c>
      <c r="PE56" s="30">
        <f>IFERROR(IF(DATA[[#This Row],[Other manager 1: Numbers employed (Full Time Equivalent)]]=0,"",DATA[[#This Row],[Other manager 1: Previous 2020/21 Maximum hourly pay rate ADJUSTED 2]]*DATA[[#This Row],[Other manager 1: Numbers employed (Full Time Equivalent)]]),"")</f>
        <v>18.5</v>
      </c>
      <c r="PF56" s="30" t="str">
        <f>IFERROR(IF(DATA[[#This Row],[Other manager 2: Numbers employed (Full Time Equivalent)]]=0,"",DATA[[#This Row],[Other manager 2: Current 2021/22 Minimum hourly pay rate ADJUSTED 2]]*DATA[[#This Row],[Other manager 2: Numbers employed (Full Time Equivalent)]]),"")</f>
        <v/>
      </c>
      <c r="PG56" s="30" t="str">
        <f>IFERROR(IF(DATA[[#This Row],[Other manager 2: Numbers employed (Full Time Equivalent)]]=0,"",DATA[[#This Row],[Other manager 2: Current 2021/22 Maximum hourly pay rate ADJUSTED 2]]*DATA[[#This Row],[Other manager 2: Numbers employed (Full Time Equivalent)]]),"")</f>
        <v/>
      </c>
      <c r="PH56" s="30" t="str">
        <f>IFERROR(IF(DATA[[#This Row],[Other manager 2: Numbers employed (Full Time Equivalent)]]=0,"",DATA[[#This Row],[Other manager 2: Previous 2020/21 Minimum hourly pay rate ADJUSTED 2]]*DATA[[#This Row],[Other manager 2: Numbers employed (Full Time Equivalent)]]),"")</f>
        <v/>
      </c>
      <c r="PI56" s="30" t="str">
        <f>IFERROR(IF(DATA[[#This Row],[Other manager 2: Numbers employed (Full Time Equivalent)]]=0,"",DATA[[#This Row],[Other manager 2: Previous 2020/21 Maximum hourly pay rate ADJUSTED 2]]*DATA[[#This Row],[Other manager 2: Numbers employed (Full Time Equivalent)]]),"")</f>
        <v/>
      </c>
      <c r="PJ56" s="30" t="str">
        <f>IFERROR(IF(DATA[[#This Row],[Other manager 3: Numbers employed (Full Time Equivalent)]]=0,"",DATA[[#This Row],[Other manager 3: Current 2021/22 Minimum hourly pay rate ADJUSTED 2]]*DATA[[#This Row],[Other manager 3: Numbers employed (Full Time Equivalent)]]),"")</f>
        <v/>
      </c>
      <c r="PK56" s="30" t="str">
        <f>IFERROR(IF(DATA[[#This Row],[Other manager 3: Numbers employed (Full Time Equivalent)]]=0,"",DATA[[#This Row],[Other manager 3: Current 2021/22 Maximum hourly pay rate ADJUSTED 2]]*DATA[[#This Row],[Other manager 3: Numbers employed (Full Time Equivalent)]]),"")</f>
        <v/>
      </c>
      <c r="PL56" s="30" t="str">
        <f>IFERROR(IF(DATA[[#This Row],[Other manager 3: Numbers employed (Full Time Equivalent)]]=0,"",DATA[[#This Row],[Other manager 3: Previous 2020/21 Minimum hourly pay rate ADJUSTED 2]]*DATA[[#This Row],[Other manager 3: Numbers employed (Full Time Equivalent)]]),"")</f>
        <v/>
      </c>
      <c r="PM56" s="30" t="str">
        <f>IFERROR(IF(DATA[[#This Row],[Other manager 3: Numbers employed (Full Time Equivalent)]]=0,"",DATA[[#This Row],[Other manager 3: Previous 2020/21 Maximum hourly pay rate ADJUSTED 2]]*DATA[[#This Row],[Other manager 3: Numbers employed (Full Time Equivalent)]]),"")</f>
        <v/>
      </c>
      <c r="PN56" s="30">
        <f>IFERROR(IF(DATA[[#This Row],[Care Assistant 1: Numbers employed (Full Time Equivalent)]]=0,"",DATA[[#This Row],[Care Assistant 1: Current 2021/22 Minimum hourly pay rate ADJUSTED 2]]*DATA[[#This Row],[Care Assistant 1: Numbers employed (Full Time Equivalent)]]),"")</f>
        <v>28.5</v>
      </c>
      <c r="PO56" s="30">
        <f>IFERROR(IF(DATA[[#This Row],[Care Assistant 1: Numbers employed (Full Time Equivalent)]]=0,"",DATA[[#This Row],[Care Assistant 1: Current 2021/22 Maximum hourly pay rate ADJUSTED 2]]*DATA[[#This Row],[Care Assistant 1: Numbers employed (Full Time Equivalent)]]),"")</f>
        <v>28.5</v>
      </c>
      <c r="PP56" s="30">
        <f>IFERROR(IF(DATA[[#This Row],[Care Assistant 1: Numbers employed (Full Time Equivalent)]]=0,"",DATA[[#This Row],[Care Assistant 1: Previous 2020/21 Minimum hourly pay rate ADJUSTED 2]]*DATA[[#This Row],[Care Assistant 1: Numbers employed (Full Time Equivalent)]]),"")</f>
        <v>28.5</v>
      </c>
      <c r="PQ56" s="30">
        <f>IFERROR(IF(DATA[[#This Row],[Care Assistant 1: Numbers employed (Full Time Equivalent)]]=0,"",DATA[[#This Row],[Care Assistant 1: Previous 2020/21 Maximum hourly pay rate ADJUSTED 2]]*DATA[[#This Row],[Care Assistant 1: Numbers employed (Full Time Equivalent)]]),"")</f>
        <v>28.5</v>
      </c>
      <c r="PR56" s="30">
        <f>IFERROR(IF(DATA[[#This Row],[Care Assistant 2: Numbers employed (Full Time Equivalent)]]=0,"",DATA[[#This Row],[Care Assistant 2: Current 2021/22 Minimum hourly pay rate ADJUSTED 2]]*DATA[[#This Row],[Care Assistant 2: Numbers employed (Full Time Equivalent)]]),"")</f>
        <v>46.25</v>
      </c>
      <c r="PS56" s="30">
        <f>IFERROR(IF(DATA[[#This Row],[Care Assistant 2: Numbers employed (Full Time Equivalent)]]=0,"",DATA[[#This Row],[Care Assistant 2: Current 2021/22 Maximum hourly pay rate ADJUSTED 2]]*DATA[[#This Row],[Care Assistant 2: Numbers employed (Full Time Equivalent)]]),"")</f>
        <v>46.25</v>
      </c>
      <c r="PT56" s="30">
        <f>IFERROR(IF(DATA[[#This Row],[Care Assistant 2: Numbers employed (Full Time Equivalent)]]=0,"",DATA[[#This Row],[Care Assistant 2: Previous 2020/21 Minimum hourly pay rate ADJUSTED 2]]*DATA[[#This Row],[Care Assistant 2: Numbers employed (Full Time Equivalent)]]),"")</f>
        <v>46.25</v>
      </c>
      <c r="PU56" s="30">
        <f>IFERROR(IF(DATA[[#This Row],[Care Assistant 2: Numbers employed (Full Time Equivalent)]]=0,"",DATA[[#This Row],[Care Assistant 2: Previous 2020/21 Maximum hourly pay rate ADJUSTED 2]]*DATA[[#This Row],[Care Assistant 2: Numbers employed (Full Time Equivalent)]]),"")</f>
        <v>46.25</v>
      </c>
      <c r="PV56" s="30" t="str">
        <f>IFERROR(IF(DATA[[#This Row],[Care Assistant 3: Numbers employed (Full Time Equivalent)]]=0,"",DATA[[#This Row],[Care Assistant 3: Current 2021/22 Minimum hourly pay rate ADJUSTED 2]]*DATA[[#This Row],[Care Assistant 3: Numbers employed (Full Time Equivalent)]]),"")</f>
        <v/>
      </c>
      <c r="PW56" s="30" t="str">
        <f>IFERROR(IF(DATA[[#This Row],[Care Assistant 3: Numbers employed (Full Time Equivalent)]]=0,"",DATA[[#This Row],[Care Assistant 3: Current 2021/22 Maximum hourly pay rate ADJUSTED 2]]*DATA[[#This Row],[Care Assistant 3: Numbers employed (Full Time Equivalent)]]),"")</f>
        <v/>
      </c>
      <c r="PX56" s="30" t="str">
        <f>IFERROR(IF(DATA[[#This Row],[Care Assistant 3: Numbers employed (Full Time Equivalent)]]=0,"",DATA[[#This Row],[Care Assistant 3: Previous 2020/21 Minimum hourly pay rate ADJUSTED 2]]*DATA[[#This Row],[Care Assistant 3: Numbers employed (Full Time Equivalent)]]),"")</f>
        <v/>
      </c>
      <c r="PY56" s="30" t="str">
        <f>IFERROR(IF(DATA[[#This Row],[Care Assistant 3: Numbers employed (Full Time Equivalent)]]=0,"",DATA[[#This Row],[Care Assistant 3: Previous 2020/21 Maximum hourly pay rate ADJUSTED 2]]*DATA[[#This Row],[Care Assistant 3: Numbers employed (Full Time Equivalent)]]),"")</f>
        <v/>
      </c>
      <c r="PZ56" s="30" t="str">
        <f>IFERROR(IF(DATA[[#This Row],[Care Assistant 4: Numbers employed (Full Time Equivalent)]]=0,"",DATA[[#This Row],[Care Assistant 4: Current 2021/22 Minimum hourly pay rate ADJUSTED 2]]*DATA[[#This Row],[Care Assistant 4: Numbers employed (Full Time Equivalent)]]),"")</f>
        <v/>
      </c>
      <c r="QA56" s="30" t="str">
        <f>IFERROR(IF(DATA[[#This Row],[Care Assistant 4: Numbers employed (Full Time Equivalent)]]=0,"",DATA[[#This Row],[Care Assistant 4: Current 2021/22 Maximum hourly pay rate ADJUSTED 2]]*DATA[[#This Row],[Care Assistant 4: Numbers employed (Full Time Equivalent)]]),"")</f>
        <v/>
      </c>
      <c r="QB56" s="30" t="str">
        <f>IFERROR(IF(DATA[[#This Row],[Care Assistant 4: Numbers employed (Full Time Equivalent)]]=0,"",DATA[[#This Row],[Care Assistant 4: Previous 2020/21 Minimum hourly pay rate ADJUSTED 2]]*DATA[[#This Row],[Care Assistant 4: Numbers employed (Full Time Equivalent)]]),"")</f>
        <v/>
      </c>
      <c r="QC56" s="30" t="str">
        <f>IFERROR(IF(DATA[[#This Row],[Care Assistant 4: Numbers employed (Full Time Equivalent)]]=0,"",DATA[[#This Row],[Care Assistant 4: Previous 2020/21 Maximum hourly pay rate ADJUSTED 2]]*DATA[[#This Row],[Care Assistant 4: Numbers employed (Full Time Equivalent)]]),"")</f>
        <v/>
      </c>
      <c r="QD56" s="30">
        <f>IFERROR(IF(DATA[[#This Row],[Administrative Officer 1: Numbers employed (Full Time Equivalent)]]=0,"",DATA[[#This Row],[Administrative Officer 1: Current 2021/22 Minimum hourly pay rate ADJUSTED 2]]*DATA[[#This Row],[Administrative Officer 1: Numbers employed (Full Time Equivalent)]]),"")</f>
        <v>9.25</v>
      </c>
      <c r="QE56" s="30">
        <f>IFERROR(IF(DATA[[#This Row],[Administrative Officer 1: Numbers employed (Full Time Equivalent)]]=0,"",DATA[[#This Row],[Administrative Officer 1: Current 2021/22 Maximum hourly pay rate ADJUSTED 2]]*DATA[[#This Row],[Administrative Officer 1: Numbers employed (Full Time Equivalent)]]),"")</f>
        <v>9.25</v>
      </c>
      <c r="QF56" s="30">
        <f>IFERROR(IF(DATA[[#This Row],[Administrative Officer 1: Numbers employed (Full Time Equivalent)]]=0,"",DATA[[#This Row],[Administrative Officer 1: Previous 2020/21 Minimum hourly pay rate ADJUSTED 2]]*DATA[[#This Row],[Administrative Officer 1: Numbers employed (Full Time Equivalent)]]),"")</f>
        <v>9.25</v>
      </c>
      <c r="QG56" s="30">
        <f>IFERROR(IF(DATA[[#This Row],[Administrative Officer 1: Numbers employed (Full Time Equivalent)]]=0,"",DATA[[#This Row],[Administrative Officer 1: Previous 2020/21 Maximum hourly pay rate ADJUSTED 2]]*DATA[[#This Row],[Administrative Officer 1: Numbers employed (Full Time Equivalent)]]),"")</f>
        <v>9.25</v>
      </c>
      <c r="QH56" s="30" t="str">
        <f>IFERROR(IF(DATA[[#This Row],[Administrative Officer 2: Numbers employed (Full Time Equivalent)]]=0,"",DATA[[#This Row],[Administrative Officer 2: Current 2021/22 Minimum hourly pay rate ADJUSTED 2]]*DATA[[#This Row],[Administrative Officer 2: Numbers employed (Full Time Equivalent)]]),"")</f>
        <v/>
      </c>
      <c r="QI56" s="30" t="str">
        <f>IFERROR(IF(DATA[[#This Row],[Administrative Officer 2: Numbers employed (Full Time Equivalent)]]=0,"",DATA[[#This Row],[Administrative Officer 2: Current 2021/22 Maximum hourly pay rate ADJUSTED 2]]*DATA[[#This Row],[Administrative Officer 2: Numbers employed (Full Time Equivalent)]]),"")</f>
        <v/>
      </c>
      <c r="QJ56" s="30" t="str">
        <f>IFERROR(IF(DATA[[#This Row],[Administrative Officer 2: Numbers employed (Full Time Equivalent)]]=0,"",DATA[[#This Row],[Administrative Officer 2: Previous 2020/21 Minimum hourly pay rate ADJUSTED 2]]*DATA[[#This Row],[Administrative Officer 2: Numbers employed (Full Time Equivalent)]]),"")</f>
        <v/>
      </c>
      <c r="QK56" s="30" t="str">
        <f>IFERROR(IF(DATA[[#This Row],[Administrative Officer 2: Numbers employed (Full Time Equivalent)]]=0,"",DATA[[#This Row],[Administrative Officer 2: Previous 2020/21 Maximum hourly pay rate ADJUSTED 2]]*DATA[[#This Row],[Administrative Officer 2: Numbers employed (Full Time Equivalent)]]),"")</f>
        <v/>
      </c>
      <c r="QL56" s="30" t="str">
        <f>IFERROR(IF(DATA[[#This Row],[Administrative Officer 3: Numbers employed (Full Time Equivalent)]]=0,"",DATA[[#This Row],[Administrative Officer 3: Current 2021/22 Minimum hourly pay rate ADJUSTED 2]]*DATA[[#This Row],[Administrative Officer 3: Numbers employed (Full Time Equivalent)]]),"")</f>
        <v/>
      </c>
      <c r="QM56" s="30" t="str">
        <f>IFERROR(IF(DATA[[#This Row],[Administrative Officer 3: Numbers employed (Full Time Equivalent)]]=0,"",DATA[[#This Row],[Administrative Officer 3: Current 2021/22 Maximum hourly pay rate ADJUSTED 2]]*DATA[[#This Row],[Administrative Officer 3: Numbers employed (Full Time Equivalent)]]),"")</f>
        <v/>
      </c>
      <c r="QN56" s="30" t="str">
        <f>IFERROR(IF(DATA[[#This Row],[Administrative Officer 3: Numbers employed (Full Time Equivalent)]]=0,"",DATA[[#This Row],[Administrative Officer 3: Previous 2020/21 Minimum hourly pay rate ADJUSTED 2]]*DATA[[#This Row],[Administrative Officer 3: Numbers employed (Full Time Equivalent)]]),"")</f>
        <v/>
      </c>
      <c r="QO56" s="30" t="str">
        <f>IFERROR(IF(DATA[[#This Row],[Administrative Officer 3: Numbers employed (Full Time Equivalent)]]=0,"",DATA[[#This Row],[Administrative Officer 3: Previous 2020/21 Maximum hourly pay rate ADJUSTED 2]]*DATA[[#This Row],[Administrative Officer 3: Numbers employed (Full Time Equivalent)]]),"")</f>
        <v/>
      </c>
      <c r="QP56" s="28" t="str">
        <f>IFERROR(IF(DATA[[#This Row],[Other staff 1: Numbers employed (Full Time Equivalent)]]=0,"",DATA[[#This Row],[Other staff 1: Current 2021/22 Minimum hourly pay rate ADJUSTED 2]]*DATA[[#This Row],[Other staff 1: Numbers employed (Full Time Equivalent)]]),"")</f>
        <v/>
      </c>
      <c r="QQ56" s="28" t="str">
        <f>IFERROR(IF(DATA[[#This Row],[Other staff 1: Numbers employed (Full Time Equivalent)]]=0,"",DATA[[#This Row],[Other staff 1: Current 2021/22 Maximum hourly pay rate ADJUSTED 2]]*DATA[[#This Row],[Other staff 1: Numbers employed (Full Time Equivalent)]]),"")</f>
        <v/>
      </c>
      <c r="QR56" s="28" t="str">
        <f>IFERROR(IF(DATA[[#This Row],[Other staff 1: Numbers employed (Full Time Equivalent)]]=0,"",DATA[[#This Row],[Other staff 1: Previous 2020/21 Minimum hourly pay rate ADJUSTED 2]]*DATA[[#This Row],[Other staff 1: Numbers employed (Full Time Equivalent)]]),"")</f>
        <v/>
      </c>
      <c r="QS56" s="28" t="str">
        <f>IFERROR(IF(DATA[[#This Row],[Other staff 1: Numbers employed (Full Time Equivalent)]]=0,"",DATA[[#This Row],[Other staff 1: Previous 2020/21 Maximum hourly pay rate ADJUSTED 2]]*DATA[[#This Row],[Other staff 1: Numbers employed (Full Time Equivalent)]]),"")</f>
        <v/>
      </c>
      <c r="QT56" s="28" t="str">
        <f>IFERROR(IF(DATA[[#This Row],[Other staff 2: Numbers employed (Full Time Equivalent)]]=0,"",DATA[[#This Row],[Other staff 2: Current 2021/22 Minimum hourly pay rate ADJUSTED 2]]*DATA[[#This Row],[Other staff 2: Numbers employed (Full Time Equivalent)]]),"")</f>
        <v/>
      </c>
      <c r="QU56" s="28" t="str">
        <f>IFERROR(IF(DATA[[#This Row],[Other staff 2: Numbers employed (Full Time Equivalent)]]=0,"",DATA[[#This Row],[Other staff 2: Current 2021/22 Maximum hourly pay rate ADJUSTED 2]]*DATA[[#This Row],[Other staff 2: Numbers employed (Full Time Equivalent)]]),"")</f>
        <v/>
      </c>
      <c r="QV56" s="28" t="str">
        <f>IFERROR(IF(DATA[[#This Row],[Other staff 2: Numbers employed (Full Time Equivalent)]]=0,"",DATA[[#This Row],[Other staff 2: Previous 2020/21 Minimum hourly pay rate ADJUSTED 2]]*DATA[[#This Row],[Other staff 2: Numbers employed (Full Time Equivalent)]]),"")</f>
        <v/>
      </c>
      <c r="QW56" s="28" t="str">
        <f>IFERROR(IF(DATA[[#This Row],[Other staff 2: Numbers employed (Full Time Equivalent)]]=0,"",DATA[[#This Row],[Other staff 2: Previous 2020/21 Maximum hourly pay rate ADJUSTED 2]]*DATA[[#This Row],[Other staff 2: Numbers employed (Full Time Equivalent)]]),"")</f>
        <v/>
      </c>
      <c r="QX56" s="28" t="str">
        <f>IFERROR(IF(DATA[[#This Row],[Other staff 3: Numbers employed (Full Time Equivalent)]]=0,"",DATA[[#This Row],[Other staff 3: Current 2021/22 Minimum hourly pay rate ADJUSTED 2]]*DATA[[#This Row],[Other staff 3: Numbers employed (Full Time Equivalent)]]),"")</f>
        <v/>
      </c>
      <c r="QY56" s="28" t="str">
        <f>IFERROR(IF(DATA[[#This Row],[Other staff 3: Numbers employed (Full Time Equivalent)]]=0,"",DATA[[#This Row],[Other staff 3: Current 2021/22 Maximum hourly pay rate ADJUSTED 2]]*DATA[[#This Row],[Other staff 3: Numbers employed (Full Time Equivalent)]]),"")</f>
        <v/>
      </c>
      <c r="QZ56" s="28" t="str">
        <f>IFERROR(IF(DATA[[#This Row],[Other staff 3: Numbers employed (Full Time Equivalent)]]=0,"",DATA[[#This Row],[Other staff 3: Previous 2020/21 Minimum hourly pay rate ADJUSTED 2]]*DATA[[#This Row],[Other staff 3: Numbers employed (Full Time Equivalent)]]),"")</f>
        <v/>
      </c>
      <c r="RA56" s="28" t="str">
        <f>IFERROR(IF(DATA[[#This Row],[Other staff 3: Numbers employed (Full Time Equivalent)]]=0,"",DATA[[#This Row],[Other staff 3: Previous 2020/21 Maximum hourly pay rate ADJUSTED 2]]*DATA[[#This Row],[Other staff 3: Numbers employed (Full Time Equivalent)]]),"")</f>
        <v/>
      </c>
      <c r="RB56"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56"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56"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56"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56"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56"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3</v>
      </c>
      <c r="RH56"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5</v>
      </c>
      <c r="RI56"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56"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6"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56"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56"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56"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56"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56"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7" spans="7:484" x14ac:dyDescent="0.25">
      <c r="G57" s="2">
        <v>51</v>
      </c>
      <c r="I57" s="2">
        <v>4</v>
      </c>
      <c r="K57" s="2">
        <v>1</v>
      </c>
      <c r="L57" s="2" t="s">
        <v>240</v>
      </c>
      <c r="M57" s="2" t="s">
        <v>240</v>
      </c>
      <c r="R57" s="2">
        <v>15.56</v>
      </c>
      <c r="S57" s="2">
        <v>15.56</v>
      </c>
      <c r="T57" s="2">
        <v>15.33</v>
      </c>
      <c r="U57" s="2">
        <v>15.33</v>
      </c>
      <c r="V57" s="2">
        <v>0.4</v>
      </c>
      <c r="W57" s="2">
        <v>0</v>
      </c>
      <c r="X57" s="2">
        <v>0</v>
      </c>
      <c r="Y57" s="2">
        <v>0</v>
      </c>
      <c r="Z57" s="2">
        <v>0</v>
      </c>
      <c r="AA57" s="2">
        <v>0</v>
      </c>
      <c r="AB57" s="2" t="s">
        <v>542</v>
      </c>
      <c r="AC57" s="2">
        <v>20.010000000000002</v>
      </c>
      <c r="AD57" s="2">
        <v>20.010000000000002</v>
      </c>
      <c r="AE57" s="2">
        <v>19.72</v>
      </c>
      <c r="AF57" s="2">
        <v>19.72</v>
      </c>
      <c r="AG57" s="2">
        <v>0.2</v>
      </c>
      <c r="AH57" s="2" t="s">
        <v>315</v>
      </c>
      <c r="AI57" s="2">
        <v>0</v>
      </c>
      <c r="AJ57" s="2">
        <v>0</v>
      </c>
      <c r="AK57" s="2">
        <v>0</v>
      </c>
      <c r="AL57" s="2">
        <v>0</v>
      </c>
      <c r="AM57" s="2">
        <v>0</v>
      </c>
      <c r="AN57" s="2" t="s">
        <v>315</v>
      </c>
      <c r="AO57" s="2">
        <v>0</v>
      </c>
      <c r="AP57" s="2">
        <v>0</v>
      </c>
      <c r="AQ57" s="2">
        <v>0</v>
      </c>
      <c r="AR57" s="2">
        <v>0</v>
      </c>
      <c r="AS57" s="2">
        <v>0</v>
      </c>
      <c r="AT57" s="2" t="s">
        <v>376</v>
      </c>
      <c r="AU57" s="2">
        <v>10.01</v>
      </c>
      <c r="AV57" s="2">
        <v>10.01</v>
      </c>
      <c r="AW57" s="2">
        <v>9.5</v>
      </c>
      <c r="AX57" s="2">
        <v>9.5</v>
      </c>
      <c r="AY57" s="2">
        <v>1</v>
      </c>
      <c r="AZ57" s="2" t="s">
        <v>543</v>
      </c>
      <c r="BA57" s="2">
        <v>9.01</v>
      </c>
      <c r="BB57" s="2">
        <v>9.01</v>
      </c>
      <c r="BC57" s="2">
        <v>8.7200000000000006</v>
      </c>
      <c r="BD57" s="2">
        <v>8.7200000000000006</v>
      </c>
      <c r="BE57" s="2">
        <v>5.4</v>
      </c>
      <c r="BF57" s="2" t="s">
        <v>544</v>
      </c>
      <c r="BG57" s="2">
        <v>9.01</v>
      </c>
      <c r="BH57" s="2">
        <v>9.01</v>
      </c>
      <c r="BI57" s="2">
        <v>8.7200000000000006</v>
      </c>
      <c r="BJ57" s="2">
        <v>8.7200000000000006</v>
      </c>
      <c r="BK57" s="2">
        <v>2</v>
      </c>
      <c r="BL57" s="2" t="s">
        <v>316</v>
      </c>
      <c r="BM57" s="2">
        <v>0</v>
      </c>
      <c r="BN57" s="2">
        <v>0</v>
      </c>
      <c r="BO57" s="2">
        <v>0</v>
      </c>
      <c r="BP57" s="2">
        <v>0</v>
      </c>
      <c r="BQ57" s="2">
        <v>0</v>
      </c>
      <c r="BR57" s="2" t="s">
        <v>317</v>
      </c>
      <c r="BS57" s="2">
        <v>0</v>
      </c>
      <c r="BT57" s="2">
        <v>0</v>
      </c>
      <c r="BU57" s="2">
        <v>0</v>
      </c>
      <c r="BV57" s="2">
        <v>0</v>
      </c>
      <c r="BW57" s="2">
        <v>0</v>
      </c>
      <c r="BX57" s="2" t="s">
        <v>317</v>
      </c>
      <c r="BY57" s="2">
        <v>0</v>
      </c>
      <c r="BZ57" s="2">
        <v>0</v>
      </c>
      <c r="CA57" s="2">
        <v>0</v>
      </c>
      <c r="CB57" s="2">
        <v>0</v>
      </c>
      <c r="CC57" s="2">
        <v>0</v>
      </c>
      <c r="CD57" s="2" t="s">
        <v>317</v>
      </c>
      <c r="CE57" s="2">
        <v>0</v>
      </c>
      <c r="CF57" s="2">
        <v>0</v>
      </c>
      <c r="CG57" s="2">
        <v>0</v>
      </c>
      <c r="CH57" s="2">
        <v>0</v>
      </c>
      <c r="CI57" s="2">
        <v>0</v>
      </c>
      <c r="CJ57" s="2" t="s">
        <v>318</v>
      </c>
      <c r="CK57" s="2">
        <v>0</v>
      </c>
      <c r="CL57" s="2">
        <v>0</v>
      </c>
      <c r="CM57" s="2">
        <v>0</v>
      </c>
      <c r="CN57" s="2">
        <v>0</v>
      </c>
      <c r="CO57" s="2">
        <v>0</v>
      </c>
      <c r="CP57" s="2" t="s">
        <v>318</v>
      </c>
      <c r="CQ57" s="2">
        <v>0</v>
      </c>
      <c r="CR57" s="2">
        <v>0</v>
      </c>
      <c r="CS57" s="2">
        <v>0</v>
      </c>
      <c r="CT57" s="2">
        <v>0</v>
      </c>
      <c r="CU57" s="2">
        <v>0</v>
      </c>
      <c r="CV57" s="2" t="s">
        <v>318</v>
      </c>
      <c r="CW57" s="2">
        <v>0</v>
      </c>
      <c r="CX57" s="2">
        <v>0</v>
      </c>
      <c r="CY57" s="2">
        <v>0</v>
      </c>
      <c r="CZ57" s="2">
        <v>0</v>
      </c>
      <c r="DA57" s="2">
        <v>0</v>
      </c>
      <c r="DB57" s="2">
        <v>0.03</v>
      </c>
      <c r="DC57" s="2">
        <v>0</v>
      </c>
      <c r="DD57" s="2">
        <v>0</v>
      </c>
      <c r="DE57" s="2">
        <v>0</v>
      </c>
      <c r="DF57" s="2">
        <v>0</v>
      </c>
      <c r="DG57" s="2">
        <v>0</v>
      </c>
      <c r="DH57" s="2">
        <v>0</v>
      </c>
      <c r="DI57" s="2">
        <v>273.25</v>
      </c>
      <c r="DJ57" s="2">
        <v>0</v>
      </c>
      <c r="DK57" s="2">
        <v>0</v>
      </c>
      <c r="DL57" s="2">
        <v>0</v>
      </c>
      <c r="DM57" s="2">
        <v>0</v>
      </c>
      <c r="DN57" s="2">
        <v>0</v>
      </c>
      <c r="DO57" s="2">
        <v>0</v>
      </c>
      <c r="DP57" s="2">
        <v>0</v>
      </c>
      <c r="DQ57" s="2">
        <v>0</v>
      </c>
      <c r="DR57" s="18">
        <v>43922</v>
      </c>
      <c r="DS57" s="18">
        <v>44286</v>
      </c>
      <c r="DT57" s="2">
        <v>12507.793025652503</v>
      </c>
      <c r="DU57" s="2">
        <v>15006.73</v>
      </c>
      <c r="DV57" s="2">
        <v>138073.74</v>
      </c>
      <c r="DW57" s="2">
        <v>0</v>
      </c>
      <c r="DX57" s="2">
        <v>118.76</v>
      </c>
      <c r="DY57" s="2">
        <v>0</v>
      </c>
      <c r="DZ57" s="2">
        <v>0</v>
      </c>
      <c r="EA57" s="2">
        <v>0</v>
      </c>
      <c r="EB57" s="2">
        <v>0</v>
      </c>
      <c r="EC57" s="2">
        <v>118.76</v>
      </c>
      <c r="ED57" s="2">
        <v>0</v>
      </c>
      <c r="EE57" s="2">
        <v>388.92500000000001</v>
      </c>
      <c r="EF57" s="2">
        <v>0</v>
      </c>
      <c r="EG57" s="2">
        <v>174.245</v>
      </c>
      <c r="EH57" s="2" t="s">
        <v>324</v>
      </c>
      <c r="EI57" s="2">
        <v>0</v>
      </c>
      <c r="EJ57" s="2" t="s">
        <v>324</v>
      </c>
      <c r="EK57" s="2">
        <v>0</v>
      </c>
      <c r="EL57" s="2">
        <v>0</v>
      </c>
      <c r="EM57" s="2">
        <v>0</v>
      </c>
      <c r="EN57" s="2">
        <v>0</v>
      </c>
      <c r="EO57" s="2">
        <v>0</v>
      </c>
      <c r="EP57" s="2">
        <v>0</v>
      </c>
      <c r="EQ57" s="2">
        <v>0</v>
      </c>
      <c r="ER57" s="2">
        <v>0</v>
      </c>
      <c r="ES57" s="2">
        <v>0</v>
      </c>
      <c r="ET57" s="2" t="s">
        <v>324</v>
      </c>
      <c r="EU57" s="2">
        <v>0</v>
      </c>
      <c r="EV57" s="2" t="s">
        <v>324</v>
      </c>
      <c r="EW57" s="2">
        <v>0</v>
      </c>
      <c r="EX57" s="2">
        <v>0</v>
      </c>
      <c r="EY57" s="2">
        <v>30939.053100000001</v>
      </c>
      <c r="EZ57" s="2" t="s">
        <v>326</v>
      </c>
      <c r="FA57" s="2">
        <v>0</v>
      </c>
      <c r="FB57" s="2" t="s">
        <v>326</v>
      </c>
      <c r="FC57" s="2">
        <v>0</v>
      </c>
      <c r="FD57" s="2">
        <v>8671.4491999999991</v>
      </c>
      <c r="FE57" s="2">
        <v>12209.4442</v>
      </c>
      <c r="FF57" s="2">
        <v>610472.21</v>
      </c>
      <c r="FG57" s="2"/>
      <c r="FH57" s="19">
        <v>44480.626967592594</v>
      </c>
      <c r="FI57" s="2" t="s">
        <v>345</v>
      </c>
      <c r="FJ57" s="2">
        <f>SUM(DATA[[#This Row],[Number of Home support clients:]],DATA[[#This Row],[Number of supported living clients:]])</f>
        <v>4</v>
      </c>
      <c r="FK57"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57"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15.56</v>
      </c>
      <c r="FM57"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15.56</v>
      </c>
      <c r="FN57"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15.33</v>
      </c>
      <c r="FO57"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15.33</v>
      </c>
      <c r="FP57"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57"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57"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57"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57"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20.010000000000002</v>
      </c>
      <c r="FU57"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20.010000000000002</v>
      </c>
      <c r="FV57"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19.72</v>
      </c>
      <c r="FW57"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19.72</v>
      </c>
      <c r="FX57"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57"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57"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57"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57"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57"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57"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57"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57"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10.01</v>
      </c>
      <c r="GG57"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10.01</v>
      </c>
      <c r="GH57"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9.5</v>
      </c>
      <c r="GI57"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9.5</v>
      </c>
      <c r="GJ57"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9.01</v>
      </c>
      <c r="GK57"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9.01</v>
      </c>
      <c r="GL57"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8.7200000000000006</v>
      </c>
      <c r="GM57"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8.7200000000000006</v>
      </c>
      <c r="GN57"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9.01</v>
      </c>
      <c r="GO57"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9.01</v>
      </c>
      <c r="GP57"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8.7200000000000006</v>
      </c>
      <c r="GQ57"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8.7200000000000006</v>
      </c>
      <c r="GR57"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7"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7"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7"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7"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57"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57"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57"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57"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57"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57"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57"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57"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57"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57"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57"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57"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57"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57"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57"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57"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57"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57"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57"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57"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7"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7"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7"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7"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15.56</v>
      </c>
      <c r="HU57"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15.56</v>
      </c>
      <c r="HV57"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15.33</v>
      </c>
      <c r="HW57"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15.33</v>
      </c>
      <c r="HX57"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57"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57"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57"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57"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20.010000000000002</v>
      </c>
      <c r="IC57"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20.010000000000002</v>
      </c>
      <c r="ID57"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19.72</v>
      </c>
      <c r="IE57"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19.72</v>
      </c>
      <c r="IF57"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57"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57"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57"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57"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57"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57"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57"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57"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10.01</v>
      </c>
      <c r="IO57"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10.01</v>
      </c>
      <c r="IP57"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9.5</v>
      </c>
      <c r="IQ57"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9.5</v>
      </c>
      <c r="IR57"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9.01</v>
      </c>
      <c r="IS57"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9.01</v>
      </c>
      <c r="IT57"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8.7200000000000006</v>
      </c>
      <c r="IU57"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8.7200000000000006</v>
      </c>
      <c r="IV57"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9.01</v>
      </c>
      <c r="IW57"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9.01</v>
      </c>
      <c r="IX57"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8.7200000000000006</v>
      </c>
      <c r="IY57"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8.7200000000000006</v>
      </c>
      <c r="IZ57"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7"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7"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7"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7"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57"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57"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57"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57"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57"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57"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57"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57"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57"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57"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57"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57"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57"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57"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57"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57"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57"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57"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57"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57"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7"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7"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7"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7"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0.60000000000000009</v>
      </c>
      <c r="KC57" s="21">
        <f>SUM(DATA[[#This Row],[Care Assistant 1: Numbers employed (Full Time Equivalent)]],DATA[[#This Row],[Care Assistant 2: Numbers employed (Full Time Equivalent)]],DATA[[#This Row],[Care Assistant 3: Numbers employed (Full Time Equivalent)]],DATA[[#This Row],[Care Assistant 4: Numbers employed (Full Time Equivalent)]])</f>
        <v>8.4</v>
      </c>
      <c r="KD57" s="21">
        <f>SUM(DATA[[#This Row],[Administrative Officer 1: Numbers employed (Full Time Equivalent)]],DATA[[#This Row],[Administrative Officer 2: Numbers employed (Full Time Equivalent)]])</f>
        <v>0</v>
      </c>
      <c r="KE57" s="21">
        <f>SUM(DATA[[#This Row],[Other staff 1: Numbers employed (Full Time Equivalent)]],DATA[[#This Row],[Other staff 2: Numbers employed (Full Time Equivalent)]],DATA[[#This Row],[Other staff 3: Numbers employed (Full Time Equivalent)]])</f>
        <v>0</v>
      </c>
      <c r="KF57" s="21">
        <f>SUM(DATA[[#This Row],[Total FTE Management Employees]:[Total FTE Other Employees]])</f>
        <v>9</v>
      </c>
      <c r="KG57" s="21" t="str">
        <f>IF(SUM(DATA[[#This Row],[Home Support service split percentage (Expenditure):]],DATA[[#This Row],[Supported Living service split percentage (Expenditure):]])&gt;0, IF(DATA[[#This Row],[Home Support service split percentage (Expenditure):]]&gt;0.5,"Home Support","Supported Living"), "Unknown")</f>
        <v>Supported Living</v>
      </c>
      <c r="KH57" s="21">
        <f>SUM(DATA[[#This Row],[Home Support: Birmingham City Council]:[Home Support: Self-funded]])</f>
        <v>0</v>
      </c>
      <c r="KI57" s="21">
        <f>SUM(DATA[[#This Row],[Supported Living: Birmingham City Council]:[Supported Living: Self-funded]])</f>
        <v>273.25</v>
      </c>
      <c r="KJ57"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57"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57"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57"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57" s="21" t="b">
        <f>SUM(DATA[[#This Row],[Number of hours of care charged for in last full accounting year]:[Corporate Overheads: Other  - please specify (category) 1]])&gt;0</f>
        <v>1</v>
      </c>
      <c r="KO57" s="21">
        <f>SUM(DATA[[#This Row],[Total annual expenditure: Management staff]:[Total annual expenditure: Training and development]])</f>
        <v>153199.23000000001</v>
      </c>
      <c r="KP57" s="21">
        <f>SUM(DATA[[#This Row],[Recruitment &amp; advertising (including DBS checks)]:[Non-Staffing Direct Cost: Other  - please specify (amount) 2]])</f>
        <v>681.93000000000006</v>
      </c>
      <c r="KQ57" s="21">
        <f>SUM(DATA[[#This Row],[Insurance ]:[Indirect costs: Other 2 - please specify (amount)]])</f>
        <v>0</v>
      </c>
      <c r="KR57" s="21">
        <f>SUM(DATA[[#This Row],[Central / Regional Management]],DATA[[#This Row],[Support Services (finance / HR / Payroll / legal etc.)]],DATA[[#This Row],[Corporate Overheads: Other  - please specify (amount) 1]],DATA[[#This Row],[Corporate Overheads: Other  - please specify (amount) 2]])</f>
        <v>30939.053100000001</v>
      </c>
      <c r="KS57"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1.1997904002106825</v>
      </c>
      <c r="KT57"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11.039017012579404</v>
      </c>
      <c r="KU57"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57" s="30">
        <f>IF(OR(NOT(DATA[[#This Row],[Total annual expenditure: Other staff]]&gt;0),NOT(DATA[[#This Row],[Number of hours of care charged for in last full accounting year]]&gt;0)),0,DATA[[#This Row],[Total annual expenditure: Other staff]]/DATA[[#This Row],[Number of hours of care charged for in last full accounting year]])</f>
        <v>9.4948804922205341E-3</v>
      </c>
      <c r="KW57"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57"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57"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57"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57"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9.4948804922205341E-3</v>
      </c>
      <c r="LB57"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57" s="30">
        <f>IF(OR(NOT(DATA[[#This Row],[Care consumables &amp; uniforms]]&gt;0),NOT(DATA[[#This Row],[Number of hours of care charged for in last full accounting year]]&gt;0)),0,DATA[[#This Row],[Care consumables &amp; uniforms]]/DATA[[#This Row],[Number of hours of care charged for in last full accounting year]])</f>
        <v>3.1094614309842297E-2</v>
      </c>
      <c r="LD57" s="30">
        <f>IF(OR(NOT(DATA[[#This Row],[Electronic call monitoring]]&gt;0),NOT(DATA[[#This Row],[Number of hours of care charged for in last full accounting year]]&gt;0)),0,DATA[[#This Row],[Electronic call monitoring]]/DATA[[#This Row],[Number of hours of care charged for in last full accounting year]])</f>
        <v>0</v>
      </c>
      <c r="LE57" s="30">
        <f>IF(OR(NOT(DATA[[#This Row],[IT Equipment &amp; Telephoney]]&gt;0),NOT(DATA[[#This Row],[Number of hours of care charged for in last full accounting year]]&gt;0)),0,DATA[[#This Row],[IT Equipment &amp; Telephoney]]/DATA[[#This Row],[Number of hours of care charged for in last full accounting year]])</f>
        <v>1.393091488183704E-2</v>
      </c>
      <c r="LF57"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57"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57" s="30">
        <f>IF(OR(NOT(DATA[[#This Row],[Insurance ]]&gt;0),NOT(DATA[[#This Row],[Number of hours of care charged for in last full accounting year]]&gt;0)),0,DATA[[#This Row],[Insurance ]]/DATA[[#This Row],[Number of hours of care charged for in last full accounting year]])</f>
        <v>0</v>
      </c>
      <c r="LI57"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57" s="30">
        <f>IF(OR(NOT(DATA[[#This Row],[Repairs and maintenance]]&gt;0),NOT(DATA[[#This Row],[Number of hours of care charged for in last full accounting year]]&gt;0)),0,DATA[[#This Row],[Repairs and maintenance]]/DATA[[#This Row],[Number of hours of care charged for in last full accounting year]])</f>
        <v>0</v>
      </c>
      <c r="LK57"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57" s="30">
        <f>IF(OR(NOT(DATA[[#This Row],[Registration &amp; Inspection fees ]]&gt;0),NOT(DATA[[#This Row],[Number of hours of care charged for in last full accounting year]]&gt;0)),0,DATA[[#This Row],[Registration &amp; Inspection fees ]]/DATA[[#This Row],[Number of hours of care charged for in last full accounting year]])</f>
        <v>0</v>
      </c>
      <c r="LM57" s="30">
        <f>IF(OR(NOT(DATA[[#This Row],[Subscriptions]]&gt;0),NOT(DATA[[#This Row],[Number of hours of care charged for in last full accounting year]]&gt;0)),0,DATA[[#This Row],[Subscriptions]]/DATA[[#This Row],[Number of hours of care charged for in last full accounting year]])</f>
        <v>0</v>
      </c>
      <c r="LN57" s="30">
        <f>IF(OR(NOT(DATA[[#This Row],[Cost of finance]]&gt;0),NOT(DATA[[#This Row],[Number of hours of care charged for in last full accounting year]]&gt;0)),0,DATA[[#This Row],[Cost of finance]]/DATA[[#This Row],[Number of hours of care charged for in last full accounting year]])</f>
        <v>0</v>
      </c>
      <c r="LO57" s="30">
        <f>IF(OR(NOT(DATA[[#This Row],[Other non-staff current expenses]]&gt;0),NOT(DATA[[#This Row],[Number of hours of care charged for in last full accounting year]]&gt;0)),0,DATA[[#This Row],[Other non-staff current expenses]]/DATA[[#This Row],[Number of hours of care charged for in last full accounting year]])</f>
        <v>0</v>
      </c>
      <c r="LP57"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57"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57" s="30">
        <f>IF(OR(NOT(DATA[[#This Row],[Central / Regional Management]]&gt;0),NOT(DATA[[#This Row],[Number of hours of care charged for in last full accounting year]]&gt;0)),0,DATA[[#This Row],[Central / Regional Management]]/DATA[[#This Row],[Number of hours of care charged for in last full accounting year]])</f>
        <v>0</v>
      </c>
      <c r="LS57"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2.4735821128912532</v>
      </c>
      <c r="LT57"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57"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7" s="30">
        <f>SUM(DATA[[#This Row],[Management staff HOURLY RATE]:[Corporate Overheads: Other  - please specify (amount) 2 HOURLY RATE]])</f>
        <v>14.776404815857457</v>
      </c>
      <c r="LW57" s="30">
        <f>IF(OR(NOT(DATA[[#This Row],[Net Operating Profit]]&gt;0),NOT(DATA[[#This Row],[Number of hours of care charged for in last full accounting year]]&gt;0)),"",DATA[[#This Row],[Net Operating Profit]]/DATA[[#This Row],[Number of hours of care charged for in last full accounting year]])</f>
        <v>0.69328371377872466</v>
      </c>
      <c r="LX57" s="30">
        <f>IF(OR(NOT(DATA[[#This Row],[Return on Capital employed]]&gt;0),NOT(DATA[[#This Row],[Number of hours of care charged for in last full accounting year]]&gt;0)),0,DATA[[#This Row],[Return on Capital employed]]/DATA[[#This Row],[Number of hours of care charged for in last full accounting year]])</f>
        <v>0.97614696493293318</v>
      </c>
      <c r="LY57" s="31">
        <v>51</v>
      </c>
      <c r="LZ57" s="30" t="s">
        <v>358</v>
      </c>
      <c r="MA57" s="30" t="b">
        <f>DATA[[#This Row],[Number of Home support clients:]]&gt;0</f>
        <v>0</v>
      </c>
      <c r="MB57" s="30" t="b">
        <f>DATA[[#This Row],[Number of supported living clients:]]&gt;0</f>
        <v>1</v>
      </c>
      <c r="MC57" s="30" t="b">
        <f>DATA[[#This Row],[Total Home Support Hours]]&gt;0</f>
        <v>0</v>
      </c>
      <c r="MD57" s="30" t="b">
        <f>DATA[[#This Row],[Total Supported Living Hours]]&gt;0</f>
        <v>1</v>
      </c>
      <c r="ME57" s="30" t="b">
        <f>DATA[[#This Row],[Home Support service split percentage (Expenditure):]]&gt;0.5</f>
        <v>0</v>
      </c>
      <c r="MF57" s="30" t="b">
        <f>DATA[[#This Row],[Agency staff HOURLY RATE]]=0</f>
        <v>1</v>
      </c>
      <c r="MG57" s="30">
        <f>IFERROR(IF(AVERAGE(DATA[[#This Row],[Registered manager: Current 2021/22 Minimum hourly pay rate ADJUSTED]],DATA[[#This Row],[Registered manager: Current 2021/22 Maximum hourly pay rate ADJUSTED]])&lt;LIVING_WAGE_22_23,DATA[[#This Row],[Registered manager: Numbers employed (Full Time Equivalent)]],0),"")</f>
        <v>0</v>
      </c>
      <c r="MH57" s="30" t="str">
        <f>IFERROR(IF(AVERAGE(DATA[[#This Row],[Deputy manager: Current 2021/22 Minimum hourly pay rate ADJUSTED]],DATA[[#This Row],[Deputy manager: Current 2021/22 Maximum hourly pay rate ADJUSTED]])&lt;LIVING_WAGE_22_23,DATA[[#This Row],[Deputy manager: Numbers employed (Full Time Equivalent)]],0),"")</f>
        <v/>
      </c>
      <c r="MI57" s="30">
        <f>IFERROR(IF(AVERAGE(DATA[[#This Row],[Other manager 1: Current 2021/22 Minimum hourly pay rate ADJUSTED]],DATA[[#This Row],[Other manager 1: Current 2021/22 Maximum hourly pay rate ADJUSTED]])&lt;LIVING_WAGE_22_23,DATA[[#This Row],[Other manager 1: Numbers employed (Full Time Equivalent)]],0),"")</f>
        <v>0</v>
      </c>
      <c r="MJ57" s="30" t="str">
        <f>IFERROR(IF(AVERAGE(DATA[[#This Row],[Other manager 2: Current 2021/22 Minimum hourly pay rate ADJUSTED]],DATA[[#This Row],[Other manager 2: Current 2021/22 Maximum hourly pay rate ADJUSTED]])&lt;LIVING_WAGE_22_23,DATA[[#This Row],[Other manager 2: Numbers employed (Full Time Equivalent)]],0),"")</f>
        <v/>
      </c>
      <c r="MK57" s="30" t="str">
        <f>IFERROR(IF(AVERAGE(DATA[[#This Row],[Other manager 3: Current 2021/22 Minimum hourly pay rate ADJUSTED]],DATA[[#This Row],[Other manager 3: Current 2021/22 Maximum hourly pay rate ADJUSTED]])&lt;LIVING_WAGE_22_23,DATA[[#This Row],[Other manager 3: Numbers employed (Full Time Equivalent)]],0),"")</f>
        <v/>
      </c>
      <c r="ML57" s="30">
        <f>IFERROR(IF(AVERAGE(DATA[[#This Row],[Care Assistant 1: Current 2021/22 Minimum hourly pay rate ADJUSTED]],DATA[[#This Row],[Care Assistant 1: Current 2021/22 Maximum hourly pay rate ADJUSTED]])&lt;LIVING_WAGE_22_23,DATA[[#This Row],[Care Assistant 1: Numbers employed (Full Time Equivalent)]],0),"")</f>
        <v>0</v>
      </c>
      <c r="MM57" s="30">
        <f>IFERROR(IF(AVERAGE(DATA[[#This Row],[Care Assistant 2: Current 2021/22 Minimum hourly pay rate ADJUSTED]],DATA[[#This Row],[Care Assistant 2: Current 2021/22 Maximum hourly pay rate ADJUSTED]])&lt;LIVING_WAGE_22_23,DATA[[#This Row],[Care Assistant 2: Numbers employed (Full Time Equivalent)]],0),"")</f>
        <v>5.4</v>
      </c>
      <c r="MN57" s="30">
        <f>IFERROR(IF(AVERAGE(DATA[[#This Row],[Care Assistant 3: Current 2021/22 Minimum hourly pay rate ADJUSTED]],DATA[[#This Row],[Care Assistant 3: Current 2021/22 Maximum hourly pay rate ADJUSTED]])&lt;LIVING_WAGE_22_23,DATA[[#This Row],[Care Assistant 3: Numbers employed (Full Time Equivalent)]],0),"")</f>
        <v>2</v>
      </c>
      <c r="MO57" s="30" t="str">
        <f>IFERROR(IF(AVERAGE(DATA[[#This Row],[Care Assistant 4: Current 2021/22 Minimum hourly pay rate ADJUSTED]],DATA[[#This Row],[Care Assistant 4: Current 2021/22 Maximum hourly pay rate ADJUSTED]])&lt;LIVING_WAGE_22_23,DATA[[#This Row],[Care Assistant 4: Numbers employed (Full Time Equivalent)]],0),"")</f>
        <v/>
      </c>
      <c r="MP57"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57"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57" s="30" t="str">
        <f>IFERROR(IF(AVERAGE(DATA[[#This Row],[Other staff 1: Current 2021/22 Minimum hourly pay rate ADJUSTED]],DATA[[#This Row],[Other staff 1: Current 2021/22 Maximum hourly pay rate ADJUSTED]])&lt;LIVING_WAGE_22_23,DATA[[#This Row],[Other staff 1: Numbers employed (Full Time Equivalent)]],0),"")</f>
        <v/>
      </c>
      <c r="MS57" s="30" t="str">
        <f>IFERROR(IF(AVERAGE(DATA[[#This Row],[Other staff 2: Current 2021/22 Minimum hourly pay rate ADJUSTED]],DATA[[#This Row],[Other staff 2: Current 2021/22 Maximum hourly pay rate ADJUSTED]])&lt;LIVING_WAGE_22_23,DATA[[#This Row],[Other staff 2: Numbers employed (Full Time Equivalent)]],0),"")</f>
        <v/>
      </c>
      <c r="MT57" s="30" t="str">
        <f>IFERROR(IF(AVERAGE(DATA[[#This Row],[Other staff 3: Current 2021/22 Minimum hourly pay rate ADJUSTED]],DATA[[#This Row],[Other staff 3: Current 2021/22 Maximum hourly pay rate ADJUSTED]])&lt;LIVING_WAGE_22_23,DATA[[#This Row],[Other staff 3: Numbers employed (Full Time Equivalent)]],0),"")</f>
        <v/>
      </c>
      <c r="MU57" s="30">
        <f>SUM(DATA[[#This Row],[Registered Manager FTE earning less than NLW 23yrs 2022/23]:[Other staff 3 FTE earning less than NLW 23yrs 2022/23]])</f>
        <v>7.4</v>
      </c>
      <c r="MV57"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57"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57"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57"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57"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57"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57"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2.6460000000000012</v>
      </c>
      <c r="NC57"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0.98000000000000043</v>
      </c>
      <c r="ND57"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7"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57"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57"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57"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57"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7" s="30" t="b">
        <v>0</v>
      </c>
      <c r="NK57" s="30" t="b">
        <v>1</v>
      </c>
      <c r="NL57" s="30" t="s">
        <v>972</v>
      </c>
      <c r="NM57" s="30">
        <f>SUM(DATA[[#This Row],[Management staff HOURLY RATE]:[Training and development HOURLY RATE]])</f>
        <v>12.248302293282306</v>
      </c>
      <c r="NN57" s="30">
        <f>SUM(DATA[[#This Row],[Recruitment &amp; advertising (including DBS checks) HOURLY RATE]:[Non-Staffing Direct Cost: Other  - please specify (amount) 2 HOURLY RATE]])</f>
        <v>5.4520409683899873E-2</v>
      </c>
      <c r="NO57" s="30">
        <f>SUM(DATA[[#This Row],[Insurance  HOURLY RATE]:[Indirect costs: Other  - please specify (amount) 2 HOURLY RATE]])</f>
        <v>0</v>
      </c>
      <c r="NP57" s="30">
        <f>SUM(DATA[[#This Row],[Central / Regional Management HOURLY RATE]:[Corporate Overheads: Other  - please specify (amount) 2 HOURLY RATE]])</f>
        <v>2.4735821128912532</v>
      </c>
      <c r="NQ57"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57" s="30" t="str">
        <f>IFERROR(IF(AVERAGE(DATA[[#This Row],[Deputy manager: Current 2021/22 Minimum hourly pay rate ADJUSTED]],DATA[[#This Row],[Deputy manager: Current 2021/22 Maximum hourly pay rate ADJUSTED]])&lt;REAL_LIVING_WAGE_22_23,DATA[[#This Row],[Deputy manager: Numbers employed (Full Time Equivalent)]],0),"")</f>
        <v/>
      </c>
      <c r="NS57" s="30">
        <f>IFERROR(IF(AVERAGE(DATA[[#This Row],[Other manager 1: Current 2021/22 Minimum hourly pay rate ADJUSTED]],DATA[[#This Row],[Other manager 1: Current 2021/22 Maximum hourly pay rate ADJUSTED]])&lt;REAL_LIVING_WAGE_22_23,DATA[[#This Row],[Other manager 1: Numbers employed (Full Time Equivalent)]],0),"")</f>
        <v>0</v>
      </c>
      <c r="NT57" s="30" t="str">
        <f>IFERROR(IF(AVERAGE(DATA[[#This Row],[Other manager 2: Current 2021/22 Minimum hourly pay rate ADJUSTED]],DATA[[#This Row],[Other manager 2: Current 2021/22 Maximum hourly pay rate ADJUSTED]])&lt;REAL_LIVING_WAGE_22_23,DATA[[#This Row],[Other manager 2: Numbers employed (Full Time Equivalent)]],0),"")</f>
        <v/>
      </c>
      <c r="NU57" s="30" t="str">
        <f>IFERROR(IF(AVERAGE(DATA[[#This Row],[Other manager 3: Current 2021/22 Minimum hourly pay rate ADJUSTED]],DATA[[#This Row],[Other manager 3: Current 2021/22 Maximum hourly pay rate ADJUSTED]])&lt;REAL_LIVING_WAGE_22_23,DATA[[#This Row],[Other manager 3: Numbers employed (Full Time Equivalent)]],0),"")</f>
        <v/>
      </c>
      <c r="NV57" s="30">
        <f>IFERROR(IF(AVERAGE(DATA[[#This Row],[Care Assistant 1: Current 2021/22 Minimum hourly pay rate ADJUSTED]],DATA[[#This Row],[Care Assistant 1: Current 2021/22 Maximum hourly pay rate ADJUSTED]])&lt;REAL_LIVING_WAGE_22_23,DATA[[#This Row],[Care Assistant 1: Numbers employed (Full Time Equivalent)]],0),"")</f>
        <v>0</v>
      </c>
      <c r="NW57" s="30">
        <f>IFERROR(IF(AVERAGE(DATA[[#This Row],[Care Assistant 2: Current 2021/22 Minimum hourly pay rate ADJUSTED]],DATA[[#This Row],[Care Assistant 2: Current 2021/22 Maximum hourly pay rate ADJUSTED]])&lt;REAL_LIVING_WAGE_22_23,DATA[[#This Row],[Care Assistant 2: Numbers employed (Full Time Equivalent)]],0),"")</f>
        <v>5.4</v>
      </c>
      <c r="NX57" s="30">
        <f>IFERROR(IF(AVERAGE(DATA[[#This Row],[Care Assistant 3: Current 2021/22 Minimum hourly pay rate ADJUSTED]],DATA[[#This Row],[Care Assistant 3: Current 2021/22 Maximum hourly pay rate ADJUSTED]])&lt;REAL_LIVING_WAGE_22_23,DATA[[#This Row],[Care Assistant 3: Numbers employed (Full Time Equivalent)]],0),"")</f>
        <v>2</v>
      </c>
      <c r="NY57"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7"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57"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57" s="30" t="str">
        <f>IFERROR(IF(AVERAGE(DATA[[#This Row],[Other staff 1: Current 2021/22 Minimum hourly pay rate ADJUSTED]],DATA[[#This Row],[Other staff 1: Current 2021/22 Maximum hourly pay rate ADJUSTED]])&lt;REAL_LIVING_WAGE_22_23,DATA[[#This Row],[Other staff 1: Numbers employed (Full Time Equivalent)]],0),"")</f>
        <v/>
      </c>
      <c r="OC57" s="30" t="str">
        <f>IFERROR(IF(AVERAGE(DATA[[#This Row],[Other staff 2: Current 2021/22 Minimum hourly pay rate ADJUSTED]],DATA[[#This Row],[Other staff 2: Current 2021/22 Maximum hourly pay rate ADJUSTED]])&lt;REAL_LIVING_WAGE_22_23,DATA[[#This Row],[Other staff 2: Numbers employed (Full Time Equivalent)]],0),"")</f>
        <v/>
      </c>
      <c r="OD57" s="30" t="str">
        <f>IFERROR(IF(AVERAGE(DATA[[#This Row],[Other staff 3: Current 2021/22 Minimum hourly pay rate ADJUSTED]],DATA[[#This Row],[Other staff 3: Current 2021/22 Maximum hourly pay rate ADJUSTED]])&lt;REAL_LIVING_WAGE_22_23,DATA[[#This Row],[Other staff 3: Numbers employed (Full Time Equivalent)]],0),"")</f>
        <v/>
      </c>
      <c r="OE57" s="30">
        <f>SUM(DATA[[#This Row],[Registered Manager FTE earning less than RLW 23yrs 2022/23]:[Other staff 3 FTE earning less than RLW 23yrs 2022/23]])</f>
        <v>7.4</v>
      </c>
      <c r="OF57"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57"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57"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57"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57"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57"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57"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4.8060000000000036</v>
      </c>
      <c r="OM57"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1.7800000000000011</v>
      </c>
      <c r="ON57"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7"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57"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57"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57"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57"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7" s="30">
        <f>IFERROR(IF(DATA[[#This Row],[Registered manager: Numbers employed (Full Time Equivalent)]]=0,"",DATA[[#This Row],[Registered manager: Current 2021/22 Minimum hourly pay rate ADJUSTED 2]]*DATA[[#This Row],[Registered manager: Numbers employed (Full Time Equivalent)]]),"")</f>
        <v>6.2240000000000002</v>
      </c>
      <c r="OU57" s="30">
        <f>IFERROR(IF(DATA[[#This Row],[Registered manager: Numbers employed (Full Time Equivalent)]]=0,"",DATA[[#This Row],[Registered manager: Current 2021/22 Maximum hourly pay rate ADJUSTED 2]]*DATA[[#This Row],[Registered manager: Numbers employed (Full Time Equivalent)]]),"")</f>
        <v>6.2240000000000002</v>
      </c>
      <c r="OV57" s="30">
        <f>IFERROR(IF(DATA[[#This Row],[Registered manager: Numbers employed (Full Time Equivalent)]]=0,"",DATA[[#This Row],[Registered manager: Previous 2020/21 Minimum hourly pay rate ADJUSTED 2]]*DATA[[#This Row],[Registered manager: Numbers employed (Full Time Equivalent)]]),"")</f>
        <v>6.1320000000000006</v>
      </c>
      <c r="OW57" s="30">
        <f>IFERROR(IF(DATA[[#This Row],[Registered manager: Numbers employed (Full Time Equivalent)]]=0,"",DATA[[#This Row],[Registered manager: Previous 2020/21 Maximum hourly pay rate ADJUSTED 2]]*DATA[[#This Row],[Registered manager: Numbers employed (Full Time Equivalent)]]),"")</f>
        <v>6.1320000000000006</v>
      </c>
      <c r="OX57" s="30" t="str">
        <f>IFERROR(IF(DATA[[#This Row],[Deputy manager: Numbers employed (Full Time Equivalent)]]=0,"",DATA[[#This Row],[Deputy manager: Current 2021/22 Minimum hourly pay rate ADJUSTED 2]]*DATA[[#This Row],[Deputy manager: Numbers employed (Full Time Equivalent)]]),"")</f>
        <v/>
      </c>
      <c r="OY57" s="30" t="str">
        <f>IFERROR(IF(DATA[[#This Row],[Deputy manager: Numbers employed (Full Time Equivalent)]]=0,"",DATA[[#This Row],[Deputy manager: Current 2021/22 Maximum hourly pay rate ADJUSTED 2]]*DATA[[#This Row],[Deputy manager: Numbers employed (Full Time Equivalent)]]),"")</f>
        <v/>
      </c>
      <c r="OZ57" s="30" t="str">
        <f>IFERROR(IF(DATA[[#This Row],[Deputy manager: Numbers employed (Full Time Equivalent)]]=0,"",DATA[[#This Row],[Deputy manager: Previous 2020/21 Minimum hourly pay rate ADJUSTED 2]]*DATA[[#This Row],[Deputy manager: Numbers employed (Full Time Equivalent)]]),"")</f>
        <v/>
      </c>
      <c r="PA57" s="30" t="str">
        <f>IFERROR(IF(DATA[[#This Row],[Deputy manager: Numbers employed (Full Time Equivalent)]]=0,"",DATA[[#This Row],[Deputy manager: Previous 2020/21 Maximum hourly pay rate ADJUSTED 2]]*DATA[[#This Row],[Deputy manager: Numbers employed (Full Time Equivalent)]]),"")</f>
        <v/>
      </c>
      <c r="PB57" s="30">
        <f>IFERROR(IF(DATA[[#This Row],[Other manager 1: Numbers employed (Full Time Equivalent)]]=0,"",DATA[[#This Row],[Other manager 1: Current 2021/22 Minimum hourly pay rate ADJUSTED 2]]*DATA[[#This Row],[Other manager 1: Numbers employed (Full Time Equivalent)]]),"")</f>
        <v>4.0020000000000007</v>
      </c>
      <c r="PC57" s="30">
        <f>IFERROR(IF(DATA[[#This Row],[Other manager 1: Numbers employed (Full Time Equivalent)]]=0,"",DATA[[#This Row],[Other manager 1: Current 2021/22 Maximum hourly pay rate ADJUSTED 2]]*DATA[[#This Row],[Other manager 1: Numbers employed (Full Time Equivalent)]]),"")</f>
        <v>4.0020000000000007</v>
      </c>
      <c r="PD57" s="30">
        <f>IFERROR(IF(DATA[[#This Row],[Other manager 1: Numbers employed (Full Time Equivalent)]]=0,"",DATA[[#This Row],[Other manager 1: Previous 2020/21 Minimum hourly pay rate ADJUSTED 2]]*DATA[[#This Row],[Other manager 1: Numbers employed (Full Time Equivalent)]]),"")</f>
        <v>3.944</v>
      </c>
      <c r="PE57" s="30">
        <f>IFERROR(IF(DATA[[#This Row],[Other manager 1: Numbers employed (Full Time Equivalent)]]=0,"",DATA[[#This Row],[Other manager 1: Previous 2020/21 Maximum hourly pay rate ADJUSTED 2]]*DATA[[#This Row],[Other manager 1: Numbers employed (Full Time Equivalent)]]),"")</f>
        <v>3.944</v>
      </c>
      <c r="PF57" s="30" t="str">
        <f>IFERROR(IF(DATA[[#This Row],[Other manager 2: Numbers employed (Full Time Equivalent)]]=0,"",DATA[[#This Row],[Other manager 2: Current 2021/22 Minimum hourly pay rate ADJUSTED 2]]*DATA[[#This Row],[Other manager 2: Numbers employed (Full Time Equivalent)]]),"")</f>
        <v/>
      </c>
      <c r="PG57" s="30" t="str">
        <f>IFERROR(IF(DATA[[#This Row],[Other manager 2: Numbers employed (Full Time Equivalent)]]=0,"",DATA[[#This Row],[Other manager 2: Current 2021/22 Maximum hourly pay rate ADJUSTED 2]]*DATA[[#This Row],[Other manager 2: Numbers employed (Full Time Equivalent)]]),"")</f>
        <v/>
      </c>
      <c r="PH57" s="30" t="str">
        <f>IFERROR(IF(DATA[[#This Row],[Other manager 2: Numbers employed (Full Time Equivalent)]]=0,"",DATA[[#This Row],[Other manager 2: Previous 2020/21 Minimum hourly pay rate ADJUSTED 2]]*DATA[[#This Row],[Other manager 2: Numbers employed (Full Time Equivalent)]]),"")</f>
        <v/>
      </c>
      <c r="PI57" s="30" t="str">
        <f>IFERROR(IF(DATA[[#This Row],[Other manager 2: Numbers employed (Full Time Equivalent)]]=0,"",DATA[[#This Row],[Other manager 2: Previous 2020/21 Maximum hourly pay rate ADJUSTED 2]]*DATA[[#This Row],[Other manager 2: Numbers employed (Full Time Equivalent)]]),"")</f>
        <v/>
      </c>
      <c r="PJ57" s="30" t="str">
        <f>IFERROR(IF(DATA[[#This Row],[Other manager 3: Numbers employed (Full Time Equivalent)]]=0,"",DATA[[#This Row],[Other manager 3: Current 2021/22 Minimum hourly pay rate ADJUSTED 2]]*DATA[[#This Row],[Other manager 3: Numbers employed (Full Time Equivalent)]]),"")</f>
        <v/>
      </c>
      <c r="PK57" s="30" t="str">
        <f>IFERROR(IF(DATA[[#This Row],[Other manager 3: Numbers employed (Full Time Equivalent)]]=0,"",DATA[[#This Row],[Other manager 3: Current 2021/22 Maximum hourly pay rate ADJUSTED 2]]*DATA[[#This Row],[Other manager 3: Numbers employed (Full Time Equivalent)]]),"")</f>
        <v/>
      </c>
      <c r="PL57" s="30" t="str">
        <f>IFERROR(IF(DATA[[#This Row],[Other manager 3: Numbers employed (Full Time Equivalent)]]=0,"",DATA[[#This Row],[Other manager 3: Previous 2020/21 Minimum hourly pay rate ADJUSTED 2]]*DATA[[#This Row],[Other manager 3: Numbers employed (Full Time Equivalent)]]),"")</f>
        <v/>
      </c>
      <c r="PM57" s="30" t="str">
        <f>IFERROR(IF(DATA[[#This Row],[Other manager 3: Numbers employed (Full Time Equivalent)]]=0,"",DATA[[#This Row],[Other manager 3: Previous 2020/21 Maximum hourly pay rate ADJUSTED 2]]*DATA[[#This Row],[Other manager 3: Numbers employed (Full Time Equivalent)]]),"")</f>
        <v/>
      </c>
      <c r="PN57" s="30">
        <f>IFERROR(IF(DATA[[#This Row],[Care Assistant 1: Numbers employed (Full Time Equivalent)]]=0,"",DATA[[#This Row],[Care Assistant 1: Current 2021/22 Minimum hourly pay rate ADJUSTED 2]]*DATA[[#This Row],[Care Assistant 1: Numbers employed (Full Time Equivalent)]]),"")</f>
        <v>10.01</v>
      </c>
      <c r="PO57" s="30">
        <f>IFERROR(IF(DATA[[#This Row],[Care Assistant 1: Numbers employed (Full Time Equivalent)]]=0,"",DATA[[#This Row],[Care Assistant 1: Current 2021/22 Maximum hourly pay rate ADJUSTED 2]]*DATA[[#This Row],[Care Assistant 1: Numbers employed (Full Time Equivalent)]]),"")</f>
        <v>10.01</v>
      </c>
      <c r="PP57" s="30">
        <f>IFERROR(IF(DATA[[#This Row],[Care Assistant 1: Numbers employed (Full Time Equivalent)]]=0,"",DATA[[#This Row],[Care Assistant 1: Previous 2020/21 Minimum hourly pay rate ADJUSTED 2]]*DATA[[#This Row],[Care Assistant 1: Numbers employed (Full Time Equivalent)]]),"")</f>
        <v>9.5</v>
      </c>
      <c r="PQ57" s="30">
        <f>IFERROR(IF(DATA[[#This Row],[Care Assistant 1: Numbers employed (Full Time Equivalent)]]=0,"",DATA[[#This Row],[Care Assistant 1: Previous 2020/21 Maximum hourly pay rate ADJUSTED 2]]*DATA[[#This Row],[Care Assistant 1: Numbers employed (Full Time Equivalent)]]),"")</f>
        <v>9.5</v>
      </c>
      <c r="PR57" s="30">
        <f>IFERROR(IF(DATA[[#This Row],[Care Assistant 2: Numbers employed (Full Time Equivalent)]]=0,"",DATA[[#This Row],[Care Assistant 2: Current 2021/22 Minimum hourly pay rate ADJUSTED 2]]*DATA[[#This Row],[Care Assistant 2: Numbers employed (Full Time Equivalent)]]),"")</f>
        <v>48.654000000000003</v>
      </c>
      <c r="PS57" s="30">
        <f>IFERROR(IF(DATA[[#This Row],[Care Assistant 2: Numbers employed (Full Time Equivalent)]]=0,"",DATA[[#This Row],[Care Assistant 2: Current 2021/22 Maximum hourly pay rate ADJUSTED 2]]*DATA[[#This Row],[Care Assistant 2: Numbers employed (Full Time Equivalent)]]),"")</f>
        <v>48.654000000000003</v>
      </c>
      <c r="PT57" s="30">
        <f>IFERROR(IF(DATA[[#This Row],[Care Assistant 2: Numbers employed (Full Time Equivalent)]]=0,"",DATA[[#This Row],[Care Assistant 2: Previous 2020/21 Minimum hourly pay rate ADJUSTED 2]]*DATA[[#This Row],[Care Assistant 2: Numbers employed (Full Time Equivalent)]]),"")</f>
        <v>47.088000000000008</v>
      </c>
      <c r="PU57" s="30">
        <f>IFERROR(IF(DATA[[#This Row],[Care Assistant 2: Numbers employed (Full Time Equivalent)]]=0,"",DATA[[#This Row],[Care Assistant 2: Previous 2020/21 Maximum hourly pay rate ADJUSTED 2]]*DATA[[#This Row],[Care Assistant 2: Numbers employed (Full Time Equivalent)]]),"")</f>
        <v>47.088000000000008</v>
      </c>
      <c r="PV57" s="30">
        <f>IFERROR(IF(DATA[[#This Row],[Care Assistant 3: Numbers employed (Full Time Equivalent)]]=0,"",DATA[[#This Row],[Care Assistant 3: Current 2021/22 Minimum hourly pay rate ADJUSTED 2]]*DATA[[#This Row],[Care Assistant 3: Numbers employed (Full Time Equivalent)]]),"")</f>
        <v>18.02</v>
      </c>
      <c r="PW57" s="30">
        <f>IFERROR(IF(DATA[[#This Row],[Care Assistant 3: Numbers employed (Full Time Equivalent)]]=0,"",DATA[[#This Row],[Care Assistant 3: Current 2021/22 Maximum hourly pay rate ADJUSTED 2]]*DATA[[#This Row],[Care Assistant 3: Numbers employed (Full Time Equivalent)]]),"")</f>
        <v>18.02</v>
      </c>
      <c r="PX57" s="30">
        <f>IFERROR(IF(DATA[[#This Row],[Care Assistant 3: Numbers employed (Full Time Equivalent)]]=0,"",DATA[[#This Row],[Care Assistant 3: Previous 2020/21 Minimum hourly pay rate ADJUSTED 2]]*DATA[[#This Row],[Care Assistant 3: Numbers employed (Full Time Equivalent)]]),"")</f>
        <v>17.440000000000001</v>
      </c>
      <c r="PY57" s="30">
        <f>IFERROR(IF(DATA[[#This Row],[Care Assistant 3: Numbers employed (Full Time Equivalent)]]=0,"",DATA[[#This Row],[Care Assistant 3: Previous 2020/21 Maximum hourly pay rate ADJUSTED 2]]*DATA[[#This Row],[Care Assistant 3: Numbers employed (Full Time Equivalent)]]),"")</f>
        <v>17.440000000000001</v>
      </c>
      <c r="PZ57" s="30" t="str">
        <f>IFERROR(IF(DATA[[#This Row],[Care Assistant 4: Numbers employed (Full Time Equivalent)]]=0,"",DATA[[#This Row],[Care Assistant 4: Current 2021/22 Minimum hourly pay rate ADJUSTED 2]]*DATA[[#This Row],[Care Assistant 4: Numbers employed (Full Time Equivalent)]]),"")</f>
        <v/>
      </c>
      <c r="QA57" s="30" t="str">
        <f>IFERROR(IF(DATA[[#This Row],[Care Assistant 4: Numbers employed (Full Time Equivalent)]]=0,"",DATA[[#This Row],[Care Assistant 4: Current 2021/22 Maximum hourly pay rate ADJUSTED 2]]*DATA[[#This Row],[Care Assistant 4: Numbers employed (Full Time Equivalent)]]),"")</f>
        <v/>
      </c>
      <c r="QB57" s="30" t="str">
        <f>IFERROR(IF(DATA[[#This Row],[Care Assistant 4: Numbers employed (Full Time Equivalent)]]=0,"",DATA[[#This Row],[Care Assistant 4: Previous 2020/21 Minimum hourly pay rate ADJUSTED 2]]*DATA[[#This Row],[Care Assistant 4: Numbers employed (Full Time Equivalent)]]),"")</f>
        <v/>
      </c>
      <c r="QC57" s="30" t="str">
        <f>IFERROR(IF(DATA[[#This Row],[Care Assistant 4: Numbers employed (Full Time Equivalent)]]=0,"",DATA[[#This Row],[Care Assistant 4: Previous 2020/21 Maximum hourly pay rate ADJUSTED 2]]*DATA[[#This Row],[Care Assistant 4: Numbers employed (Full Time Equivalent)]]),"")</f>
        <v/>
      </c>
      <c r="QD57" s="30" t="str">
        <f>IFERROR(IF(DATA[[#This Row],[Administrative Officer 1: Numbers employed (Full Time Equivalent)]]=0,"",DATA[[#This Row],[Administrative Officer 1: Current 2021/22 Minimum hourly pay rate ADJUSTED 2]]*DATA[[#This Row],[Administrative Officer 1: Numbers employed (Full Time Equivalent)]]),"")</f>
        <v/>
      </c>
      <c r="QE57" s="30" t="str">
        <f>IFERROR(IF(DATA[[#This Row],[Administrative Officer 1: Numbers employed (Full Time Equivalent)]]=0,"",DATA[[#This Row],[Administrative Officer 1: Current 2021/22 Maximum hourly pay rate ADJUSTED 2]]*DATA[[#This Row],[Administrative Officer 1: Numbers employed (Full Time Equivalent)]]),"")</f>
        <v/>
      </c>
      <c r="QF57" s="30" t="str">
        <f>IFERROR(IF(DATA[[#This Row],[Administrative Officer 1: Numbers employed (Full Time Equivalent)]]=0,"",DATA[[#This Row],[Administrative Officer 1: Previous 2020/21 Minimum hourly pay rate ADJUSTED 2]]*DATA[[#This Row],[Administrative Officer 1: Numbers employed (Full Time Equivalent)]]),"")</f>
        <v/>
      </c>
      <c r="QG57" s="30" t="str">
        <f>IFERROR(IF(DATA[[#This Row],[Administrative Officer 1: Numbers employed (Full Time Equivalent)]]=0,"",DATA[[#This Row],[Administrative Officer 1: Previous 2020/21 Maximum hourly pay rate ADJUSTED 2]]*DATA[[#This Row],[Administrative Officer 1: Numbers employed (Full Time Equivalent)]]),"")</f>
        <v/>
      </c>
      <c r="QH57" s="30" t="str">
        <f>IFERROR(IF(DATA[[#This Row],[Administrative Officer 2: Numbers employed (Full Time Equivalent)]]=0,"",DATA[[#This Row],[Administrative Officer 2: Current 2021/22 Minimum hourly pay rate ADJUSTED 2]]*DATA[[#This Row],[Administrative Officer 2: Numbers employed (Full Time Equivalent)]]),"")</f>
        <v/>
      </c>
      <c r="QI57" s="30" t="str">
        <f>IFERROR(IF(DATA[[#This Row],[Administrative Officer 2: Numbers employed (Full Time Equivalent)]]=0,"",DATA[[#This Row],[Administrative Officer 2: Current 2021/22 Maximum hourly pay rate ADJUSTED 2]]*DATA[[#This Row],[Administrative Officer 2: Numbers employed (Full Time Equivalent)]]),"")</f>
        <v/>
      </c>
      <c r="QJ57" s="30" t="str">
        <f>IFERROR(IF(DATA[[#This Row],[Administrative Officer 2: Numbers employed (Full Time Equivalent)]]=0,"",DATA[[#This Row],[Administrative Officer 2: Previous 2020/21 Minimum hourly pay rate ADJUSTED 2]]*DATA[[#This Row],[Administrative Officer 2: Numbers employed (Full Time Equivalent)]]),"")</f>
        <v/>
      </c>
      <c r="QK57" s="30" t="str">
        <f>IFERROR(IF(DATA[[#This Row],[Administrative Officer 2: Numbers employed (Full Time Equivalent)]]=0,"",DATA[[#This Row],[Administrative Officer 2: Previous 2020/21 Maximum hourly pay rate ADJUSTED 2]]*DATA[[#This Row],[Administrative Officer 2: Numbers employed (Full Time Equivalent)]]),"")</f>
        <v/>
      </c>
      <c r="QL57" s="30" t="str">
        <f>IFERROR(IF(DATA[[#This Row],[Administrative Officer 3: Numbers employed (Full Time Equivalent)]]=0,"",DATA[[#This Row],[Administrative Officer 3: Current 2021/22 Minimum hourly pay rate ADJUSTED 2]]*DATA[[#This Row],[Administrative Officer 3: Numbers employed (Full Time Equivalent)]]),"")</f>
        <v/>
      </c>
      <c r="QM57" s="30" t="str">
        <f>IFERROR(IF(DATA[[#This Row],[Administrative Officer 3: Numbers employed (Full Time Equivalent)]]=0,"",DATA[[#This Row],[Administrative Officer 3: Current 2021/22 Maximum hourly pay rate ADJUSTED 2]]*DATA[[#This Row],[Administrative Officer 3: Numbers employed (Full Time Equivalent)]]),"")</f>
        <v/>
      </c>
      <c r="QN57" s="30" t="str">
        <f>IFERROR(IF(DATA[[#This Row],[Administrative Officer 3: Numbers employed (Full Time Equivalent)]]=0,"",DATA[[#This Row],[Administrative Officer 3: Previous 2020/21 Minimum hourly pay rate ADJUSTED 2]]*DATA[[#This Row],[Administrative Officer 3: Numbers employed (Full Time Equivalent)]]),"")</f>
        <v/>
      </c>
      <c r="QO57" s="30" t="str">
        <f>IFERROR(IF(DATA[[#This Row],[Administrative Officer 3: Numbers employed (Full Time Equivalent)]]=0,"",DATA[[#This Row],[Administrative Officer 3: Previous 2020/21 Maximum hourly pay rate ADJUSTED 2]]*DATA[[#This Row],[Administrative Officer 3: Numbers employed (Full Time Equivalent)]]),"")</f>
        <v/>
      </c>
      <c r="QP57" s="28" t="str">
        <f>IFERROR(IF(DATA[[#This Row],[Other staff 1: Numbers employed (Full Time Equivalent)]]=0,"",DATA[[#This Row],[Other staff 1: Current 2021/22 Minimum hourly pay rate ADJUSTED 2]]*DATA[[#This Row],[Other staff 1: Numbers employed (Full Time Equivalent)]]),"")</f>
        <v/>
      </c>
      <c r="QQ57" s="28" t="str">
        <f>IFERROR(IF(DATA[[#This Row],[Other staff 1: Numbers employed (Full Time Equivalent)]]=0,"",DATA[[#This Row],[Other staff 1: Current 2021/22 Maximum hourly pay rate ADJUSTED 2]]*DATA[[#This Row],[Other staff 1: Numbers employed (Full Time Equivalent)]]),"")</f>
        <v/>
      </c>
      <c r="QR57" s="28" t="str">
        <f>IFERROR(IF(DATA[[#This Row],[Other staff 1: Numbers employed (Full Time Equivalent)]]=0,"",DATA[[#This Row],[Other staff 1: Previous 2020/21 Minimum hourly pay rate ADJUSTED 2]]*DATA[[#This Row],[Other staff 1: Numbers employed (Full Time Equivalent)]]),"")</f>
        <v/>
      </c>
      <c r="QS57" s="28" t="str">
        <f>IFERROR(IF(DATA[[#This Row],[Other staff 1: Numbers employed (Full Time Equivalent)]]=0,"",DATA[[#This Row],[Other staff 1: Previous 2020/21 Maximum hourly pay rate ADJUSTED 2]]*DATA[[#This Row],[Other staff 1: Numbers employed (Full Time Equivalent)]]),"")</f>
        <v/>
      </c>
      <c r="QT57" s="28" t="str">
        <f>IFERROR(IF(DATA[[#This Row],[Other staff 2: Numbers employed (Full Time Equivalent)]]=0,"",DATA[[#This Row],[Other staff 2: Current 2021/22 Minimum hourly pay rate ADJUSTED 2]]*DATA[[#This Row],[Other staff 2: Numbers employed (Full Time Equivalent)]]),"")</f>
        <v/>
      </c>
      <c r="QU57" s="28" t="str">
        <f>IFERROR(IF(DATA[[#This Row],[Other staff 2: Numbers employed (Full Time Equivalent)]]=0,"",DATA[[#This Row],[Other staff 2: Current 2021/22 Maximum hourly pay rate ADJUSTED 2]]*DATA[[#This Row],[Other staff 2: Numbers employed (Full Time Equivalent)]]),"")</f>
        <v/>
      </c>
      <c r="QV57" s="28" t="str">
        <f>IFERROR(IF(DATA[[#This Row],[Other staff 2: Numbers employed (Full Time Equivalent)]]=0,"",DATA[[#This Row],[Other staff 2: Previous 2020/21 Minimum hourly pay rate ADJUSTED 2]]*DATA[[#This Row],[Other staff 2: Numbers employed (Full Time Equivalent)]]),"")</f>
        <v/>
      </c>
      <c r="QW57" s="28" t="str">
        <f>IFERROR(IF(DATA[[#This Row],[Other staff 2: Numbers employed (Full Time Equivalent)]]=0,"",DATA[[#This Row],[Other staff 2: Previous 2020/21 Maximum hourly pay rate ADJUSTED 2]]*DATA[[#This Row],[Other staff 2: Numbers employed (Full Time Equivalent)]]),"")</f>
        <v/>
      </c>
      <c r="QX57" s="28" t="str">
        <f>IFERROR(IF(DATA[[#This Row],[Other staff 3: Numbers employed (Full Time Equivalent)]]=0,"",DATA[[#This Row],[Other staff 3: Current 2021/22 Minimum hourly pay rate ADJUSTED 2]]*DATA[[#This Row],[Other staff 3: Numbers employed (Full Time Equivalent)]]),"")</f>
        <v/>
      </c>
      <c r="QY57" s="28" t="str">
        <f>IFERROR(IF(DATA[[#This Row],[Other staff 3: Numbers employed (Full Time Equivalent)]]=0,"",DATA[[#This Row],[Other staff 3: Current 2021/22 Maximum hourly pay rate ADJUSTED 2]]*DATA[[#This Row],[Other staff 3: Numbers employed (Full Time Equivalent)]]),"")</f>
        <v/>
      </c>
      <c r="QZ57" s="28" t="str">
        <f>IFERROR(IF(DATA[[#This Row],[Other staff 3: Numbers employed (Full Time Equivalent)]]=0,"",DATA[[#This Row],[Other staff 3: Previous 2020/21 Minimum hourly pay rate ADJUSTED 2]]*DATA[[#This Row],[Other staff 3: Numbers employed (Full Time Equivalent)]]),"")</f>
        <v/>
      </c>
      <c r="RA57" s="28" t="str">
        <f>IFERROR(IF(DATA[[#This Row],[Other staff 3: Numbers employed (Full Time Equivalent)]]=0,"",DATA[[#This Row],[Other staff 3: Previous 2020/21 Maximum hourly pay rate ADJUSTED 2]]*DATA[[#This Row],[Other staff 3: Numbers employed (Full Time Equivalent)]]),"")</f>
        <v/>
      </c>
      <c r="RB57"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0.4</v>
      </c>
      <c r="RC57"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57"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0.2</v>
      </c>
      <c r="RE57"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57"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57"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v>
      </c>
      <c r="RH57"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5.4</v>
      </c>
      <c r="RI57"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2</v>
      </c>
      <c r="RJ57"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7"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57"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57"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57"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57"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57"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8" spans="7:484" x14ac:dyDescent="0.25">
      <c r="G58" s="2">
        <v>52</v>
      </c>
      <c r="I58" s="2">
        <v>3</v>
      </c>
      <c r="K58" s="2">
        <v>1</v>
      </c>
      <c r="L58" s="2" t="s">
        <v>328</v>
      </c>
      <c r="M58" s="2" t="s">
        <v>240</v>
      </c>
      <c r="R58" s="2">
        <v>20.010000000000002</v>
      </c>
      <c r="S58" s="2">
        <v>20.010000000000002</v>
      </c>
      <c r="T58" s="2">
        <v>19.72</v>
      </c>
      <c r="U58" s="2">
        <v>19.72</v>
      </c>
      <c r="V58" s="2">
        <v>0.1</v>
      </c>
      <c r="W58" s="2">
        <v>0</v>
      </c>
      <c r="X58" s="2">
        <v>0</v>
      </c>
      <c r="Y58" s="2">
        <v>0</v>
      </c>
      <c r="Z58" s="2">
        <v>0</v>
      </c>
      <c r="AA58" s="2">
        <v>0</v>
      </c>
      <c r="AB58" s="2" t="s">
        <v>545</v>
      </c>
      <c r="AC58" s="2">
        <v>13.34</v>
      </c>
      <c r="AD58" s="2">
        <v>13.34</v>
      </c>
      <c r="AE58" s="2">
        <v>13.14</v>
      </c>
      <c r="AF58" s="2">
        <v>13.14</v>
      </c>
      <c r="AG58" s="2">
        <v>0.5</v>
      </c>
      <c r="AH58" s="2" t="s">
        <v>315</v>
      </c>
      <c r="AI58" s="2">
        <v>0</v>
      </c>
      <c r="AJ58" s="2">
        <v>0</v>
      </c>
      <c r="AK58" s="2">
        <v>0</v>
      </c>
      <c r="AL58" s="2">
        <v>0</v>
      </c>
      <c r="AM58" s="2">
        <v>0</v>
      </c>
      <c r="AN58" s="2" t="s">
        <v>315</v>
      </c>
      <c r="AO58" s="2">
        <v>0</v>
      </c>
      <c r="AP58" s="2">
        <v>0</v>
      </c>
      <c r="AQ58" s="2">
        <v>0</v>
      </c>
      <c r="AR58" s="2">
        <v>0</v>
      </c>
      <c r="AS58" s="2">
        <v>0</v>
      </c>
      <c r="AT58" s="2" t="s">
        <v>376</v>
      </c>
      <c r="AU58" s="2">
        <v>10.01</v>
      </c>
      <c r="AV58" s="2">
        <v>10.01</v>
      </c>
      <c r="AW58" s="2">
        <v>9.5</v>
      </c>
      <c r="AX58" s="2">
        <v>9.5</v>
      </c>
      <c r="AY58" s="2">
        <v>0.5</v>
      </c>
      <c r="AZ58" s="2" t="s">
        <v>543</v>
      </c>
      <c r="BA58" s="2">
        <v>8.7200000000000006</v>
      </c>
      <c r="BB58" s="2">
        <v>8.7200000000000006</v>
      </c>
      <c r="BC58" s="2">
        <v>9.01</v>
      </c>
      <c r="BD58" s="2">
        <v>9.01</v>
      </c>
      <c r="BE58" s="2">
        <v>4.8</v>
      </c>
      <c r="BF58" s="2" t="s">
        <v>408</v>
      </c>
      <c r="BG58" s="2">
        <v>0</v>
      </c>
      <c r="BH58" s="2">
        <v>0</v>
      </c>
      <c r="BI58" s="2">
        <v>0</v>
      </c>
      <c r="BJ58" s="2">
        <v>0</v>
      </c>
      <c r="BK58" s="2">
        <v>0</v>
      </c>
      <c r="BL58" s="2" t="s">
        <v>316</v>
      </c>
      <c r="BM58" s="2">
        <v>0</v>
      </c>
      <c r="BN58" s="2">
        <v>0</v>
      </c>
      <c r="BO58" s="2">
        <v>0</v>
      </c>
      <c r="BP58" s="2">
        <v>0</v>
      </c>
      <c r="BQ58" s="2">
        <v>0</v>
      </c>
      <c r="BR58" s="2" t="s">
        <v>317</v>
      </c>
      <c r="BS58" s="2">
        <v>0</v>
      </c>
      <c r="BT58" s="2">
        <v>0</v>
      </c>
      <c r="BU58" s="2">
        <v>0</v>
      </c>
      <c r="BV58" s="2">
        <v>0</v>
      </c>
      <c r="BW58" s="2">
        <v>0</v>
      </c>
      <c r="BX58" s="2" t="s">
        <v>317</v>
      </c>
      <c r="BY58" s="2">
        <v>0</v>
      </c>
      <c r="BZ58" s="2">
        <v>0</v>
      </c>
      <c r="CA58" s="2">
        <v>0</v>
      </c>
      <c r="CB58" s="2">
        <v>0</v>
      </c>
      <c r="CC58" s="2">
        <v>0</v>
      </c>
      <c r="CD58" s="2" t="s">
        <v>317</v>
      </c>
      <c r="CE58" s="2">
        <v>0</v>
      </c>
      <c r="CF58" s="2">
        <v>0</v>
      </c>
      <c r="CG58" s="2">
        <v>0</v>
      </c>
      <c r="CH58" s="2">
        <v>0</v>
      </c>
      <c r="CI58" s="2">
        <v>0</v>
      </c>
      <c r="CJ58" s="2" t="s">
        <v>318</v>
      </c>
      <c r="CK58" s="2">
        <v>0</v>
      </c>
      <c r="CL58" s="2">
        <v>0</v>
      </c>
      <c r="CM58" s="2">
        <v>0</v>
      </c>
      <c r="CN58" s="2">
        <v>0</v>
      </c>
      <c r="CO58" s="2">
        <v>0</v>
      </c>
      <c r="CP58" s="2" t="s">
        <v>318</v>
      </c>
      <c r="CQ58" s="2">
        <v>0</v>
      </c>
      <c r="CR58" s="2">
        <v>0</v>
      </c>
      <c r="CS58" s="2">
        <v>0</v>
      </c>
      <c r="CT58" s="2">
        <v>0</v>
      </c>
      <c r="CU58" s="2">
        <v>0</v>
      </c>
      <c r="CV58" s="2" t="s">
        <v>318</v>
      </c>
      <c r="CW58" s="2">
        <v>0</v>
      </c>
      <c r="CX58" s="2">
        <v>0</v>
      </c>
      <c r="CY58" s="2">
        <v>0</v>
      </c>
      <c r="CZ58" s="2">
        <v>0</v>
      </c>
      <c r="DA58" s="2">
        <v>0</v>
      </c>
      <c r="DB58" s="2">
        <v>0.03</v>
      </c>
      <c r="DC58" s="2">
        <v>0</v>
      </c>
      <c r="DD58" s="2">
        <v>0</v>
      </c>
      <c r="DE58" s="2">
        <v>0</v>
      </c>
      <c r="DF58" s="2">
        <v>0</v>
      </c>
      <c r="DG58" s="2">
        <v>0</v>
      </c>
      <c r="DH58" s="2">
        <v>0</v>
      </c>
      <c r="DI58" s="2">
        <v>169.50000000000003</v>
      </c>
      <c r="DJ58" s="2">
        <v>0</v>
      </c>
      <c r="DK58" s="2">
        <v>0</v>
      </c>
      <c r="DL58" s="2">
        <v>0</v>
      </c>
      <c r="DM58" s="2">
        <v>0</v>
      </c>
      <c r="DN58" s="2">
        <v>0</v>
      </c>
      <c r="DO58" s="2">
        <v>0</v>
      </c>
      <c r="DP58" s="2">
        <v>0</v>
      </c>
      <c r="DQ58" s="2">
        <v>0</v>
      </c>
      <c r="DR58" s="18">
        <v>43922</v>
      </c>
      <c r="DS58" s="18">
        <v>44286</v>
      </c>
      <c r="DT58" s="2">
        <v>7777.3054071716888</v>
      </c>
      <c r="DU58" s="2">
        <v>12583.990100000001</v>
      </c>
      <c r="DV58" s="2">
        <v>59784.825700000001</v>
      </c>
      <c r="DW58" s="2"/>
      <c r="DX58" s="2"/>
      <c r="DY58" s="2">
        <v>21774.55</v>
      </c>
      <c r="DZ58" s="2"/>
      <c r="EA58" s="2"/>
      <c r="EB58" s="2"/>
      <c r="EC58" s="2">
        <v>161</v>
      </c>
      <c r="ED58" s="2"/>
      <c r="EE58" s="2">
        <v>935.04</v>
      </c>
      <c r="EF58" s="2"/>
      <c r="EG58" s="2">
        <v>452.94499999999999</v>
      </c>
      <c r="EH58" s="2" t="s">
        <v>324</v>
      </c>
      <c r="EI58" s="2"/>
      <c r="EJ58" s="2" t="s">
        <v>324</v>
      </c>
      <c r="EK58" s="2"/>
      <c r="EL58" s="2">
        <v>0</v>
      </c>
      <c r="EM58" s="2">
        <v>0</v>
      </c>
      <c r="EN58" s="2">
        <v>0</v>
      </c>
      <c r="EO58" s="2">
        <v>0</v>
      </c>
      <c r="EP58" s="2">
        <v>0</v>
      </c>
      <c r="EQ58" s="2">
        <v>0</v>
      </c>
      <c r="ER58" s="2">
        <v>0</v>
      </c>
      <c r="ES58" s="2">
        <v>0</v>
      </c>
      <c r="ET58" s="2" t="s">
        <v>324</v>
      </c>
      <c r="EU58" s="2">
        <v>0</v>
      </c>
      <c r="EV58" s="2" t="s">
        <v>324</v>
      </c>
      <c r="EW58" s="2">
        <v>0</v>
      </c>
      <c r="EX58" s="2">
        <v>0</v>
      </c>
      <c r="EY58" s="2">
        <v>20770.677800000001</v>
      </c>
      <c r="EZ58" s="2" t="s">
        <v>326</v>
      </c>
      <c r="FA58" s="2">
        <v>0</v>
      </c>
      <c r="FB58" s="2" t="s">
        <v>326</v>
      </c>
      <c r="FC58" s="2">
        <v>0</v>
      </c>
      <c r="FD58" s="2">
        <v>13436.0142</v>
      </c>
      <c r="FE58" s="2">
        <v>2209.4441999999999</v>
      </c>
      <c r="FF58" s="2">
        <v>0</v>
      </c>
      <c r="FG58" s="2"/>
      <c r="FH58" s="19">
        <v>44480.627002314817</v>
      </c>
      <c r="FI58" s="2" t="s">
        <v>345</v>
      </c>
      <c r="FJ58" s="2">
        <f>SUM(DATA[[#This Row],[Number of Home support clients:]],DATA[[#This Row],[Number of supported living clients:]])</f>
        <v>3</v>
      </c>
      <c r="FK58"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58"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20.010000000000002</v>
      </c>
      <c r="FM58"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20.010000000000002</v>
      </c>
      <c r="FN58"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19.72</v>
      </c>
      <c r="FO58"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19.72</v>
      </c>
      <c r="FP58"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58"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58"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58"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58"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13.34</v>
      </c>
      <c r="FU58"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13.34</v>
      </c>
      <c r="FV58"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13.14</v>
      </c>
      <c r="FW58"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13.14</v>
      </c>
      <c r="FX58"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58"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58"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58"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58"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58"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58"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58"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58"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10.01</v>
      </c>
      <c r="GG58"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10.01</v>
      </c>
      <c r="GH58"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9.5</v>
      </c>
      <c r="GI58"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9.5</v>
      </c>
      <c r="GJ58"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8.7200000000000006</v>
      </c>
      <c r="GK58"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8.7200000000000006</v>
      </c>
      <c r="GL58"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9.01</v>
      </c>
      <c r="GM58"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9.01</v>
      </c>
      <c r="GN58"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58"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58"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58"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58"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8"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8"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8"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8"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58"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58"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58"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58"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58"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58"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58"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58"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58"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58"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58"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58"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58"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58"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58"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58"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58"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58"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58"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58"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8"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8"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8"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8"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20.010000000000002</v>
      </c>
      <c r="HU58"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20.010000000000002</v>
      </c>
      <c r="HV58"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19.72</v>
      </c>
      <c r="HW58"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19.72</v>
      </c>
      <c r="HX58"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58"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58"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58"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58"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13.34</v>
      </c>
      <c r="IC58"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13.34</v>
      </c>
      <c r="ID58"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13.14</v>
      </c>
      <c r="IE58"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13.14</v>
      </c>
      <c r="IF58"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58"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58"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58"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58"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58"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58"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58"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58"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10.01</v>
      </c>
      <c r="IO58"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10.01</v>
      </c>
      <c r="IP58"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9.5</v>
      </c>
      <c r="IQ58"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9.5</v>
      </c>
      <c r="IR58"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8.7200000000000006</v>
      </c>
      <c r="IS58"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8.7200000000000006</v>
      </c>
      <c r="IT58"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9.01</v>
      </c>
      <c r="IU58"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9.01</v>
      </c>
      <c r="IV58"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58"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58"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58"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58"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8"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8"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8"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8"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58"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58"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58"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58"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58"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58"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58"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58"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58"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58"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58"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58"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58"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58"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58"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58"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58"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58"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58"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58"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8"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8"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8"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8"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0.6</v>
      </c>
      <c r="KC58" s="21">
        <f>SUM(DATA[[#This Row],[Care Assistant 1: Numbers employed (Full Time Equivalent)]],DATA[[#This Row],[Care Assistant 2: Numbers employed (Full Time Equivalent)]],DATA[[#This Row],[Care Assistant 3: Numbers employed (Full Time Equivalent)]],DATA[[#This Row],[Care Assistant 4: Numbers employed (Full Time Equivalent)]])</f>
        <v>5.3</v>
      </c>
      <c r="KD58" s="21">
        <f>SUM(DATA[[#This Row],[Administrative Officer 1: Numbers employed (Full Time Equivalent)]],DATA[[#This Row],[Administrative Officer 2: Numbers employed (Full Time Equivalent)]])</f>
        <v>0</v>
      </c>
      <c r="KE58" s="21">
        <f>SUM(DATA[[#This Row],[Other staff 1: Numbers employed (Full Time Equivalent)]],DATA[[#This Row],[Other staff 2: Numbers employed (Full Time Equivalent)]],DATA[[#This Row],[Other staff 3: Numbers employed (Full Time Equivalent)]])</f>
        <v>0</v>
      </c>
      <c r="KF58" s="21">
        <f>SUM(DATA[[#This Row],[Total FTE Management Employees]:[Total FTE Other Employees]])</f>
        <v>5.8999999999999995</v>
      </c>
      <c r="KG58" s="21" t="str">
        <f>IF(SUM(DATA[[#This Row],[Home Support service split percentage (Expenditure):]],DATA[[#This Row],[Supported Living service split percentage (Expenditure):]])&gt;0, IF(DATA[[#This Row],[Home Support service split percentage (Expenditure):]]&gt;0.5,"Home Support","Supported Living"), "Unknown")</f>
        <v>Supported Living</v>
      </c>
      <c r="KH58" s="21">
        <f>SUM(DATA[[#This Row],[Home Support: Birmingham City Council]:[Home Support: Self-funded]])</f>
        <v>0</v>
      </c>
      <c r="KI58" s="21">
        <f>SUM(DATA[[#This Row],[Supported Living: Birmingham City Council]:[Supported Living: Self-funded]])</f>
        <v>169.50000000000003</v>
      </c>
      <c r="KJ58"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58"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58"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58"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58" s="21" t="b">
        <f>SUM(DATA[[#This Row],[Number of hours of care charged for in last full accounting year]:[Corporate Overheads: Other  - please specify (category) 1]])&gt;0</f>
        <v>1</v>
      </c>
      <c r="KO58" s="21">
        <f>SUM(DATA[[#This Row],[Total annual expenditure: Management staff]:[Total annual expenditure: Training and development]])</f>
        <v>94143.3658</v>
      </c>
      <c r="KP58" s="21">
        <f>SUM(DATA[[#This Row],[Recruitment &amp; advertising (including DBS checks)]:[Non-Staffing Direct Cost: Other  - please specify (amount) 2]])</f>
        <v>1548.9849999999999</v>
      </c>
      <c r="KQ58" s="21">
        <f>SUM(DATA[[#This Row],[Insurance ]:[Indirect costs: Other 2 - please specify (amount)]])</f>
        <v>0</v>
      </c>
      <c r="KR58" s="21">
        <f>SUM(DATA[[#This Row],[Central / Regional Management]],DATA[[#This Row],[Support Services (finance / HR / Payroll / legal etc.)]],DATA[[#This Row],[Corporate Overheads: Other  - please specify (amount) 1]],DATA[[#This Row],[Corporate Overheads: Other  - please specify (amount) 2]])</f>
        <v>20770.677800000001</v>
      </c>
      <c r="KS58"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1.6180398532885083</v>
      </c>
      <c r="KT58"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7.6870873098117762</v>
      </c>
      <c r="KU58"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58"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58" s="30">
        <f>IF(OR(NOT(DATA[[#This Row],[Total annual expenditure: Agency staff]]&gt;0),NOT(DATA[[#This Row],[Number of hours of care charged for in last full accounting year]]&gt;0)),0,DATA[[#This Row],[Total annual expenditure: Agency staff]]/DATA[[#This Row],[Number of hours of care charged for in last full accounting year]])</f>
        <v>2.7997550385408587</v>
      </c>
      <c r="KX58"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58"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58"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58"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2.0701257256984795E-2</v>
      </c>
      <c r="LB58"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58" s="30">
        <f>IF(OR(NOT(DATA[[#This Row],[Care consumables &amp; uniforms]]&gt;0),NOT(DATA[[#This Row],[Number of hours of care charged for in last full accounting year]]&gt;0)),0,DATA[[#This Row],[Care consumables &amp; uniforms]]/DATA[[#This Row],[Number of hours of care charged for in last full accounting year]])</f>
        <v>0.12022673034516188</v>
      </c>
      <c r="LD58" s="30">
        <f>IF(OR(NOT(DATA[[#This Row],[Electronic call monitoring]]&gt;0),NOT(DATA[[#This Row],[Number of hours of care charged for in last full accounting year]]&gt;0)),0,DATA[[#This Row],[Electronic call monitoring]]/DATA[[#This Row],[Number of hours of care charged for in last full accounting year]])</f>
        <v>0</v>
      </c>
      <c r="LE58" s="30">
        <f>IF(OR(NOT(DATA[[#This Row],[IT Equipment &amp; Telephoney]]&gt;0),NOT(DATA[[#This Row],[Number of hours of care charged for in last full accounting year]]&gt;0)),0,DATA[[#This Row],[IT Equipment &amp; Telephoney]]/DATA[[#This Row],[Number of hours of care charged for in last full accounting year]])</f>
        <v>5.8239322784254519E-2</v>
      </c>
      <c r="LF58"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58"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58" s="30">
        <f>IF(OR(NOT(DATA[[#This Row],[Insurance ]]&gt;0),NOT(DATA[[#This Row],[Number of hours of care charged for in last full accounting year]]&gt;0)),0,DATA[[#This Row],[Insurance ]]/DATA[[#This Row],[Number of hours of care charged for in last full accounting year]])</f>
        <v>0</v>
      </c>
      <c r="LI58"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58" s="30">
        <f>IF(OR(NOT(DATA[[#This Row],[Repairs and maintenance]]&gt;0),NOT(DATA[[#This Row],[Number of hours of care charged for in last full accounting year]]&gt;0)),0,DATA[[#This Row],[Repairs and maintenance]]/DATA[[#This Row],[Number of hours of care charged for in last full accounting year]])</f>
        <v>0</v>
      </c>
      <c r="LK58"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58" s="30">
        <f>IF(OR(NOT(DATA[[#This Row],[Registration &amp; Inspection fees ]]&gt;0),NOT(DATA[[#This Row],[Number of hours of care charged for in last full accounting year]]&gt;0)),0,DATA[[#This Row],[Registration &amp; Inspection fees ]]/DATA[[#This Row],[Number of hours of care charged for in last full accounting year]])</f>
        <v>0</v>
      </c>
      <c r="LM58" s="30">
        <f>IF(OR(NOT(DATA[[#This Row],[Subscriptions]]&gt;0),NOT(DATA[[#This Row],[Number of hours of care charged for in last full accounting year]]&gt;0)),0,DATA[[#This Row],[Subscriptions]]/DATA[[#This Row],[Number of hours of care charged for in last full accounting year]])</f>
        <v>0</v>
      </c>
      <c r="LN58" s="30">
        <f>IF(OR(NOT(DATA[[#This Row],[Cost of finance]]&gt;0),NOT(DATA[[#This Row],[Number of hours of care charged for in last full accounting year]]&gt;0)),0,DATA[[#This Row],[Cost of finance]]/DATA[[#This Row],[Number of hours of care charged for in last full accounting year]])</f>
        <v>0</v>
      </c>
      <c r="LO58" s="30">
        <f>IF(OR(NOT(DATA[[#This Row],[Other non-staff current expenses]]&gt;0),NOT(DATA[[#This Row],[Number of hours of care charged for in last full accounting year]]&gt;0)),0,DATA[[#This Row],[Other non-staff current expenses]]/DATA[[#This Row],[Number of hours of care charged for in last full accounting year]])</f>
        <v>0</v>
      </c>
      <c r="LP58"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58"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58" s="30">
        <f>IF(OR(NOT(DATA[[#This Row],[Central / Regional Management]]&gt;0),NOT(DATA[[#This Row],[Number of hours of care charged for in last full accounting year]]&gt;0)),0,DATA[[#This Row],[Central / Regional Management]]/DATA[[#This Row],[Number of hours of care charged for in last full accounting year]])</f>
        <v>0</v>
      </c>
      <c r="LS58"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2.6706779163959191</v>
      </c>
      <c r="LT58"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58"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8" s="30">
        <f>SUM(DATA[[#This Row],[Management staff HOURLY RATE]:[Corporate Overheads: Other  - please specify (amount) 2 HOURLY RATE]])</f>
        <v>14.974727428423463</v>
      </c>
      <c r="LW58" s="30">
        <f>IF(OR(NOT(DATA[[#This Row],[Net Operating Profit]]&gt;0),NOT(DATA[[#This Row],[Number of hours of care charged for in last full accounting year]]&gt;0)),"",DATA[[#This Row],[Net Operating Profit]]/DATA[[#This Row],[Number of hours of care charged for in last full accounting year]])</f>
        <v>1.7275924625012469</v>
      </c>
      <c r="LX58" s="30">
        <f>IF(OR(NOT(DATA[[#This Row],[Return on Capital employed]]&gt;0),NOT(DATA[[#This Row],[Number of hours of care charged for in last full accounting year]]&gt;0)),0,DATA[[#This Row],[Return on Capital employed]]/DATA[[#This Row],[Number of hours of care charged for in last full accounting year]])</f>
        <v>0.28408865080219231</v>
      </c>
      <c r="LY58" s="31">
        <v>52</v>
      </c>
      <c r="LZ58" s="30" t="s">
        <v>345</v>
      </c>
      <c r="MA58" s="30" t="b">
        <f>DATA[[#This Row],[Number of Home support clients:]]&gt;0</f>
        <v>0</v>
      </c>
      <c r="MB58" s="30" t="b">
        <f>DATA[[#This Row],[Number of supported living clients:]]&gt;0</f>
        <v>1</v>
      </c>
      <c r="MC58" s="30" t="b">
        <f>DATA[[#This Row],[Total Home Support Hours]]&gt;0</f>
        <v>0</v>
      </c>
      <c r="MD58" s="30" t="b">
        <f>DATA[[#This Row],[Total Supported Living Hours]]&gt;0</f>
        <v>1</v>
      </c>
      <c r="ME58" s="30" t="b">
        <f>DATA[[#This Row],[Home Support service split percentage (Expenditure):]]&gt;0.5</f>
        <v>0</v>
      </c>
      <c r="MF58" s="30" t="b">
        <f>DATA[[#This Row],[Agency staff HOURLY RATE]]=0</f>
        <v>0</v>
      </c>
      <c r="MG58" s="30">
        <f>IFERROR(IF(AVERAGE(DATA[[#This Row],[Registered manager: Current 2021/22 Minimum hourly pay rate ADJUSTED]],DATA[[#This Row],[Registered manager: Current 2021/22 Maximum hourly pay rate ADJUSTED]])&lt;LIVING_WAGE_22_23,DATA[[#This Row],[Registered manager: Numbers employed (Full Time Equivalent)]],0),"")</f>
        <v>0</v>
      </c>
      <c r="MH58" s="30" t="str">
        <f>IFERROR(IF(AVERAGE(DATA[[#This Row],[Deputy manager: Current 2021/22 Minimum hourly pay rate ADJUSTED]],DATA[[#This Row],[Deputy manager: Current 2021/22 Maximum hourly pay rate ADJUSTED]])&lt;LIVING_WAGE_22_23,DATA[[#This Row],[Deputy manager: Numbers employed (Full Time Equivalent)]],0),"")</f>
        <v/>
      </c>
      <c r="MI58" s="30">
        <f>IFERROR(IF(AVERAGE(DATA[[#This Row],[Other manager 1: Current 2021/22 Minimum hourly pay rate ADJUSTED]],DATA[[#This Row],[Other manager 1: Current 2021/22 Maximum hourly pay rate ADJUSTED]])&lt;LIVING_WAGE_22_23,DATA[[#This Row],[Other manager 1: Numbers employed (Full Time Equivalent)]],0),"")</f>
        <v>0</v>
      </c>
      <c r="MJ58" s="30" t="str">
        <f>IFERROR(IF(AVERAGE(DATA[[#This Row],[Other manager 2: Current 2021/22 Minimum hourly pay rate ADJUSTED]],DATA[[#This Row],[Other manager 2: Current 2021/22 Maximum hourly pay rate ADJUSTED]])&lt;LIVING_WAGE_22_23,DATA[[#This Row],[Other manager 2: Numbers employed (Full Time Equivalent)]],0),"")</f>
        <v/>
      </c>
      <c r="MK58" s="30" t="str">
        <f>IFERROR(IF(AVERAGE(DATA[[#This Row],[Other manager 3: Current 2021/22 Minimum hourly pay rate ADJUSTED]],DATA[[#This Row],[Other manager 3: Current 2021/22 Maximum hourly pay rate ADJUSTED]])&lt;LIVING_WAGE_22_23,DATA[[#This Row],[Other manager 3: Numbers employed (Full Time Equivalent)]],0),"")</f>
        <v/>
      </c>
      <c r="ML58" s="30">
        <f>IFERROR(IF(AVERAGE(DATA[[#This Row],[Care Assistant 1: Current 2021/22 Minimum hourly pay rate ADJUSTED]],DATA[[#This Row],[Care Assistant 1: Current 2021/22 Maximum hourly pay rate ADJUSTED]])&lt;LIVING_WAGE_22_23,DATA[[#This Row],[Care Assistant 1: Numbers employed (Full Time Equivalent)]],0),"")</f>
        <v>0</v>
      </c>
      <c r="MM58" s="30">
        <f>IFERROR(IF(AVERAGE(DATA[[#This Row],[Care Assistant 2: Current 2021/22 Minimum hourly pay rate ADJUSTED]],DATA[[#This Row],[Care Assistant 2: Current 2021/22 Maximum hourly pay rate ADJUSTED]])&lt;LIVING_WAGE_22_23,DATA[[#This Row],[Care Assistant 2: Numbers employed (Full Time Equivalent)]],0),"")</f>
        <v>4.8</v>
      </c>
      <c r="MN58" s="30" t="str">
        <f>IFERROR(IF(AVERAGE(DATA[[#This Row],[Care Assistant 3: Current 2021/22 Minimum hourly pay rate ADJUSTED]],DATA[[#This Row],[Care Assistant 3: Current 2021/22 Maximum hourly pay rate ADJUSTED]])&lt;LIVING_WAGE_22_23,DATA[[#This Row],[Care Assistant 3: Numbers employed (Full Time Equivalent)]],0),"")</f>
        <v/>
      </c>
      <c r="MO58" s="30" t="str">
        <f>IFERROR(IF(AVERAGE(DATA[[#This Row],[Care Assistant 4: Current 2021/22 Minimum hourly pay rate ADJUSTED]],DATA[[#This Row],[Care Assistant 4: Current 2021/22 Maximum hourly pay rate ADJUSTED]])&lt;LIVING_WAGE_22_23,DATA[[#This Row],[Care Assistant 4: Numbers employed (Full Time Equivalent)]],0),"")</f>
        <v/>
      </c>
      <c r="MP58"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58"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58" s="30" t="str">
        <f>IFERROR(IF(AVERAGE(DATA[[#This Row],[Other staff 1: Current 2021/22 Minimum hourly pay rate ADJUSTED]],DATA[[#This Row],[Other staff 1: Current 2021/22 Maximum hourly pay rate ADJUSTED]])&lt;LIVING_WAGE_22_23,DATA[[#This Row],[Other staff 1: Numbers employed (Full Time Equivalent)]],0),"")</f>
        <v/>
      </c>
      <c r="MS58" s="30" t="str">
        <f>IFERROR(IF(AVERAGE(DATA[[#This Row],[Other staff 2: Current 2021/22 Minimum hourly pay rate ADJUSTED]],DATA[[#This Row],[Other staff 2: Current 2021/22 Maximum hourly pay rate ADJUSTED]])&lt;LIVING_WAGE_22_23,DATA[[#This Row],[Other staff 2: Numbers employed (Full Time Equivalent)]],0),"")</f>
        <v/>
      </c>
      <c r="MT58" s="30" t="str">
        <f>IFERROR(IF(AVERAGE(DATA[[#This Row],[Other staff 3: Current 2021/22 Minimum hourly pay rate ADJUSTED]],DATA[[#This Row],[Other staff 3: Current 2021/22 Maximum hourly pay rate ADJUSTED]])&lt;LIVING_WAGE_22_23,DATA[[#This Row],[Other staff 3: Numbers employed (Full Time Equivalent)]],0),"")</f>
        <v/>
      </c>
      <c r="MU58" s="30">
        <f>SUM(DATA[[#This Row],[Registered Manager FTE earning less than NLW 23yrs 2022/23]:[Other staff 3 FTE earning less than NLW 23yrs 2022/23]])</f>
        <v>4.8</v>
      </c>
      <c r="MV58"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58"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58"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58"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58"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58"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58"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3.7439999999999967</v>
      </c>
      <c r="NC58"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58"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8"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58"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58"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58"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58"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8" s="30" t="b">
        <v>0</v>
      </c>
      <c r="NK58" s="30" t="b">
        <v>1</v>
      </c>
      <c r="NL58" s="30" t="s">
        <v>972</v>
      </c>
      <c r="NM58" s="30">
        <f>SUM(DATA[[#This Row],[Management staff HOURLY RATE]:[Training and development HOURLY RATE]])</f>
        <v>12.104882201641143</v>
      </c>
      <c r="NN58" s="30">
        <f>SUM(DATA[[#This Row],[Recruitment &amp; advertising (including DBS checks) HOURLY RATE]:[Non-Staffing Direct Cost: Other  - please specify (amount) 2 HOURLY RATE]])</f>
        <v>0.19916731038640118</v>
      </c>
      <c r="NO58" s="30">
        <f>SUM(DATA[[#This Row],[Insurance  HOURLY RATE]:[Indirect costs: Other  - please specify (amount) 2 HOURLY RATE]])</f>
        <v>0</v>
      </c>
      <c r="NP58" s="30">
        <f>SUM(DATA[[#This Row],[Central / Regional Management HOURLY RATE]:[Corporate Overheads: Other  - please specify (amount) 2 HOURLY RATE]])</f>
        <v>2.6706779163959191</v>
      </c>
      <c r="NQ58"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58" s="30" t="str">
        <f>IFERROR(IF(AVERAGE(DATA[[#This Row],[Deputy manager: Current 2021/22 Minimum hourly pay rate ADJUSTED]],DATA[[#This Row],[Deputy manager: Current 2021/22 Maximum hourly pay rate ADJUSTED]])&lt;REAL_LIVING_WAGE_22_23,DATA[[#This Row],[Deputy manager: Numbers employed (Full Time Equivalent)]],0),"")</f>
        <v/>
      </c>
      <c r="NS58" s="30">
        <f>IFERROR(IF(AVERAGE(DATA[[#This Row],[Other manager 1: Current 2021/22 Minimum hourly pay rate ADJUSTED]],DATA[[#This Row],[Other manager 1: Current 2021/22 Maximum hourly pay rate ADJUSTED]])&lt;REAL_LIVING_WAGE_22_23,DATA[[#This Row],[Other manager 1: Numbers employed (Full Time Equivalent)]],0),"")</f>
        <v>0</v>
      </c>
      <c r="NT58" s="30" t="str">
        <f>IFERROR(IF(AVERAGE(DATA[[#This Row],[Other manager 2: Current 2021/22 Minimum hourly pay rate ADJUSTED]],DATA[[#This Row],[Other manager 2: Current 2021/22 Maximum hourly pay rate ADJUSTED]])&lt;REAL_LIVING_WAGE_22_23,DATA[[#This Row],[Other manager 2: Numbers employed (Full Time Equivalent)]],0),"")</f>
        <v/>
      </c>
      <c r="NU58" s="30" t="str">
        <f>IFERROR(IF(AVERAGE(DATA[[#This Row],[Other manager 3: Current 2021/22 Minimum hourly pay rate ADJUSTED]],DATA[[#This Row],[Other manager 3: Current 2021/22 Maximum hourly pay rate ADJUSTED]])&lt;REAL_LIVING_WAGE_22_23,DATA[[#This Row],[Other manager 3: Numbers employed (Full Time Equivalent)]],0),"")</f>
        <v/>
      </c>
      <c r="NV58" s="30">
        <f>IFERROR(IF(AVERAGE(DATA[[#This Row],[Care Assistant 1: Current 2021/22 Minimum hourly pay rate ADJUSTED]],DATA[[#This Row],[Care Assistant 1: Current 2021/22 Maximum hourly pay rate ADJUSTED]])&lt;REAL_LIVING_WAGE_22_23,DATA[[#This Row],[Care Assistant 1: Numbers employed (Full Time Equivalent)]],0),"")</f>
        <v>0</v>
      </c>
      <c r="NW58" s="30">
        <f>IFERROR(IF(AVERAGE(DATA[[#This Row],[Care Assistant 2: Current 2021/22 Minimum hourly pay rate ADJUSTED]],DATA[[#This Row],[Care Assistant 2: Current 2021/22 Maximum hourly pay rate ADJUSTED]])&lt;REAL_LIVING_WAGE_22_23,DATA[[#This Row],[Care Assistant 2: Numbers employed (Full Time Equivalent)]],0),"")</f>
        <v>4.8</v>
      </c>
      <c r="NX58"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58"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8"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58"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58" s="30" t="str">
        <f>IFERROR(IF(AVERAGE(DATA[[#This Row],[Other staff 1: Current 2021/22 Minimum hourly pay rate ADJUSTED]],DATA[[#This Row],[Other staff 1: Current 2021/22 Maximum hourly pay rate ADJUSTED]])&lt;REAL_LIVING_WAGE_22_23,DATA[[#This Row],[Other staff 1: Numbers employed (Full Time Equivalent)]],0),"")</f>
        <v/>
      </c>
      <c r="OC58" s="30" t="str">
        <f>IFERROR(IF(AVERAGE(DATA[[#This Row],[Other staff 2: Current 2021/22 Minimum hourly pay rate ADJUSTED]],DATA[[#This Row],[Other staff 2: Current 2021/22 Maximum hourly pay rate ADJUSTED]])&lt;REAL_LIVING_WAGE_22_23,DATA[[#This Row],[Other staff 2: Numbers employed (Full Time Equivalent)]],0),"")</f>
        <v/>
      </c>
      <c r="OD58" s="30" t="str">
        <f>IFERROR(IF(AVERAGE(DATA[[#This Row],[Other staff 3: Current 2021/22 Minimum hourly pay rate ADJUSTED]],DATA[[#This Row],[Other staff 3: Current 2021/22 Maximum hourly pay rate ADJUSTED]])&lt;REAL_LIVING_WAGE_22_23,DATA[[#This Row],[Other staff 3: Numbers employed (Full Time Equivalent)]],0),"")</f>
        <v/>
      </c>
      <c r="OE58" s="30">
        <f>SUM(DATA[[#This Row],[Registered Manager FTE earning less than RLW 23yrs 2022/23]:[Other staff 3 FTE earning less than RLW 23yrs 2022/23]])</f>
        <v>4.8</v>
      </c>
      <c r="OF58"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58"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58"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58"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58"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58"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58"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5.6639999999999988</v>
      </c>
      <c r="OM58"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58"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8"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58"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58"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58"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58"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8" s="30">
        <f>IFERROR(IF(DATA[[#This Row],[Registered manager: Numbers employed (Full Time Equivalent)]]=0,"",DATA[[#This Row],[Registered manager: Current 2021/22 Minimum hourly pay rate ADJUSTED 2]]*DATA[[#This Row],[Registered manager: Numbers employed (Full Time Equivalent)]]),"")</f>
        <v>2.0010000000000003</v>
      </c>
      <c r="OU58" s="30">
        <f>IFERROR(IF(DATA[[#This Row],[Registered manager: Numbers employed (Full Time Equivalent)]]=0,"",DATA[[#This Row],[Registered manager: Current 2021/22 Maximum hourly pay rate ADJUSTED 2]]*DATA[[#This Row],[Registered manager: Numbers employed (Full Time Equivalent)]]),"")</f>
        <v>2.0010000000000003</v>
      </c>
      <c r="OV58" s="30">
        <f>IFERROR(IF(DATA[[#This Row],[Registered manager: Numbers employed (Full Time Equivalent)]]=0,"",DATA[[#This Row],[Registered manager: Previous 2020/21 Minimum hourly pay rate ADJUSTED 2]]*DATA[[#This Row],[Registered manager: Numbers employed (Full Time Equivalent)]]),"")</f>
        <v>1.972</v>
      </c>
      <c r="OW58" s="30">
        <f>IFERROR(IF(DATA[[#This Row],[Registered manager: Numbers employed (Full Time Equivalent)]]=0,"",DATA[[#This Row],[Registered manager: Previous 2020/21 Maximum hourly pay rate ADJUSTED 2]]*DATA[[#This Row],[Registered manager: Numbers employed (Full Time Equivalent)]]),"")</f>
        <v>1.972</v>
      </c>
      <c r="OX58" s="30" t="str">
        <f>IFERROR(IF(DATA[[#This Row],[Deputy manager: Numbers employed (Full Time Equivalent)]]=0,"",DATA[[#This Row],[Deputy manager: Current 2021/22 Minimum hourly pay rate ADJUSTED 2]]*DATA[[#This Row],[Deputy manager: Numbers employed (Full Time Equivalent)]]),"")</f>
        <v/>
      </c>
      <c r="OY58" s="30" t="str">
        <f>IFERROR(IF(DATA[[#This Row],[Deputy manager: Numbers employed (Full Time Equivalent)]]=0,"",DATA[[#This Row],[Deputy manager: Current 2021/22 Maximum hourly pay rate ADJUSTED 2]]*DATA[[#This Row],[Deputy manager: Numbers employed (Full Time Equivalent)]]),"")</f>
        <v/>
      </c>
      <c r="OZ58" s="30" t="str">
        <f>IFERROR(IF(DATA[[#This Row],[Deputy manager: Numbers employed (Full Time Equivalent)]]=0,"",DATA[[#This Row],[Deputy manager: Previous 2020/21 Minimum hourly pay rate ADJUSTED 2]]*DATA[[#This Row],[Deputy manager: Numbers employed (Full Time Equivalent)]]),"")</f>
        <v/>
      </c>
      <c r="PA58" s="30" t="str">
        <f>IFERROR(IF(DATA[[#This Row],[Deputy manager: Numbers employed (Full Time Equivalent)]]=0,"",DATA[[#This Row],[Deputy manager: Previous 2020/21 Maximum hourly pay rate ADJUSTED 2]]*DATA[[#This Row],[Deputy manager: Numbers employed (Full Time Equivalent)]]),"")</f>
        <v/>
      </c>
      <c r="PB58" s="30">
        <f>IFERROR(IF(DATA[[#This Row],[Other manager 1: Numbers employed (Full Time Equivalent)]]=0,"",DATA[[#This Row],[Other manager 1: Current 2021/22 Minimum hourly pay rate ADJUSTED 2]]*DATA[[#This Row],[Other manager 1: Numbers employed (Full Time Equivalent)]]),"")</f>
        <v>6.67</v>
      </c>
      <c r="PC58" s="30">
        <f>IFERROR(IF(DATA[[#This Row],[Other manager 1: Numbers employed (Full Time Equivalent)]]=0,"",DATA[[#This Row],[Other manager 1: Current 2021/22 Maximum hourly pay rate ADJUSTED 2]]*DATA[[#This Row],[Other manager 1: Numbers employed (Full Time Equivalent)]]),"")</f>
        <v>6.67</v>
      </c>
      <c r="PD58" s="30">
        <f>IFERROR(IF(DATA[[#This Row],[Other manager 1: Numbers employed (Full Time Equivalent)]]=0,"",DATA[[#This Row],[Other manager 1: Previous 2020/21 Minimum hourly pay rate ADJUSTED 2]]*DATA[[#This Row],[Other manager 1: Numbers employed (Full Time Equivalent)]]),"")</f>
        <v>6.57</v>
      </c>
      <c r="PE58" s="30">
        <f>IFERROR(IF(DATA[[#This Row],[Other manager 1: Numbers employed (Full Time Equivalent)]]=0,"",DATA[[#This Row],[Other manager 1: Previous 2020/21 Maximum hourly pay rate ADJUSTED 2]]*DATA[[#This Row],[Other manager 1: Numbers employed (Full Time Equivalent)]]),"")</f>
        <v>6.57</v>
      </c>
      <c r="PF58" s="30" t="str">
        <f>IFERROR(IF(DATA[[#This Row],[Other manager 2: Numbers employed (Full Time Equivalent)]]=0,"",DATA[[#This Row],[Other manager 2: Current 2021/22 Minimum hourly pay rate ADJUSTED 2]]*DATA[[#This Row],[Other manager 2: Numbers employed (Full Time Equivalent)]]),"")</f>
        <v/>
      </c>
      <c r="PG58" s="30" t="str">
        <f>IFERROR(IF(DATA[[#This Row],[Other manager 2: Numbers employed (Full Time Equivalent)]]=0,"",DATA[[#This Row],[Other manager 2: Current 2021/22 Maximum hourly pay rate ADJUSTED 2]]*DATA[[#This Row],[Other manager 2: Numbers employed (Full Time Equivalent)]]),"")</f>
        <v/>
      </c>
      <c r="PH58" s="30" t="str">
        <f>IFERROR(IF(DATA[[#This Row],[Other manager 2: Numbers employed (Full Time Equivalent)]]=0,"",DATA[[#This Row],[Other manager 2: Previous 2020/21 Minimum hourly pay rate ADJUSTED 2]]*DATA[[#This Row],[Other manager 2: Numbers employed (Full Time Equivalent)]]),"")</f>
        <v/>
      </c>
      <c r="PI58" s="30" t="str">
        <f>IFERROR(IF(DATA[[#This Row],[Other manager 2: Numbers employed (Full Time Equivalent)]]=0,"",DATA[[#This Row],[Other manager 2: Previous 2020/21 Maximum hourly pay rate ADJUSTED 2]]*DATA[[#This Row],[Other manager 2: Numbers employed (Full Time Equivalent)]]),"")</f>
        <v/>
      </c>
      <c r="PJ58" s="30" t="str">
        <f>IFERROR(IF(DATA[[#This Row],[Other manager 3: Numbers employed (Full Time Equivalent)]]=0,"",DATA[[#This Row],[Other manager 3: Current 2021/22 Minimum hourly pay rate ADJUSTED 2]]*DATA[[#This Row],[Other manager 3: Numbers employed (Full Time Equivalent)]]),"")</f>
        <v/>
      </c>
      <c r="PK58" s="30" t="str">
        <f>IFERROR(IF(DATA[[#This Row],[Other manager 3: Numbers employed (Full Time Equivalent)]]=0,"",DATA[[#This Row],[Other manager 3: Current 2021/22 Maximum hourly pay rate ADJUSTED 2]]*DATA[[#This Row],[Other manager 3: Numbers employed (Full Time Equivalent)]]),"")</f>
        <v/>
      </c>
      <c r="PL58" s="30" t="str">
        <f>IFERROR(IF(DATA[[#This Row],[Other manager 3: Numbers employed (Full Time Equivalent)]]=0,"",DATA[[#This Row],[Other manager 3: Previous 2020/21 Minimum hourly pay rate ADJUSTED 2]]*DATA[[#This Row],[Other manager 3: Numbers employed (Full Time Equivalent)]]),"")</f>
        <v/>
      </c>
      <c r="PM58" s="30" t="str">
        <f>IFERROR(IF(DATA[[#This Row],[Other manager 3: Numbers employed (Full Time Equivalent)]]=0,"",DATA[[#This Row],[Other manager 3: Previous 2020/21 Maximum hourly pay rate ADJUSTED 2]]*DATA[[#This Row],[Other manager 3: Numbers employed (Full Time Equivalent)]]),"")</f>
        <v/>
      </c>
      <c r="PN58" s="30">
        <f>IFERROR(IF(DATA[[#This Row],[Care Assistant 1: Numbers employed (Full Time Equivalent)]]=0,"",DATA[[#This Row],[Care Assistant 1: Current 2021/22 Minimum hourly pay rate ADJUSTED 2]]*DATA[[#This Row],[Care Assistant 1: Numbers employed (Full Time Equivalent)]]),"")</f>
        <v>5.0049999999999999</v>
      </c>
      <c r="PO58" s="30">
        <f>IFERROR(IF(DATA[[#This Row],[Care Assistant 1: Numbers employed (Full Time Equivalent)]]=0,"",DATA[[#This Row],[Care Assistant 1: Current 2021/22 Maximum hourly pay rate ADJUSTED 2]]*DATA[[#This Row],[Care Assistant 1: Numbers employed (Full Time Equivalent)]]),"")</f>
        <v>5.0049999999999999</v>
      </c>
      <c r="PP58" s="30">
        <f>IFERROR(IF(DATA[[#This Row],[Care Assistant 1: Numbers employed (Full Time Equivalent)]]=0,"",DATA[[#This Row],[Care Assistant 1: Previous 2020/21 Minimum hourly pay rate ADJUSTED 2]]*DATA[[#This Row],[Care Assistant 1: Numbers employed (Full Time Equivalent)]]),"")</f>
        <v>4.75</v>
      </c>
      <c r="PQ58" s="30">
        <f>IFERROR(IF(DATA[[#This Row],[Care Assistant 1: Numbers employed (Full Time Equivalent)]]=0,"",DATA[[#This Row],[Care Assistant 1: Previous 2020/21 Maximum hourly pay rate ADJUSTED 2]]*DATA[[#This Row],[Care Assistant 1: Numbers employed (Full Time Equivalent)]]),"")</f>
        <v>4.75</v>
      </c>
      <c r="PR58" s="30">
        <f>IFERROR(IF(DATA[[#This Row],[Care Assistant 2: Numbers employed (Full Time Equivalent)]]=0,"",DATA[[#This Row],[Care Assistant 2: Current 2021/22 Minimum hourly pay rate ADJUSTED 2]]*DATA[[#This Row],[Care Assistant 2: Numbers employed (Full Time Equivalent)]]),"")</f>
        <v>41.856000000000002</v>
      </c>
      <c r="PS58" s="30">
        <f>IFERROR(IF(DATA[[#This Row],[Care Assistant 2: Numbers employed (Full Time Equivalent)]]=0,"",DATA[[#This Row],[Care Assistant 2: Current 2021/22 Maximum hourly pay rate ADJUSTED 2]]*DATA[[#This Row],[Care Assistant 2: Numbers employed (Full Time Equivalent)]]),"")</f>
        <v>41.856000000000002</v>
      </c>
      <c r="PT58" s="30">
        <f>IFERROR(IF(DATA[[#This Row],[Care Assistant 2: Numbers employed (Full Time Equivalent)]]=0,"",DATA[[#This Row],[Care Assistant 2: Previous 2020/21 Minimum hourly pay rate ADJUSTED 2]]*DATA[[#This Row],[Care Assistant 2: Numbers employed (Full Time Equivalent)]]),"")</f>
        <v>43.247999999999998</v>
      </c>
      <c r="PU58" s="30">
        <f>IFERROR(IF(DATA[[#This Row],[Care Assistant 2: Numbers employed (Full Time Equivalent)]]=0,"",DATA[[#This Row],[Care Assistant 2: Previous 2020/21 Maximum hourly pay rate ADJUSTED 2]]*DATA[[#This Row],[Care Assistant 2: Numbers employed (Full Time Equivalent)]]),"")</f>
        <v>43.247999999999998</v>
      </c>
      <c r="PV58" s="30" t="str">
        <f>IFERROR(IF(DATA[[#This Row],[Care Assistant 3: Numbers employed (Full Time Equivalent)]]=0,"",DATA[[#This Row],[Care Assistant 3: Current 2021/22 Minimum hourly pay rate ADJUSTED 2]]*DATA[[#This Row],[Care Assistant 3: Numbers employed (Full Time Equivalent)]]),"")</f>
        <v/>
      </c>
      <c r="PW58" s="30" t="str">
        <f>IFERROR(IF(DATA[[#This Row],[Care Assistant 3: Numbers employed (Full Time Equivalent)]]=0,"",DATA[[#This Row],[Care Assistant 3: Current 2021/22 Maximum hourly pay rate ADJUSTED 2]]*DATA[[#This Row],[Care Assistant 3: Numbers employed (Full Time Equivalent)]]),"")</f>
        <v/>
      </c>
      <c r="PX58" s="30" t="str">
        <f>IFERROR(IF(DATA[[#This Row],[Care Assistant 3: Numbers employed (Full Time Equivalent)]]=0,"",DATA[[#This Row],[Care Assistant 3: Previous 2020/21 Minimum hourly pay rate ADJUSTED 2]]*DATA[[#This Row],[Care Assistant 3: Numbers employed (Full Time Equivalent)]]),"")</f>
        <v/>
      </c>
      <c r="PY58" s="30" t="str">
        <f>IFERROR(IF(DATA[[#This Row],[Care Assistant 3: Numbers employed (Full Time Equivalent)]]=0,"",DATA[[#This Row],[Care Assistant 3: Previous 2020/21 Maximum hourly pay rate ADJUSTED 2]]*DATA[[#This Row],[Care Assistant 3: Numbers employed (Full Time Equivalent)]]),"")</f>
        <v/>
      </c>
      <c r="PZ58" s="30" t="str">
        <f>IFERROR(IF(DATA[[#This Row],[Care Assistant 4: Numbers employed (Full Time Equivalent)]]=0,"",DATA[[#This Row],[Care Assistant 4: Current 2021/22 Minimum hourly pay rate ADJUSTED 2]]*DATA[[#This Row],[Care Assistant 4: Numbers employed (Full Time Equivalent)]]),"")</f>
        <v/>
      </c>
      <c r="QA58" s="30" t="str">
        <f>IFERROR(IF(DATA[[#This Row],[Care Assistant 4: Numbers employed (Full Time Equivalent)]]=0,"",DATA[[#This Row],[Care Assistant 4: Current 2021/22 Maximum hourly pay rate ADJUSTED 2]]*DATA[[#This Row],[Care Assistant 4: Numbers employed (Full Time Equivalent)]]),"")</f>
        <v/>
      </c>
      <c r="QB58" s="30" t="str">
        <f>IFERROR(IF(DATA[[#This Row],[Care Assistant 4: Numbers employed (Full Time Equivalent)]]=0,"",DATA[[#This Row],[Care Assistant 4: Previous 2020/21 Minimum hourly pay rate ADJUSTED 2]]*DATA[[#This Row],[Care Assistant 4: Numbers employed (Full Time Equivalent)]]),"")</f>
        <v/>
      </c>
      <c r="QC58" s="30" t="str">
        <f>IFERROR(IF(DATA[[#This Row],[Care Assistant 4: Numbers employed (Full Time Equivalent)]]=0,"",DATA[[#This Row],[Care Assistant 4: Previous 2020/21 Maximum hourly pay rate ADJUSTED 2]]*DATA[[#This Row],[Care Assistant 4: Numbers employed (Full Time Equivalent)]]),"")</f>
        <v/>
      </c>
      <c r="QD58" s="30" t="str">
        <f>IFERROR(IF(DATA[[#This Row],[Administrative Officer 1: Numbers employed (Full Time Equivalent)]]=0,"",DATA[[#This Row],[Administrative Officer 1: Current 2021/22 Minimum hourly pay rate ADJUSTED 2]]*DATA[[#This Row],[Administrative Officer 1: Numbers employed (Full Time Equivalent)]]),"")</f>
        <v/>
      </c>
      <c r="QE58" s="30" t="str">
        <f>IFERROR(IF(DATA[[#This Row],[Administrative Officer 1: Numbers employed (Full Time Equivalent)]]=0,"",DATA[[#This Row],[Administrative Officer 1: Current 2021/22 Maximum hourly pay rate ADJUSTED 2]]*DATA[[#This Row],[Administrative Officer 1: Numbers employed (Full Time Equivalent)]]),"")</f>
        <v/>
      </c>
      <c r="QF58" s="30" t="str">
        <f>IFERROR(IF(DATA[[#This Row],[Administrative Officer 1: Numbers employed (Full Time Equivalent)]]=0,"",DATA[[#This Row],[Administrative Officer 1: Previous 2020/21 Minimum hourly pay rate ADJUSTED 2]]*DATA[[#This Row],[Administrative Officer 1: Numbers employed (Full Time Equivalent)]]),"")</f>
        <v/>
      </c>
      <c r="QG58" s="30" t="str">
        <f>IFERROR(IF(DATA[[#This Row],[Administrative Officer 1: Numbers employed (Full Time Equivalent)]]=0,"",DATA[[#This Row],[Administrative Officer 1: Previous 2020/21 Maximum hourly pay rate ADJUSTED 2]]*DATA[[#This Row],[Administrative Officer 1: Numbers employed (Full Time Equivalent)]]),"")</f>
        <v/>
      </c>
      <c r="QH58" s="30" t="str">
        <f>IFERROR(IF(DATA[[#This Row],[Administrative Officer 2: Numbers employed (Full Time Equivalent)]]=0,"",DATA[[#This Row],[Administrative Officer 2: Current 2021/22 Minimum hourly pay rate ADJUSTED 2]]*DATA[[#This Row],[Administrative Officer 2: Numbers employed (Full Time Equivalent)]]),"")</f>
        <v/>
      </c>
      <c r="QI58" s="30" t="str">
        <f>IFERROR(IF(DATA[[#This Row],[Administrative Officer 2: Numbers employed (Full Time Equivalent)]]=0,"",DATA[[#This Row],[Administrative Officer 2: Current 2021/22 Maximum hourly pay rate ADJUSTED 2]]*DATA[[#This Row],[Administrative Officer 2: Numbers employed (Full Time Equivalent)]]),"")</f>
        <v/>
      </c>
      <c r="QJ58" s="30" t="str">
        <f>IFERROR(IF(DATA[[#This Row],[Administrative Officer 2: Numbers employed (Full Time Equivalent)]]=0,"",DATA[[#This Row],[Administrative Officer 2: Previous 2020/21 Minimum hourly pay rate ADJUSTED 2]]*DATA[[#This Row],[Administrative Officer 2: Numbers employed (Full Time Equivalent)]]),"")</f>
        <v/>
      </c>
      <c r="QK58" s="30" t="str">
        <f>IFERROR(IF(DATA[[#This Row],[Administrative Officer 2: Numbers employed (Full Time Equivalent)]]=0,"",DATA[[#This Row],[Administrative Officer 2: Previous 2020/21 Maximum hourly pay rate ADJUSTED 2]]*DATA[[#This Row],[Administrative Officer 2: Numbers employed (Full Time Equivalent)]]),"")</f>
        <v/>
      </c>
      <c r="QL58" s="30" t="str">
        <f>IFERROR(IF(DATA[[#This Row],[Administrative Officer 3: Numbers employed (Full Time Equivalent)]]=0,"",DATA[[#This Row],[Administrative Officer 3: Current 2021/22 Minimum hourly pay rate ADJUSTED 2]]*DATA[[#This Row],[Administrative Officer 3: Numbers employed (Full Time Equivalent)]]),"")</f>
        <v/>
      </c>
      <c r="QM58" s="30" t="str">
        <f>IFERROR(IF(DATA[[#This Row],[Administrative Officer 3: Numbers employed (Full Time Equivalent)]]=0,"",DATA[[#This Row],[Administrative Officer 3: Current 2021/22 Maximum hourly pay rate ADJUSTED 2]]*DATA[[#This Row],[Administrative Officer 3: Numbers employed (Full Time Equivalent)]]),"")</f>
        <v/>
      </c>
      <c r="QN58" s="30" t="str">
        <f>IFERROR(IF(DATA[[#This Row],[Administrative Officer 3: Numbers employed (Full Time Equivalent)]]=0,"",DATA[[#This Row],[Administrative Officer 3: Previous 2020/21 Minimum hourly pay rate ADJUSTED 2]]*DATA[[#This Row],[Administrative Officer 3: Numbers employed (Full Time Equivalent)]]),"")</f>
        <v/>
      </c>
      <c r="QO58" s="30" t="str">
        <f>IFERROR(IF(DATA[[#This Row],[Administrative Officer 3: Numbers employed (Full Time Equivalent)]]=0,"",DATA[[#This Row],[Administrative Officer 3: Previous 2020/21 Maximum hourly pay rate ADJUSTED 2]]*DATA[[#This Row],[Administrative Officer 3: Numbers employed (Full Time Equivalent)]]),"")</f>
        <v/>
      </c>
      <c r="QP58" s="28" t="str">
        <f>IFERROR(IF(DATA[[#This Row],[Other staff 1: Numbers employed (Full Time Equivalent)]]=0,"",DATA[[#This Row],[Other staff 1: Current 2021/22 Minimum hourly pay rate ADJUSTED 2]]*DATA[[#This Row],[Other staff 1: Numbers employed (Full Time Equivalent)]]),"")</f>
        <v/>
      </c>
      <c r="QQ58" s="28" t="str">
        <f>IFERROR(IF(DATA[[#This Row],[Other staff 1: Numbers employed (Full Time Equivalent)]]=0,"",DATA[[#This Row],[Other staff 1: Current 2021/22 Maximum hourly pay rate ADJUSTED 2]]*DATA[[#This Row],[Other staff 1: Numbers employed (Full Time Equivalent)]]),"")</f>
        <v/>
      </c>
      <c r="QR58" s="28" t="str">
        <f>IFERROR(IF(DATA[[#This Row],[Other staff 1: Numbers employed (Full Time Equivalent)]]=0,"",DATA[[#This Row],[Other staff 1: Previous 2020/21 Minimum hourly pay rate ADJUSTED 2]]*DATA[[#This Row],[Other staff 1: Numbers employed (Full Time Equivalent)]]),"")</f>
        <v/>
      </c>
      <c r="QS58" s="28" t="str">
        <f>IFERROR(IF(DATA[[#This Row],[Other staff 1: Numbers employed (Full Time Equivalent)]]=0,"",DATA[[#This Row],[Other staff 1: Previous 2020/21 Maximum hourly pay rate ADJUSTED 2]]*DATA[[#This Row],[Other staff 1: Numbers employed (Full Time Equivalent)]]),"")</f>
        <v/>
      </c>
      <c r="QT58" s="28" t="str">
        <f>IFERROR(IF(DATA[[#This Row],[Other staff 2: Numbers employed (Full Time Equivalent)]]=0,"",DATA[[#This Row],[Other staff 2: Current 2021/22 Minimum hourly pay rate ADJUSTED 2]]*DATA[[#This Row],[Other staff 2: Numbers employed (Full Time Equivalent)]]),"")</f>
        <v/>
      </c>
      <c r="QU58" s="28" t="str">
        <f>IFERROR(IF(DATA[[#This Row],[Other staff 2: Numbers employed (Full Time Equivalent)]]=0,"",DATA[[#This Row],[Other staff 2: Current 2021/22 Maximum hourly pay rate ADJUSTED 2]]*DATA[[#This Row],[Other staff 2: Numbers employed (Full Time Equivalent)]]),"")</f>
        <v/>
      </c>
      <c r="QV58" s="28" t="str">
        <f>IFERROR(IF(DATA[[#This Row],[Other staff 2: Numbers employed (Full Time Equivalent)]]=0,"",DATA[[#This Row],[Other staff 2: Previous 2020/21 Minimum hourly pay rate ADJUSTED 2]]*DATA[[#This Row],[Other staff 2: Numbers employed (Full Time Equivalent)]]),"")</f>
        <v/>
      </c>
      <c r="QW58" s="28" t="str">
        <f>IFERROR(IF(DATA[[#This Row],[Other staff 2: Numbers employed (Full Time Equivalent)]]=0,"",DATA[[#This Row],[Other staff 2: Previous 2020/21 Maximum hourly pay rate ADJUSTED 2]]*DATA[[#This Row],[Other staff 2: Numbers employed (Full Time Equivalent)]]),"")</f>
        <v/>
      </c>
      <c r="QX58" s="28" t="str">
        <f>IFERROR(IF(DATA[[#This Row],[Other staff 3: Numbers employed (Full Time Equivalent)]]=0,"",DATA[[#This Row],[Other staff 3: Current 2021/22 Minimum hourly pay rate ADJUSTED 2]]*DATA[[#This Row],[Other staff 3: Numbers employed (Full Time Equivalent)]]),"")</f>
        <v/>
      </c>
      <c r="QY58" s="28" t="str">
        <f>IFERROR(IF(DATA[[#This Row],[Other staff 3: Numbers employed (Full Time Equivalent)]]=0,"",DATA[[#This Row],[Other staff 3: Current 2021/22 Maximum hourly pay rate ADJUSTED 2]]*DATA[[#This Row],[Other staff 3: Numbers employed (Full Time Equivalent)]]),"")</f>
        <v/>
      </c>
      <c r="QZ58" s="28" t="str">
        <f>IFERROR(IF(DATA[[#This Row],[Other staff 3: Numbers employed (Full Time Equivalent)]]=0,"",DATA[[#This Row],[Other staff 3: Previous 2020/21 Minimum hourly pay rate ADJUSTED 2]]*DATA[[#This Row],[Other staff 3: Numbers employed (Full Time Equivalent)]]),"")</f>
        <v/>
      </c>
      <c r="RA58" s="28" t="str">
        <f>IFERROR(IF(DATA[[#This Row],[Other staff 3: Numbers employed (Full Time Equivalent)]]=0,"",DATA[[#This Row],[Other staff 3: Previous 2020/21 Maximum hourly pay rate ADJUSTED 2]]*DATA[[#This Row],[Other staff 3: Numbers employed (Full Time Equivalent)]]),"")</f>
        <v/>
      </c>
      <c r="RB58"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0.1</v>
      </c>
      <c r="RC58"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58"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0.5</v>
      </c>
      <c r="RE58"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58"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58"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0.5</v>
      </c>
      <c r="RH58"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4.8</v>
      </c>
      <c r="RI58"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58"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8"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58"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58"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58"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58"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58"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59" spans="7:484" x14ac:dyDescent="0.25">
      <c r="G59" s="2">
        <v>53</v>
      </c>
      <c r="H59" s="2">
        <v>15</v>
      </c>
      <c r="I59" s="2">
        <v>0</v>
      </c>
      <c r="J59" s="2">
        <v>0.8</v>
      </c>
      <c r="K59" s="2">
        <v>0</v>
      </c>
      <c r="L59" s="2" t="s">
        <v>328</v>
      </c>
      <c r="M59" s="2" t="s">
        <v>365</v>
      </c>
      <c r="R59" s="2">
        <v>18</v>
      </c>
      <c r="S59" s="2">
        <v>18</v>
      </c>
      <c r="T59" s="2">
        <v>18</v>
      </c>
      <c r="U59" s="2">
        <v>18</v>
      </c>
      <c r="V59" s="2">
        <v>1</v>
      </c>
      <c r="W59" s="2">
        <v>25</v>
      </c>
      <c r="X59" s="2">
        <v>25</v>
      </c>
      <c r="Y59" s="2">
        <v>25</v>
      </c>
      <c r="Z59" s="2">
        <v>25</v>
      </c>
      <c r="AA59" s="2">
        <v>1</v>
      </c>
      <c r="AB59" s="2" t="s">
        <v>546</v>
      </c>
      <c r="AC59" s="2">
        <v>30</v>
      </c>
      <c r="AD59" s="2">
        <v>30</v>
      </c>
      <c r="AE59" s="2">
        <v>30</v>
      </c>
      <c r="AF59" s="2">
        <v>30</v>
      </c>
      <c r="AG59" s="2">
        <v>1</v>
      </c>
      <c r="AH59" s="2" t="s">
        <v>315</v>
      </c>
      <c r="AI59" s="2">
        <v>0</v>
      </c>
      <c r="AJ59" s="2">
        <v>0</v>
      </c>
      <c r="AK59" s="2">
        <v>0</v>
      </c>
      <c r="AL59" s="2">
        <v>0</v>
      </c>
      <c r="AM59" s="2">
        <v>0</v>
      </c>
      <c r="AN59" s="2" t="s">
        <v>315</v>
      </c>
      <c r="AO59" s="2">
        <v>0</v>
      </c>
      <c r="AP59" s="2">
        <v>0</v>
      </c>
      <c r="AQ59" s="2">
        <v>0</v>
      </c>
      <c r="AR59" s="2">
        <v>0</v>
      </c>
      <c r="AS59" s="2">
        <v>0</v>
      </c>
      <c r="AT59" s="2" t="s">
        <v>316</v>
      </c>
      <c r="AU59" s="2">
        <v>9</v>
      </c>
      <c r="AV59" s="2">
        <v>9</v>
      </c>
      <c r="AW59" s="2">
        <v>9</v>
      </c>
      <c r="AX59" s="2">
        <v>9</v>
      </c>
      <c r="AY59" s="2">
        <v>38</v>
      </c>
      <c r="AZ59" s="2" t="s">
        <v>349</v>
      </c>
      <c r="BA59" s="2">
        <v>10.5</v>
      </c>
      <c r="BB59" s="2">
        <v>10.5</v>
      </c>
      <c r="BC59" s="2">
        <v>10.5</v>
      </c>
      <c r="BD59" s="2">
        <v>10.5</v>
      </c>
      <c r="BE59" s="2">
        <v>10</v>
      </c>
      <c r="BF59" s="2" t="s">
        <v>316</v>
      </c>
      <c r="BG59" s="2">
        <v>0</v>
      </c>
      <c r="BH59" s="2">
        <v>0</v>
      </c>
      <c r="BI59" s="2">
        <v>0</v>
      </c>
      <c r="BJ59" s="2">
        <v>0</v>
      </c>
      <c r="BK59" s="2">
        <v>0</v>
      </c>
      <c r="BL59" s="2" t="s">
        <v>316</v>
      </c>
      <c r="BM59" s="2">
        <v>0</v>
      </c>
      <c r="BN59" s="2">
        <v>0</v>
      </c>
      <c r="BO59" s="2">
        <v>0</v>
      </c>
      <c r="BP59" s="2">
        <v>0</v>
      </c>
      <c r="BQ59" s="2">
        <v>0</v>
      </c>
      <c r="BR59" s="2" t="s">
        <v>317</v>
      </c>
      <c r="BS59" s="2">
        <v>12</v>
      </c>
      <c r="BT59" s="2">
        <v>12</v>
      </c>
      <c r="BU59" s="2">
        <v>12</v>
      </c>
      <c r="BV59" s="2">
        <v>12</v>
      </c>
      <c r="BW59" s="2">
        <v>2</v>
      </c>
      <c r="BX59" s="2" t="s">
        <v>317</v>
      </c>
      <c r="BY59" s="2">
        <v>0</v>
      </c>
      <c r="BZ59" s="2">
        <v>0</v>
      </c>
      <c r="CA59" s="2">
        <v>0</v>
      </c>
      <c r="CB59" s="2">
        <v>0</v>
      </c>
      <c r="CC59" s="2">
        <v>0</v>
      </c>
      <c r="CD59" s="2" t="s">
        <v>317</v>
      </c>
      <c r="CE59" s="2">
        <v>0</v>
      </c>
      <c r="CF59" s="2">
        <v>0</v>
      </c>
      <c r="CG59" s="2">
        <v>0</v>
      </c>
      <c r="CH59" s="2">
        <v>0</v>
      </c>
      <c r="CI59" s="2">
        <v>0</v>
      </c>
      <c r="CJ59" s="2" t="s">
        <v>318</v>
      </c>
      <c r="CK59" s="2">
        <v>0</v>
      </c>
      <c r="CL59" s="2">
        <v>0</v>
      </c>
      <c r="CM59" s="2">
        <v>0</v>
      </c>
      <c r="CN59" s="2">
        <v>0</v>
      </c>
      <c r="CO59" s="2">
        <v>0</v>
      </c>
      <c r="CP59" s="2" t="s">
        <v>318</v>
      </c>
      <c r="CQ59" s="2">
        <v>0</v>
      </c>
      <c r="CR59" s="2">
        <v>0</v>
      </c>
      <c r="CS59" s="2">
        <v>0</v>
      </c>
      <c r="CT59" s="2">
        <v>0</v>
      </c>
      <c r="CU59" s="2">
        <v>0</v>
      </c>
      <c r="CV59" s="2" t="s">
        <v>318</v>
      </c>
      <c r="CW59" s="2">
        <v>0</v>
      </c>
      <c r="CX59" s="2">
        <v>0</v>
      </c>
      <c r="CY59" s="2">
        <v>0</v>
      </c>
      <c r="CZ59" s="2">
        <v>0</v>
      </c>
      <c r="DA59" s="2">
        <v>0</v>
      </c>
      <c r="DB59" s="2">
        <v>0.03</v>
      </c>
      <c r="DC59" s="2">
        <v>0</v>
      </c>
      <c r="DD59" s="2">
        <v>220</v>
      </c>
      <c r="DE59" s="2">
        <v>345</v>
      </c>
      <c r="DF59" s="2">
        <v>0</v>
      </c>
      <c r="DG59" s="2">
        <v>105</v>
      </c>
      <c r="DH59" s="2">
        <v>0</v>
      </c>
      <c r="DI59" s="2">
        <v>0</v>
      </c>
      <c r="DJ59" s="2">
        <v>0</v>
      </c>
      <c r="DK59" s="2">
        <v>0</v>
      </c>
      <c r="DL59" s="2">
        <v>0</v>
      </c>
      <c r="DM59" s="2">
        <v>0</v>
      </c>
      <c r="DN59" s="2">
        <v>0</v>
      </c>
      <c r="DO59" s="2">
        <v>16</v>
      </c>
      <c r="DP59" s="2">
        <v>0</v>
      </c>
      <c r="DQ59" s="2">
        <v>16</v>
      </c>
      <c r="DR59" s="18">
        <v>43647</v>
      </c>
      <c r="DS59" s="18">
        <v>44012</v>
      </c>
      <c r="DT59" s="2">
        <v>34840</v>
      </c>
      <c r="DU59" s="2"/>
      <c r="DV59" s="2">
        <v>459611</v>
      </c>
      <c r="DW59" s="2">
        <v>0</v>
      </c>
      <c r="DX59" s="2">
        <v>0</v>
      </c>
      <c r="DY59" s="2">
        <v>0</v>
      </c>
      <c r="DZ59" s="2">
        <v>0</v>
      </c>
      <c r="EA59" s="2">
        <v>27055</v>
      </c>
      <c r="EB59" s="2">
        <v>0</v>
      </c>
      <c r="EC59" s="2"/>
      <c r="ED59" s="2">
        <v>5000</v>
      </c>
      <c r="EE59" s="2">
        <v>2024</v>
      </c>
      <c r="EF59" s="2">
        <v>0</v>
      </c>
      <c r="EG59" s="2">
        <v>1404</v>
      </c>
      <c r="EH59" s="2" t="s">
        <v>292</v>
      </c>
      <c r="EI59" s="2">
        <v>10775</v>
      </c>
      <c r="EJ59" s="2" t="s">
        <v>324</v>
      </c>
      <c r="EK59" s="2">
        <v>0</v>
      </c>
      <c r="EL59" s="2"/>
      <c r="EM59" s="2">
        <v>1644</v>
      </c>
      <c r="EN59" s="2">
        <v>5359</v>
      </c>
      <c r="EO59" s="2">
        <v>2250</v>
      </c>
      <c r="EP59" s="2">
        <v>15276</v>
      </c>
      <c r="EQ59" s="2">
        <v>864</v>
      </c>
      <c r="ER59" s="2">
        <v>4273</v>
      </c>
      <c r="ES59" s="2">
        <v>0</v>
      </c>
      <c r="ET59" s="2" t="s">
        <v>300</v>
      </c>
      <c r="EU59" s="2">
        <v>0</v>
      </c>
      <c r="EV59" s="2" t="s">
        <v>324</v>
      </c>
      <c r="EW59" s="2">
        <v>0</v>
      </c>
      <c r="EX59" s="2"/>
      <c r="EY59" s="2">
        <v>0</v>
      </c>
      <c r="EZ59" s="2" t="s">
        <v>104</v>
      </c>
      <c r="FA59" s="2">
        <v>18600</v>
      </c>
      <c r="FB59" s="2" t="s">
        <v>326</v>
      </c>
      <c r="FC59" s="2">
        <v>0</v>
      </c>
      <c r="FD59" s="2"/>
      <c r="FE59" s="2">
        <v>130313</v>
      </c>
      <c r="FF59" s="2"/>
      <c r="FG59" s="2"/>
      <c r="FH59" s="19">
        <v>44480.627025462964</v>
      </c>
      <c r="FI59" s="2" t="s">
        <v>345</v>
      </c>
      <c r="FJ59" s="2">
        <f>SUM(DATA[[#This Row],[Number of Home support clients:]],DATA[[#This Row],[Number of supported living clients:]])</f>
        <v>15</v>
      </c>
      <c r="FK59"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59"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18</v>
      </c>
      <c r="FM59"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18</v>
      </c>
      <c r="FN59"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18</v>
      </c>
      <c r="FO59"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18</v>
      </c>
      <c r="FP59"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25</v>
      </c>
      <c r="FQ59"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25</v>
      </c>
      <c r="FR59"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25</v>
      </c>
      <c r="FS59"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25</v>
      </c>
      <c r="FT59"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30</v>
      </c>
      <c r="FU59"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30</v>
      </c>
      <c r="FV59"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30</v>
      </c>
      <c r="FW59"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30</v>
      </c>
      <c r="FX59"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59"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59"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59"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59"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59"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59"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59"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59"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v>
      </c>
      <c r="GG59"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v>
      </c>
      <c r="GH59"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v>
      </c>
      <c r="GI59"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v>
      </c>
      <c r="GJ59"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10.5</v>
      </c>
      <c r="GK59"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10.5</v>
      </c>
      <c r="GL59"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10.5</v>
      </c>
      <c r="GM59"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10.5</v>
      </c>
      <c r="GN59"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59"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59"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59"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59"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59"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59"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59"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59"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12</v>
      </c>
      <c r="GW59"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12</v>
      </c>
      <c r="GX59"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12</v>
      </c>
      <c r="GY59"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12</v>
      </c>
      <c r="GZ59"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59"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59"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59"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59"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59"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59"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59"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59"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59"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59"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59"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59"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59"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59"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59"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59"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59"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59"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59"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59"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18</v>
      </c>
      <c r="HU59"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18</v>
      </c>
      <c r="HV59"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18</v>
      </c>
      <c r="HW59"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18</v>
      </c>
      <c r="HX59"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25</v>
      </c>
      <c r="HY59"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25</v>
      </c>
      <c r="HZ59"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25</v>
      </c>
      <c r="IA59"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25</v>
      </c>
      <c r="IB59"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30</v>
      </c>
      <c r="IC59"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30</v>
      </c>
      <c r="ID59"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30</v>
      </c>
      <c r="IE59"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30</v>
      </c>
      <c r="IF59"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59"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59"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59"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59"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59"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59"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59"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59"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v>
      </c>
      <c r="IO59"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v>
      </c>
      <c r="IP59"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v>
      </c>
      <c r="IQ59"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v>
      </c>
      <c r="IR59"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10.5</v>
      </c>
      <c r="IS59"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10.5</v>
      </c>
      <c r="IT59"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10.5</v>
      </c>
      <c r="IU59"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10.5</v>
      </c>
      <c r="IV59"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59"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59"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59"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59"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59"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59"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59"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59"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12</v>
      </c>
      <c r="JE59"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12</v>
      </c>
      <c r="JF59"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12</v>
      </c>
      <c r="JG59"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12</v>
      </c>
      <c r="JH59"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59"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59"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59"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59"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59"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59"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59"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59"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59"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59"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59"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59"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59"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59"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59"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59"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59"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59"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59"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59"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59" s="21">
        <f>SUM(DATA[[#This Row],[Care Assistant 1: Numbers employed (Full Time Equivalent)]],DATA[[#This Row],[Care Assistant 2: Numbers employed (Full Time Equivalent)]],DATA[[#This Row],[Care Assistant 3: Numbers employed (Full Time Equivalent)]],DATA[[#This Row],[Care Assistant 4: Numbers employed (Full Time Equivalent)]])</f>
        <v>48</v>
      </c>
      <c r="KD59" s="21">
        <f>SUM(DATA[[#This Row],[Administrative Officer 1: Numbers employed (Full Time Equivalent)]],DATA[[#This Row],[Administrative Officer 2: Numbers employed (Full Time Equivalent)]])</f>
        <v>2</v>
      </c>
      <c r="KE59" s="21">
        <f>SUM(DATA[[#This Row],[Other staff 1: Numbers employed (Full Time Equivalent)]],DATA[[#This Row],[Other staff 2: Numbers employed (Full Time Equivalent)]],DATA[[#This Row],[Other staff 3: Numbers employed (Full Time Equivalent)]])</f>
        <v>0</v>
      </c>
      <c r="KF59" s="21">
        <f>SUM(DATA[[#This Row],[Total FTE Management Employees]:[Total FTE Other Employees]])</f>
        <v>53</v>
      </c>
      <c r="KG59" s="21" t="str">
        <f>IF(SUM(DATA[[#This Row],[Home Support service split percentage (Expenditure):]],DATA[[#This Row],[Supported Living service split percentage (Expenditure):]])&gt;0, IF(DATA[[#This Row],[Home Support service split percentage (Expenditure):]]&gt;0.5,"Home Support","Supported Living"), "Unknown")</f>
        <v>Home Support</v>
      </c>
      <c r="KH59" s="21">
        <f>SUM(DATA[[#This Row],[Home Support: Birmingham City Council]:[Home Support: Self-funded]])</f>
        <v>670</v>
      </c>
      <c r="KI59" s="21">
        <f>SUM(DATA[[#This Row],[Supported Living: Birmingham City Council]:[Supported Living: Self-funded]])</f>
        <v>0</v>
      </c>
      <c r="KJ59"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59"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59"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59"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59" s="21" t="b">
        <f>SUM(DATA[[#This Row],[Number of hours of care charged for in last full accounting year]:[Corporate Overheads: Other  - please specify (category) 1]])&gt;0</f>
        <v>1</v>
      </c>
      <c r="KO59" s="21">
        <f>SUM(DATA[[#This Row],[Total annual expenditure: Management staff]:[Total annual expenditure: Training and development]])</f>
        <v>486666</v>
      </c>
      <c r="KP59" s="21">
        <f>SUM(DATA[[#This Row],[Recruitment &amp; advertising (including DBS checks)]:[Non-Staffing Direct Cost: Other  - please specify (amount) 2]])</f>
        <v>19203</v>
      </c>
      <c r="KQ59" s="21">
        <f>SUM(DATA[[#This Row],[Insurance ]:[Indirect costs: Other 2 - please specify (amount)]])</f>
        <v>29666</v>
      </c>
      <c r="KR59" s="21">
        <f>SUM(DATA[[#This Row],[Central / Regional Management]],DATA[[#This Row],[Support Services (finance / HR / Payroll / legal etc.)]],DATA[[#This Row],[Corporate Overheads: Other  - please specify (amount) 1]],DATA[[#This Row],[Corporate Overheads: Other  - please specify (amount) 2]])</f>
        <v>18600</v>
      </c>
      <c r="KS59"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59"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13.192049368541905</v>
      </c>
      <c r="KU59"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59"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59"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59"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59" s="30">
        <f>IF(OR(NOT(DATA[[#This Row],[Total annual expenditure: Travel Time]]&gt;0),NOT(DATA[[#This Row],[Number of hours of care charged for in last full accounting year]]&gt;0)),0,DATA[[#This Row],[Total annual expenditure: Travel Time]]/DATA[[#This Row],[Number of hours of care charged for in last full accounting year]])</f>
        <v>0.77654994259471877</v>
      </c>
      <c r="KZ59"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59"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59"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0.14351320321469574</v>
      </c>
      <c r="LC59" s="30">
        <f>IF(OR(NOT(DATA[[#This Row],[Care consumables &amp; uniforms]]&gt;0),NOT(DATA[[#This Row],[Number of hours of care charged for in last full accounting year]]&gt;0)),0,DATA[[#This Row],[Care consumables &amp; uniforms]]/DATA[[#This Row],[Number of hours of care charged for in last full accounting year]])</f>
        <v>5.8094144661308841E-2</v>
      </c>
      <c r="LD59" s="30">
        <f>IF(OR(NOT(DATA[[#This Row],[Electronic call monitoring]]&gt;0),NOT(DATA[[#This Row],[Number of hours of care charged for in last full accounting year]]&gt;0)),0,DATA[[#This Row],[Electronic call monitoring]]/DATA[[#This Row],[Number of hours of care charged for in last full accounting year]])</f>
        <v>0</v>
      </c>
      <c r="LE59" s="30">
        <f>IF(OR(NOT(DATA[[#This Row],[IT Equipment &amp; Telephoney]]&gt;0),NOT(DATA[[#This Row],[Number of hours of care charged for in last full accounting year]]&gt;0)),0,DATA[[#This Row],[IT Equipment &amp; Telephoney]]/DATA[[#This Row],[Number of hours of care charged for in last full accounting year]])</f>
        <v>4.0298507462686567E-2</v>
      </c>
      <c r="LF59"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0.30927095292766932</v>
      </c>
      <c r="LG59"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59" s="30">
        <f>IF(OR(NOT(DATA[[#This Row],[Insurance ]]&gt;0),NOT(DATA[[#This Row],[Number of hours of care charged for in last full accounting year]]&gt;0)),0,DATA[[#This Row],[Insurance ]]/DATA[[#This Row],[Number of hours of care charged for in last full accounting year]])</f>
        <v>0</v>
      </c>
      <c r="LI59"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4.7187141216991961E-2</v>
      </c>
      <c r="LJ59" s="30">
        <f>IF(OR(NOT(DATA[[#This Row],[Repairs and maintenance]]&gt;0),NOT(DATA[[#This Row],[Number of hours of care charged for in last full accounting year]]&gt;0)),0,DATA[[#This Row],[Repairs and maintenance]]/DATA[[#This Row],[Number of hours of care charged for in last full accounting year]])</f>
        <v>0.15381745120551091</v>
      </c>
      <c r="LK59"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6.4580941446613083E-2</v>
      </c>
      <c r="LL59" s="30">
        <f>IF(OR(NOT(DATA[[#This Row],[Registration &amp; Inspection fees ]]&gt;0),NOT(DATA[[#This Row],[Number of hours of care charged for in last full accounting year]]&gt;0)),0,DATA[[#This Row],[Registration &amp; Inspection fees ]]/DATA[[#This Row],[Number of hours of care charged for in last full accounting year]])</f>
        <v>0.43846153846153846</v>
      </c>
      <c r="LM59" s="30">
        <f>IF(OR(NOT(DATA[[#This Row],[Subscriptions]]&gt;0),NOT(DATA[[#This Row],[Number of hours of care charged for in last full accounting year]]&gt;0)),0,DATA[[#This Row],[Subscriptions]]/DATA[[#This Row],[Number of hours of care charged for in last full accounting year]])</f>
        <v>2.4799081515499425E-2</v>
      </c>
      <c r="LN59" s="30">
        <f>IF(OR(NOT(DATA[[#This Row],[Cost of finance]]&gt;0),NOT(DATA[[#This Row],[Number of hours of care charged for in last full accounting year]]&gt;0)),0,DATA[[#This Row],[Cost of finance]]/DATA[[#This Row],[Number of hours of care charged for in last full accounting year]])</f>
        <v>0.12264638346727899</v>
      </c>
      <c r="LO59" s="30">
        <f>IF(OR(NOT(DATA[[#This Row],[Other non-staff current expenses]]&gt;0),NOT(DATA[[#This Row],[Number of hours of care charged for in last full accounting year]]&gt;0)),0,DATA[[#This Row],[Other non-staff current expenses]]/DATA[[#This Row],[Number of hours of care charged for in last full accounting year]])</f>
        <v>0</v>
      </c>
      <c r="LP59"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59"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59" s="30">
        <f>IF(OR(NOT(DATA[[#This Row],[Central / Regional Management]]&gt;0),NOT(DATA[[#This Row],[Number of hours of care charged for in last full accounting year]]&gt;0)),0,DATA[[#This Row],[Central / Regional Management]]/DATA[[#This Row],[Number of hours of care charged for in last full accounting year]])</f>
        <v>0</v>
      </c>
      <c r="LS59"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59"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0.53386911595866815</v>
      </c>
      <c r="LU59"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59" s="30">
        <f>SUM(DATA[[#This Row],[Management staff HOURLY RATE]:[Corporate Overheads: Other  - please specify (amount) 2 HOURLY RATE]])</f>
        <v>15.905137772675083</v>
      </c>
      <c r="LW59" s="30" t="str">
        <f>IF(OR(NOT(DATA[[#This Row],[Net Operating Profit]]&gt;0),NOT(DATA[[#This Row],[Number of hours of care charged for in last full accounting year]]&gt;0)),"",DATA[[#This Row],[Net Operating Profit]]/DATA[[#This Row],[Number of hours of care charged for in last full accounting year]])</f>
        <v/>
      </c>
      <c r="LX59" s="30">
        <f>IF(OR(NOT(DATA[[#This Row],[Return on Capital employed]]&gt;0),NOT(DATA[[#This Row],[Number of hours of care charged for in last full accounting year]]&gt;0)),0,DATA[[#This Row],[Return on Capital employed]]/DATA[[#This Row],[Number of hours of care charged for in last full accounting year]])</f>
        <v>3.7403272101033296</v>
      </c>
      <c r="LY59" s="31">
        <v>53</v>
      </c>
      <c r="LZ59" s="30" t="s">
        <v>345</v>
      </c>
      <c r="MA59" s="30" t="b">
        <f>DATA[[#This Row],[Number of Home support clients:]]&gt;0</f>
        <v>1</v>
      </c>
      <c r="MB59" s="30" t="b">
        <f>DATA[[#This Row],[Number of supported living clients:]]&gt;0</f>
        <v>0</v>
      </c>
      <c r="MC59" s="30" t="b">
        <f>DATA[[#This Row],[Total Home Support Hours]]&gt;0</f>
        <v>1</v>
      </c>
      <c r="MD59" s="30" t="b">
        <f>DATA[[#This Row],[Total Supported Living Hours]]&gt;0</f>
        <v>0</v>
      </c>
      <c r="ME59" s="30" t="b">
        <f>DATA[[#This Row],[Home Support service split percentage (Expenditure):]]&gt;0.5</f>
        <v>1</v>
      </c>
      <c r="MF59" s="30" t="b">
        <f>DATA[[#This Row],[Agency staff HOURLY RATE]]=0</f>
        <v>1</v>
      </c>
      <c r="MG59" s="30">
        <f>IFERROR(IF(AVERAGE(DATA[[#This Row],[Registered manager: Current 2021/22 Minimum hourly pay rate ADJUSTED]],DATA[[#This Row],[Registered manager: Current 2021/22 Maximum hourly pay rate ADJUSTED]])&lt;LIVING_WAGE_22_23,DATA[[#This Row],[Registered manager: Numbers employed (Full Time Equivalent)]],0),"")</f>
        <v>0</v>
      </c>
      <c r="MH59" s="30">
        <f>IFERROR(IF(AVERAGE(DATA[[#This Row],[Deputy manager: Current 2021/22 Minimum hourly pay rate ADJUSTED]],DATA[[#This Row],[Deputy manager: Current 2021/22 Maximum hourly pay rate ADJUSTED]])&lt;LIVING_WAGE_22_23,DATA[[#This Row],[Deputy manager: Numbers employed (Full Time Equivalent)]],0),"")</f>
        <v>0</v>
      </c>
      <c r="MI59" s="30">
        <f>IFERROR(IF(AVERAGE(DATA[[#This Row],[Other manager 1: Current 2021/22 Minimum hourly pay rate ADJUSTED]],DATA[[#This Row],[Other manager 1: Current 2021/22 Maximum hourly pay rate ADJUSTED]])&lt;LIVING_WAGE_22_23,DATA[[#This Row],[Other manager 1: Numbers employed (Full Time Equivalent)]],0),"")</f>
        <v>0</v>
      </c>
      <c r="MJ59" s="30" t="str">
        <f>IFERROR(IF(AVERAGE(DATA[[#This Row],[Other manager 2: Current 2021/22 Minimum hourly pay rate ADJUSTED]],DATA[[#This Row],[Other manager 2: Current 2021/22 Maximum hourly pay rate ADJUSTED]])&lt;LIVING_WAGE_22_23,DATA[[#This Row],[Other manager 2: Numbers employed (Full Time Equivalent)]],0),"")</f>
        <v/>
      </c>
      <c r="MK59" s="30" t="str">
        <f>IFERROR(IF(AVERAGE(DATA[[#This Row],[Other manager 3: Current 2021/22 Minimum hourly pay rate ADJUSTED]],DATA[[#This Row],[Other manager 3: Current 2021/22 Maximum hourly pay rate ADJUSTED]])&lt;LIVING_WAGE_22_23,DATA[[#This Row],[Other manager 3: Numbers employed (Full Time Equivalent)]],0),"")</f>
        <v/>
      </c>
      <c r="ML59" s="30">
        <f>IFERROR(IF(AVERAGE(DATA[[#This Row],[Care Assistant 1: Current 2021/22 Minimum hourly pay rate ADJUSTED]],DATA[[#This Row],[Care Assistant 1: Current 2021/22 Maximum hourly pay rate ADJUSTED]])&lt;LIVING_WAGE_22_23,DATA[[#This Row],[Care Assistant 1: Numbers employed (Full Time Equivalent)]],0),"")</f>
        <v>38</v>
      </c>
      <c r="MM59" s="30">
        <f>IFERROR(IF(AVERAGE(DATA[[#This Row],[Care Assistant 2: Current 2021/22 Minimum hourly pay rate ADJUSTED]],DATA[[#This Row],[Care Assistant 2: Current 2021/22 Maximum hourly pay rate ADJUSTED]])&lt;LIVING_WAGE_22_23,DATA[[#This Row],[Care Assistant 2: Numbers employed (Full Time Equivalent)]],0),"")</f>
        <v>0</v>
      </c>
      <c r="MN59" s="30" t="str">
        <f>IFERROR(IF(AVERAGE(DATA[[#This Row],[Care Assistant 3: Current 2021/22 Minimum hourly pay rate ADJUSTED]],DATA[[#This Row],[Care Assistant 3: Current 2021/22 Maximum hourly pay rate ADJUSTED]])&lt;LIVING_WAGE_22_23,DATA[[#This Row],[Care Assistant 3: Numbers employed (Full Time Equivalent)]],0),"")</f>
        <v/>
      </c>
      <c r="MO59" s="30" t="str">
        <f>IFERROR(IF(AVERAGE(DATA[[#This Row],[Care Assistant 4: Current 2021/22 Minimum hourly pay rate ADJUSTED]],DATA[[#This Row],[Care Assistant 4: Current 2021/22 Maximum hourly pay rate ADJUSTED]])&lt;LIVING_WAGE_22_23,DATA[[#This Row],[Care Assistant 4: Numbers employed (Full Time Equivalent)]],0),"")</f>
        <v/>
      </c>
      <c r="MP59"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59"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59" s="30" t="str">
        <f>IFERROR(IF(AVERAGE(DATA[[#This Row],[Other staff 1: Current 2021/22 Minimum hourly pay rate ADJUSTED]],DATA[[#This Row],[Other staff 1: Current 2021/22 Maximum hourly pay rate ADJUSTED]])&lt;LIVING_WAGE_22_23,DATA[[#This Row],[Other staff 1: Numbers employed (Full Time Equivalent)]],0),"")</f>
        <v/>
      </c>
      <c r="MS59" s="30" t="str">
        <f>IFERROR(IF(AVERAGE(DATA[[#This Row],[Other staff 2: Current 2021/22 Minimum hourly pay rate ADJUSTED]],DATA[[#This Row],[Other staff 2: Current 2021/22 Maximum hourly pay rate ADJUSTED]])&lt;LIVING_WAGE_22_23,DATA[[#This Row],[Other staff 2: Numbers employed (Full Time Equivalent)]],0),"")</f>
        <v/>
      </c>
      <c r="MT59" s="30" t="str">
        <f>IFERROR(IF(AVERAGE(DATA[[#This Row],[Other staff 3: Current 2021/22 Minimum hourly pay rate ADJUSTED]],DATA[[#This Row],[Other staff 3: Current 2021/22 Maximum hourly pay rate ADJUSTED]])&lt;LIVING_WAGE_22_23,DATA[[#This Row],[Other staff 3: Numbers employed (Full Time Equivalent)]],0),"")</f>
        <v/>
      </c>
      <c r="MU59" s="30">
        <f>SUM(DATA[[#This Row],[Registered Manager FTE earning less than NLW 23yrs 2022/23]:[Other staff 3 FTE earning less than NLW 23yrs 2022/23]])</f>
        <v>38</v>
      </c>
      <c r="MV59"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59"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59"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59"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59"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59"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19</v>
      </c>
      <c r="NB59"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59"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59"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59"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59"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59"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59"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59"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59" s="30" t="b">
        <v>1</v>
      </c>
      <c r="NK59" s="30" t="b">
        <v>1</v>
      </c>
      <c r="NL59" s="30" t="s">
        <v>505</v>
      </c>
      <c r="NM59" s="30">
        <f>SUM(DATA[[#This Row],[Management staff HOURLY RATE]:[Training and development HOURLY RATE]])</f>
        <v>13.968599311136623</v>
      </c>
      <c r="NN59" s="30">
        <f>SUM(DATA[[#This Row],[Recruitment &amp; advertising (including DBS checks) HOURLY RATE]:[Non-Staffing Direct Cost: Other  - please specify (amount) 2 HOURLY RATE]])</f>
        <v>0.55117680826636051</v>
      </c>
      <c r="NO59" s="30">
        <f>SUM(DATA[[#This Row],[Insurance  HOURLY RATE]:[Indirect costs: Other  - please specify (amount) 2 HOURLY RATE]])</f>
        <v>0.85149253731343288</v>
      </c>
      <c r="NP59" s="30">
        <f>SUM(DATA[[#This Row],[Central / Regional Management HOURLY RATE]:[Corporate Overheads: Other  - please specify (amount) 2 HOURLY RATE]])</f>
        <v>0.53386911595866815</v>
      </c>
      <c r="NQ59"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59" s="30">
        <f>IFERROR(IF(AVERAGE(DATA[[#This Row],[Deputy manager: Current 2021/22 Minimum hourly pay rate ADJUSTED]],DATA[[#This Row],[Deputy manager: Current 2021/22 Maximum hourly pay rate ADJUSTED]])&lt;REAL_LIVING_WAGE_22_23,DATA[[#This Row],[Deputy manager: Numbers employed (Full Time Equivalent)]],0),"")</f>
        <v>0</v>
      </c>
      <c r="NS59" s="30">
        <f>IFERROR(IF(AVERAGE(DATA[[#This Row],[Other manager 1: Current 2021/22 Minimum hourly pay rate ADJUSTED]],DATA[[#This Row],[Other manager 1: Current 2021/22 Maximum hourly pay rate ADJUSTED]])&lt;REAL_LIVING_WAGE_22_23,DATA[[#This Row],[Other manager 1: Numbers employed (Full Time Equivalent)]],0),"")</f>
        <v>0</v>
      </c>
      <c r="NT59" s="30" t="str">
        <f>IFERROR(IF(AVERAGE(DATA[[#This Row],[Other manager 2: Current 2021/22 Minimum hourly pay rate ADJUSTED]],DATA[[#This Row],[Other manager 2: Current 2021/22 Maximum hourly pay rate ADJUSTED]])&lt;REAL_LIVING_WAGE_22_23,DATA[[#This Row],[Other manager 2: Numbers employed (Full Time Equivalent)]],0),"")</f>
        <v/>
      </c>
      <c r="NU59" s="30" t="str">
        <f>IFERROR(IF(AVERAGE(DATA[[#This Row],[Other manager 3: Current 2021/22 Minimum hourly pay rate ADJUSTED]],DATA[[#This Row],[Other manager 3: Current 2021/22 Maximum hourly pay rate ADJUSTED]])&lt;REAL_LIVING_WAGE_22_23,DATA[[#This Row],[Other manager 3: Numbers employed (Full Time Equivalent)]],0),"")</f>
        <v/>
      </c>
      <c r="NV59" s="30">
        <f>IFERROR(IF(AVERAGE(DATA[[#This Row],[Care Assistant 1: Current 2021/22 Minimum hourly pay rate ADJUSTED]],DATA[[#This Row],[Care Assistant 1: Current 2021/22 Maximum hourly pay rate ADJUSTED]])&lt;REAL_LIVING_WAGE_22_23,DATA[[#This Row],[Care Assistant 1: Numbers employed (Full Time Equivalent)]],0),"")</f>
        <v>38</v>
      </c>
      <c r="NW59" s="30">
        <f>IFERROR(IF(AVERAGE(DATA[[#This Row],[Care Assistant 2: Current 2021/22 Minimum hourly pay rate ADJUSTED]],DATA[[#This Row],[Care Assistant 2: Current 2021/22 Maximum hourly pay rate ADJUSTED]])&lt;REAL_LIVING_WAGE_22_23,DATA[[#This Row],[Care Assistant 2: Numbers employed (Full Time Equivalent)]],0),"")</f>
        <v>0</v>
      </c>
      <c r="NX59"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59"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59"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59"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59" s="30" t="str">
        <f>IFERROR(IF(AVERAGE(DATA[[#This Row],[Other staff 1: Current 2021/22 Minimum hourly pay rate ADJUSTED]],DATA[[#This Row],[Other staff 1: Current 2021/22 Maximum hourly pay rate ADJUSTED]])&lt;REAL_LIVING_WAGE_22_23,DATA[[#This Row],[Other staff 1: Numbers employed (Full Time Equivalent)]],0),"")</f>
        <v/>
      </c>
      <c r="OC59" s="30" t="str">
        <f>IFERROR(IF(AVERAGE(DATA[[#This Row],[Other staff 2: Current 2021/22 Minimum hourly pay rate ADJUSTED]],DATA[[#This Row],[Other staff 2: Current 2021/22 Maximum hourly pay rate ADJUSTED]])&lt;REAL_LIVING_WAGE_22_23,DATA[[#This Row],[Other staff 2: Numbers employed (Full Time Equivalent)]],0),"")</f>
        <v/>
      </c>
      <c r="OD59" s="30" t="str">
        <f>IFERROR(IF(AVERAGE(DATA[[#This Row],[Other staff 3: Current 2021/22 Minimum hourly pay rate ADJUSTED]],DATA[[#This Row],[Other staff 3: Current 2021/22 Maximum hourly pay rate ADJUSTED]])&lt;REAL_LIVING_WAGE_22_23,DATA[[#This Row],[Other staff 3: Numbers employed (Full Time Equivalent)]],0),"")</f>
        <v/>
      </c>
      <c r="OE59" s="30">
        <f>SUM(DATA[[#This Row],[Registered Manager FTE earning less than RLW 23yrs 2022/23]:[Other staff 3 FTE earning less than RLW 23yrs 2022/23]])</f>
        <v>38</v>
      </c>
      <c r="OF59"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59"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59"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59"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59"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59"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34.200000000000017</v>
      </c>
      <c r="OL59"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59"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59"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59"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59"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59"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59"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59"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59" s="30">
        <f>IFERROR(IF(DATA[[#This Row],[Registered manager: Numbers employed (Full Time Equivalent)]]=0,"",DATA[[#This Row],[Registered manager: Current 2021/22 Minimum hourly pay rate ADJUSTED 2]]*DATA[[#This Row],[Registered manager: Numbers employed (Full Time Equivalent)]]),"")</f>
        <v>18</v>
      </c>
      <c r="OU59" s="30">
        <f>IFERROR(IF(DATA[[#This Row],[Registered manager: Numbers employed (Full Time Equivalent)]]=0,"",DATA[[#This Row],[Registered manager: Current 2021/22 Maximum hourly pay rate ADJUSTED 2]]*DATA[[#This Row],[Registered manager: Numbers employed (Full Time Equivalent)]]),"")</f>
        <v>18</v>
      </c>
      <c r="OV59" s="30">
        <f>IFERROR(IF(DATA[[#This Row],[Registered manager: Numbers employed (Full Time Equivalent)]]=0,"",DATA[[#This Row],[Registered manager: Previous 2020/21 Minimum hourly pay rate ADJUSTED 2]]*DATA[[#This Row],[Registered manager: Numbers employed (Full Time Equivalent)]]),"")</f>
        <v>18</v>
      </c>
      <c r="OW59" s="30">
        <f>IFERROR(IF(DATA[[#This Row],[Registered manager: Numbers employed (Full Time Equivalent)]]=0,"",DATA[[#This Row],[Registered manager: Previous 2020/21 Maximum hourly pay rate ADJUSTED 2]]*DATA[[#This Row],[Registered manager: Numbers employed (Full Time Equivalent)]]),"")</f>
        <v>18</v>
      </c>
      <c r="OX59" s="30">
        <f>IFERROR(IF(DATA[[#This Row],[Deputy manager: Numbers employed (Full Time Equivalent)]]=0,"",DATA[[#This Row],[Deputy manager: Current 2021/22 Minimum hourly pay rate ADJUSTED 2]]*DATA[[#This Row],[Deputy manager: Numbers employed (Full Time Equivalent)]]),"")</f>
        <v>25</v>
      </c>
      <c r="OY59" s="30">
        <f>IFERROR(IF(DATA[[#This Row],[Deputy manager: Numbers employed (Full Time Equivalent)]]=0,"",DATA[[#This Row],[Deputy manager: Current 2021/22 Maximum hourly pay rate ADJUSTED 2]]*DATA[[#This Row],[Deputy manager: Numbers employed (Full Time Equivalent)]]),"")</f>
        <v>25</v>
      </c>
      <c r="OZ59" s="30">
        <f>IFERROR(IF(DATA[[#This Row],[Deputy manager: Numbers employed (Full Time Equivalent)]]=0,"",DATA[[#This Row],[Deputy manager: Previous 2020/21 Minimum hourly pay rate ADJUSTED 2]]*DATA[[#This Row],[Deputy manager: Numbers employed (Full Time Equivalent)]]),"")</f>
        <v>25</v>
      </c>
      <c r="PA59" s="30">
        <f>IFERROR(IF(DATA[[#This Row],[Deputy manager: Numbers employed (Full Time Equivalent)]]=0,"",DATA[[#This Row],[Deputy manager: Previous 2020/21 Maximum hourly pay rate ADJUSTED 2]]*DATA[[#This Row],[Deputy manager: Numbers employed (Full Time Equivalent)]]),"")</f>
        <v>25</v>
      </c>
      <c r="PB59" s="30">
        <f>IFERROR(IF(DATA[[#This Row],[Other manager 1: Numbers employed (Full Time Equivalent)]]=0,"",DATA[[#This Row],[Other manager 1: Current 2021/22 Minimum hourly pay rate ADJUSTED 2]]*DATA[[#This Row],[Other manager 1: Numbers employed (Full Time Equivalent)]]),"")</f>
        <v>30</v>
      </c>
      <c r="PC59" s="30">
        <f>IFERROR(IF(DATA[[#This Row],[Other manager 1: Numbers employed (Full Time Equivalent)]]=0,"",DATA[[#This Row],[Other manager 1: Current 2021/22 Maximum hourly pay rate ADJUSTED 2]]*DATA[[#This Row],[Other manager 1: Numbers employed (Full Time Equivalent)]]),"")</f>
        <v>30</v>
      </c>
      <c r="PD59" s="30">
        <f>IFERROR(IF(DATA[[#This Row],[Other manager 1: Numbers employed (Full Time Equivalent)]]=0,"",DATA[[#This Row],[Other manager 1: Previous 2020/21 Minimum hourly pay rate ADJUSTED 2]]*DATA[[#This Row],[Other manager 1: Numbers employed (Full Time Equivalent)]]),"")</f>
        <v>30</v>
      </c>
      <c r="PE59" s="30">
        <f>IFERROR(IF(DATA[[#This Row],[Other manager 1: Numbers employed (Full Time Equivalent)]]=0,"",DATA[[#This Row],[Other manager 1: Previous 2020/21 Maximum hourly pay rate ADJUSTED 2]]*DATA[[#This Row],[Other manager 1: Numbers employed (Full Time Equivalent)]]),"")</f>
        <v>30</v>
      </c>
      <c r="PF59" s="30" t="str">
        <f>IFERROR(IF(DATA[[#This Row],[Other manager 2: Numbers employed (Full Time Equivalent)]]=0,"",DATA[[#This Row],[Other manager 2: Current 2021/22 Minimum hourly pay rate ADJUSTED 2]]*DATA[[#This Row],[Other manager 2: Numbers employed (Full Time Equivalent)]]),"")</f>
        <v/>
      </c>
      <c r="PG59" s="30" t="str">
        <f>IFERROR(IF(DATA[[#This Row],[Other manager 2: Numbers employed (Full Time Equivalent)]]=0,"",DATA[[#This Row],[Other manager 2: Current 2021/22 Maximum hourly pay rate ADJUSTED 2]]*DATA[[#This Row],[Other manager 2: Numbers employed (Full Time Equivalent)]]),"")</f>
        <v/>
      </c>
      <c r="PH59" s="30" t="str">
        <f>IFERROR(IF(DATA[[#This Row],[Other manager 2: Numbers employed (Full Time Equivalent)]]=0,"",DATA[[#This Row],[Other manager 2: Previous 2020/21 Minimum hourly pay rate ADJUSTED 2]]*DATA[[#This Row],[Other manager 2: Numbers employed (Full Time Equivalent)]]),"")</f>
        <v/>
      </c>
      <c r="PI59" s="30" t="str">
        <f>IFERROR(IF(DATA[[#This Row],[Other manager 2: Numbers employed (Full Time Equivalent)]]=0,"",DATA[[#This Row],[Other manager 2: Previous 2020/21 Maximum hourly pay rate ADJUSTED 2]]*DATA[[#This Row],[Other manager 2: Numbers employed (Full Time Equivalent)]]),"")</f>
        <v/>
      </c>
      <c r="PJ59" s="30" t="str">
        <f>IFERROR(IF(DATA[[#This Row],[Other manager 3: Numbers employed (Full Time Equivalent)]]=0,"",DATA[[#This Row],[Other manager 3: Current 2021/22 Minimum hourly pay rate ADJUSTED 2]]*DATA[[#This Row],[Other manager 3: Numbers employed (Full Time Equivalent)]]),"")</f>
        <v/>
      </c>
      <c r="PK59" s="30" t="str">
        <f>IFERROR(IF(DATA[[#This Row],[Other manager 3: Numbers employed (Full Time Equivalent)]]=0,"",DATA[[#This Row],[Other manager 3: Current 2021/22 Maximum hourly pay rate ADJUSTED 2]]*DATA[[#This Row],[Other manager 3: Numbers employed (Full Time Equivalent)]]),"")</f>
        <v/>
      </c>
      <c r="PL59" s="30" t="str">
        <f>IFERROR(IF(DATA[[#This Row],[Other manager 3: Numbers employed (Full Time Equivalent)]]=0,"",DATA[[#This Row],[Other manager 3: Previous 2020/21 Minimum hourly pay rate ADJUSTED 2]]*DATA[[#This Row],[Other manager 3: Numbers employed (Full Time Equivalent)]]),"")</f>
        <v/>
      </c>
      <c r="PM59" s="30" t="str">
        <f>IFERROR(IF(DATA[[#This Row],[Other manager 3: Numbers employed (Full Time Equivalent)]]=0,"",DATA[[#This Row],[Other manager 3: Previous 2020/21 Maximum hourly pay rate ADJUSTED 2]]*DATA[[#This Row],[Other manager 3: Numbers employed (Full Time Equivalent)]]),"")</f>
        <v/>
      </c>
      <c r="PN59" s="30">
        <f>IFERROR(IF(DATA[[#This Row],[Care Assistant 1: Numbers employed (Full Time Equivalent)]]=0,"",DATA[[#This Row],[Care Assistant 1: Current 2021/22 Minimum hourly pay rate ADJUSTED 2]]*DATA[[#This Row],[Care Assistant 1: Numbers employed (Full Time Equivalent)]]),"")</f>
        <v>342</v>
      </c>
      <c r="PO59" s="30">
        <f>IFERROR(IF(DATA[[#This Row],[Care Assistant 1: Numbers employed (Full Time Equivalent)]]=0,"",DATA[[#This Row],[Care Assistant 1: Current 2021/22 Maximum hourly pay rate ADJUSTED 2]]*DATA[[#This Row],[Care Assistant 1: Numbers employed (Full Time Equivalent)]]),"")</f>
        <v>342</v>
      </c>
      <c r="PP59" s="30">
        <f>IFERROR(IF(DATA[[#This Row],[Care Assistant 1: Numbers employed (Full Time Equivalent)]]=0,"",DATA[[#This Row],[Care Assistant 1: Previous 2020/21 Minimum hourly pay rate ADJUSTED 2]]*DATA[[#This Row],[Care Assistant 1: Numbers employed (Full Time Equivalent)]]),"")</f>
        <v>342</v>
      </c>
      <c r="PQ59" s="30">
        <f>IFERROR(IF(DATA[[#This Row],[Care Assistant 1: Numbers employed (Full Time Equivalent)]]=0,"",DATA[[#This Row],[Care Assistant 1: Previous 2020/21 Maximum hourly pay rate ADJUSTED 2]]*DATA[[#This Row],[Care Assistant 1: Numbers employed (Full Time Equivalent)]]),"")</f>
        <v>342</v>
      </c>
      <c r="PR59" s="30">
        <f>IFERROR(IF(DATA[[#This Row],[Care Assistant 2: Numbers employed (Full Time Equivalent)]]=0,"",DATA[[#This Row],[Care Assistant 2: Current 2021/22 Minimum hourly pay rate ADJUSTED 2]]*DATA[[#This Row],[Care Assistant 2: Numbers employed (Full Time Equivalent)]]),"")</f>
        <v>105</v>
      </c>
      <c r="PS59" s="30">
        <f>IFERROR(IF(DATA[[#This Row],[Care Assistant 2: Numbers employed (Full Time Equivalent)]]=0,"",DATA[[#This Row],[Care Assistant 2: Current 2021/22 Maximum hourly pay rate ADJUSTED 2]]*DATA[[#This Row],[Care Assistant 2: Numbers employed (Full Time Equivalent)]]),"")</f>
        <v>105</v>
      </c>
      <c r="PT59" s="30">
        <f>IFERROR(IF(DATA[[#This Row],[Care Assistant 2: Numbers employed (Full Time Equivalent)]]=0,"",DATA[[#This Row],[Care Assistant 2: Previous 2020/21 Minimum hourly pay rate ADJUSTED 2]]*DATA[[#This Row],[Care Assistant 2: Numbers employed (Full Time Equivalent)]]),"")</f>
        <v>105</v>
      </c>
      <c r="PU59" s="30">
        <f>IFERROR(IF(DATA[[#This Row],[Care Assistant 2: Numbers employed (Full Time Equivalent)]]=0,"",DATA[[#This Row],[Care Assistant 2: Previous 2020/21 Maximum hourly pay rate ADJUSTED 2]]*DATA[[#This Row],[Care Assistant 2: Numbers employed (Full Time Equivalent)]]),"")</f>
        <v>105</v>
      </c>
      <c r="PV59" s="30" t="str">
        <f>IFERROR(IF(DATA[[#This Row],[Care Assistant 3: Numbers employed (Full Time Equivalent)]]=0,"",DATA[[#This Row],[Care Assistant 3: Current 2021/22 Minimum hourly pay rate ADJUSTED 2]]*DATA[[#This Row],[Care Assistant 3: Numbers employed (Full Time Equivalent)]]),"")</f>
        <v/>
      </c>
      <c r="PW59" s="30" t="str">
        <f>IFERROR(IF(DATA[[#This Row],[Care Assistant 3: Numbers employed (Full Time Equivalent)]]=0,"",DATA[[#This Row],[Care Assistant 3: Current 2021/22 Maximum hourly pay rate ADJUSTED 2]]*DATA[[#This Row],[Care Assistant 3: Numbers employed (Full Time Equivalent)]]),"")</f>
        <v/>
      </c>
      <c r="PX59" s="30" t="str">
        <f>IFERROR(IF(DATA[[#This Row],[Care Assistant 3: Numbers employed (Full Time Equivalent)]]=0,"",DATA[[#This Row],[Care Assistant 3: Previous 2020/21 Minimum hourly pay rate ADJUSTED 2]]*DATA[[#This Row],[Care Assistant 3: Numbers employed (Full Time Equivalent)]]),"")</f>
        <v/>
      </c>
      <c r="PY59" s="30" t="str">
        <f>IFERROR(IF(DATA[[#This Row],[Care Assistant 3: Numbers employed (Full Time Equivalent)]]=0,"",DATA[[#This Row],[Care Assistant 3: Previous 2020/21 Maximum hourly pay rate ADJUSTED 2]]*DATA[[#This Row],[Care Assistant 3: Numbers employed (Full Time Equivalent)]]),"")</f>
        <v/>
      </c>
      <c r="PZ59" s="30" t="str">
        <f>IFERROR(IF(DATA[[#This Row],[Care Assistant 4: Numbers employed (Full Time Equivalent)]]=0,"",DATA[[#This Row],[Care Assistant 4: Current 2021/22 Minimum hourly pay rate ADJUSTED 2]]*DATA[[#This Row],[Care Assistant 4: Numbers employed (Full Time Equivalent)]]),"")</f>
        <v/>
      </c>
      <c r="QA59" s="30" t="str">
        <f>IFERROR(IF(DATA[[#This Row],[Care Assistant 4: Numbers employed (Full Time Equivalent)]]=0,"",DATA[[#This Row],[Care Assistant 4: Current 2021/22 Maximum hourly pay rate ADJUSTED 2]]*DATA[[#This Row],[Care Assistant 4: Numbers employed (Full Time Equivalent)]]),"")</f>
        <v/>
      </c>
      <c r="QB59" s="30" t="str">
        <f>IFERROR(IF(DATA[[#This Row],[Care Assistant 4: Numbers employed (Full Time Equivalent)]]=0,"",DATA[[#This Row],[Care Assistant 4: Previous 2020/21 Minimum hourly pay rate ADJUSTED 2]]*DATA[[#This Row],[Care Assistant 4: Numbers employed (Full Time Equivalent)]]),"")</f>
        <v/>
      </c>
      <c r="QC59" s="30" t="str">
        <f>IFERROR(IF(DATA[[#This Row],[Care Assistant 4: Numbers employed (Full Time Equivalent)]]=0,"",DATA[[#This Row],[Care Assistant 4: Previous 2020/21 Maximum hourly pay rate ADJUSTED 2]]*DATA[[#This Row],[Care Assistant 4: Numbers employed (Full Time Equivalent)]]),"")</f>
        <v/>
      </c>
      <c r="QD59" s="30">
        <f>IFERROR(IF(DATA[[#This Row],[Administrative Officer 1: Numbers employed (Full Time Equivalent)]]=0,"",DATA[[#This Row],[Administrative Officer 1: Current 2021/22 Minimum hourly pay rate ADJUSTED 2]]*DATA[[#This Row],[Administrative Officer 1: Numbers employed (Full Time Equivalent)]]),"")</f>
        <v>24</v>
      </c>
      <c r="QE59" s="30">
        <f>IFERROR(IF(DATA[[#This Row],[Administrative Officer 1: Numbers employed (Full Time Equivalent)]]=0,"",DATA[[#This Row],[Administrative Officer 1: Current 2021/22 Maximum hourly pay rate ADJUSTED 2]]*DATA[[#This Row],[Administrative Officer 1: Numbers employed (Full Time Equivalent)]]),"")</f>
        <v>24</v>
      </c>
      <c r="QF59" s="30">
        <f>IFERROR(IF(DATA[[#This Row],[Administrative Officer 1: Numbers employed (Full Time Equivalent)]]=0,"",DATA[[#This Row],[Administrative Officer 1: Previous 2020/21 Minimum hourly pay rate ADJUSTED 2]]*DATA[[#This Row],[Administrative Officer 1: Numbers employed (Full Time Equivalent)]]),"")</f>
        <v>24</v>
      </c>
      <c r="QG59" s="30">
        <f>IFERROR(IF(DATA[[#This Row],[Administrative Officer 1: Numbers employed (Full Time Equivalent)]]=0,"",DATA[[#This Row],[Administrative Officer 1: Previous 2020/21 Maximum hourly pay rate ADJUSTED 2]]*DATA[[#This Row],[Administrative Officer 1: Numbers employed (Full Time Equivalent)]]),"")</f>
        <v>24</v>
      </c>
      <c r="QH59" s="30" t="str">
        <f>IFERROR(IF(DATA[[#This Row],[Administrative Officer 2: Numbers employed (Full Time Equivalent)]]=0,"",DATA[[#This Row],[Administrative Officer 2: Current 2021/22 Minimum hourly pay rate ADJUSTED 2]]*DATA[[#This Row],[Administrative Officer 2: Numbers employed (Full Time Equivalent)]]),"")</f>
        <v/>
      </c>
      <c r="QI59" s="30" t="str">
        <f>IFERROR(IF(DATA[[#This Row],[Administrative Officer 2: Numbers employed (Full Time Equivalent)]]=0,"",DATA[[#This Row],[Administrative Officer 2: Current 2021/22 Maximum hourly pay rate ADJUSTED 2]]*DATA[[#This Row],[Administrative Officer 2: Numbers employed (Full Time Equivalent)]]),"")</f>
        <v/>
      </c>
      <c r="QJ59" s="30" t="str">
        <f>IFERROR(IF(DATA[[#This Row],[Administrative Officer 2: Numbers employed (Full Time Equivalent)]]=0,"",DATA[[#This Row],[Administrative Officer 2: Previous 2020/21 Minimum hourly pay rate ADJUSTED 2]]*DATA[[#This Row],[Administrative Officer 2: Numbers employed (Full Time Equivalent)]]),"")</f>
        <v/>
      </c>
      <c r="QK59" s="30" t="str">
        <f>IFERROR(IF(DATA[[#This Row],[Administrative Officer 2: Numbers employed (Full Time Equivalent)]]=0,"",DATA[[#This Row],[Administrative Officer 2: Previous 2020/21 Maximum hourly pay rate ADJUSTED 2]]*DATA[[#This Row],[Administrative Officer 2: Numbers employed (Full Time Equivalent)]]),"")</f>
        <v/>
      </c>
      <c r="QL59" s="30" t="str">
        <f>IFERROR(IF(DATA[[#This Row],[Administrative Officer 3: Numbers employed (Full Time Equivalent)]]=0,"",DATA[[#This Row],[Administrative Officer 3: Current 2021/22 Minimum hourly pay rate ADJUSTED 2]]*DATA[[#This Row],[Administrative Officer 3: Numbers employed (Full Time Equivalent)]]),"")</f>
        <v/>
      </c>
      <c r="QM59" s="30" t="str">
        <f>IFERROR(IF(DATA[[#This Row],[Administrative Officer 3: Numbers employed (Full Time Equivalent)]]=0,"",DATA[[#This Row],[Administrative Officer 3: Current 2021/22 Maximum hourly pay rate ADJUSTED 2]]*DATA[[#This Row],[Administrative Officer 3: Numbers employed (Full Time Equivalent)]]),"")</f>
        <v/>
      </c>
      <c r="QN59" s="30" t="str">
        <f>IFERROR(IF(DATA[[#This Row],[Administrative Officer 3: Numbers employed (Full Time Equivalent)]]=0,"",DATA[[#This Row],[Administrative Officer 3: Previous 2020/21 Minimum hourly pay rate ADJUSTED 2]]*DATA[[#This Row],[Administrative Officer 3: Numbers employed (Full Time Equivalent)]]),"")</f>
        <v/>
      </c>
      <c r="QO59" s="30" t="str">
        <f>IFERROR(IF(DATA[[#This Row],[Administrative Officer 3: Numbers employed (Full Time Equivalent)]]=0,"",DATA[[#This Row],[Administrative Officer 3: Previous 2020/21 Maximum hourly pay rate ADJUSTED 2]]*DATA[[#This Row],[Administrative Officer 3: Numbers employed (Full Time Equivalent)]]),"")</f>
        <v/>
      </c>
      <c r="QP59" s="28" t="str">
        <f>IFERROR(IF(DATA[[#This Row],[Other staff 1: Numbers employed (Full Time Equivalent)]]=0,"",DATA[[#This Row],[Other staff 1: Current 2021/22 Minimum hourly pay rate ADJUSTED 2]]*DATA[[#This Row],[Other staff 1: Numbers employed (Full Time Equivalent)]]),"")</f>
        <v/>
      </c>
      <c r="QQ59" s="28" t="str">
        <f>IFERROR(IF(DATA[[#This Row],[Other staff 1: Numbers employed (Full Time Equivalent)]]=0,"",DATA[[#This Row],[Other staff 1: Current 2021/22 Maximum hourly pay rate ADJUSTED 2]]*DATA[[#This Row],[Other staff 1: Numbers employed (Full Time Equivalent)]]),"")</f>
        <v/>
      </c>
      <c r="QR59" s="28" t="str">
        <f>IFERROR(IF(DATA[[#This Row],[Other staff 1: Numbers employed (Full Time Equivalent)]]=0,"",DATA[[#This Row],[Other staff 1: Previous 2020/21 Minimum hourly pay rate ADJUSTED 2]]*DATA[[#This Row],[Other staff 1: Numbers employed (Full Time Equivalent)]]),"")</f>
        <v/>
      </c>
      <c r="QS59" s="28" t="str">
        <f>IFERROR(IF(DATA[[#This Row],[Other staff 1: Numbers employed (Full Time Equivalent)]]=0,"",DATA[[#This Row],[Other staff 1: Previous 2020/21 Maximum hourly pay rate ADJUSTED 2]]*DATA[[#This Row],[Other staff 1: Numbers employed (Full Time Equivalent)]]),"")</f>
        <v/>
      </c>
      <c r="QT59" s="28" t="str">
        <f>IFERROR(IF(DATA[[#This Row],[Other staff 2: Numbers employed (Full Time Equivalent)]]=0,"",DATA[[#This Row],[Other staff 2: Current 2021/22 Minimum hourly pay rate ADJUSTED 2]]*DATA[[#This Row],[Other staff 2: Numbers employed (Full Time Equivalent)]]),"")</f>
        <v/>
      </c>
      <c r="QU59" s="28" t="str">
        <f>IFERROR(IF(DATA[[#This Row],[Other staff 2: Numbers employed (Full Time Equivalent)]]=0,"",DATA[[#This Row],[Other staff 2: Current 2021/22 Maximum hourly pay rate ADJUSTED 2]]*DATA[[#This Row],[Other staff 2: Numbers employed (Full Time Equivalent)]]),"")</f>
        <v/>
      </c>
      <c r="QV59" s="28" t="str">
        <f>IFERROR(IF(DATA[[#This Row],[Other staff 2: Numbers employed (Full Time Equivalent)]]=0,"",DATA[[#This Row],[Other staff 2: Previous 2020/21 Minimum hourly pay rate ADJUSTED 2]]*DATA[[#This Row],[Other staff 2: Numbers employed (Full Time Equivalent)]]),"")</f>
        <v/>
      </c>
      <c r="QW59" s="28" t="str">
        <f>IFERROR(IF(DATA[[#This Row],[Other staff 2: Numbers employed (Full Time Equivalent)]]=0,"",DATA[[#This Row],[Other staff 2: Previous 2020/21 Maximum hourly pay rate ADJUSTED 2]]*DATA[[#This Row],[Other staff 2: Numbers employed (Full Time Equivalent)]]),"")</f>
        <v/>
      </c>
      <c r="QX59" s="28" t="str">
        <f>IFERROR(IF(DATA[[#This Row],[Other staff 3: Numbers employed (Full Time Equivalent)]]=0,"",DATA[[#This Row],[Other staff 3: Current 2021/22 Minimum hourly pay rate ADJUSTED 2]]*DATA[[#This Row],[Other staff 3: Numbers employed (Full Time Equivalent)]]),"")</f>
        <v/>
      </c>
      <c r="QY59" s="28" t="str">
        <f>IFERROR(IF(DATA[[#This Row],[Other staff 3: Numbers employed (Full Time Equivalent)]]=0,"",DATA[[#This Row],[Other staff 3: Current 2021/22 Maximum hourly pay rate ADJUSTED 2]]*DATA[[#This Row],[Other staff 3: Numbers employed (Full Time Equivalent)]]),"")</f>
        <v/>
      </c>
      <c r="QZ59" s="28" t="str">
        <f>IFERROR(IF(DATA[[#This Row],[Other staff 3: Numbers employed (Full Time Equivalent)]]=0,"",DATA[[#This Row],[Other staff 3: Previous 2020/21 Minimum hourly pay rate ADJUSTED 2]]*DATA[[#This Row],[Other staff 3: Numbers employed (Full Time Equivalent)]]),"")</f>
        <v/>
      </c>
      <c r="RA59" s="28" t="str">
        <f>IFERROR(IF(DATA[[#This Row],[Other staff 3: Numbers employed (Full Time Equivalent)]]=0,"",DATA[[#This Row],[Other staff 3: Previous 2020/21 Maximum hourly pay rate ADJUSTED 2]]*DATA[[#This Row],[Other staff 3: Numbers employed (Full Time Equivalent)]]),"")</f>
        <v/>
      </c>
      <c r="RB59"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59"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59"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59"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59"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59"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38</v>
      </c>
      <c r="RH59"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10</v>
      </c>
      <c r="RI59"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59"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59"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2</v>
      </c>
      <c r="RL59"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59"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59"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59"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59"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0" spans="7:484" x14ac:dyDescent="0.25">
      <c r="G60" s="2">
        <v>54</v>
      </c>
      <c r="H60" s="2">
        <v>1</v>
      </c>
      <c r="I60" s="2">
        <v>2</v>
      </c>
      <c r="J60" s="2">
        <v>0.33</v>
      </c>
      <c r="K60" s="2">
        <v>0.67</v>
      </c>
      <c r="L60" s="2" t="s">
        <v>328</v>
      </c>
      <c r="M60" s="2" t="s">
        <v>328</v>
      </c>
      <c r="R60" s="2">
        <v>15</v>
      </c>
      <c r="S60" s="2">
        <v>20</v>
      </c>
      <c r="T60" s="2">
        <v>12</v>
      </c>
      <c r="U60" s="2">
        <v>15</v>
      </c>
      <c r="V60" s="2">
        <v>1</v>
      </c>
      <c r="W60" s="2">
        <v>14</v>
      </c>
      <c r="X60" s="2">
        <v>18</v>
      </c>
      <c r="Y60" s="2">
        <v>0</v>
      </c>
      <c r="Z60" s="2">
        <v>0</v>
      </c>
      <c r="AA60" s="2">
        <v>1</v>
      </c>
      <c r="AB60" s="2" t="s">
        <v>315</v>
      </c>
      <c r="AC60" s="2">
        <v>0</v>
      </c>
      <c r="AD60" s="2">
        <v>0</v>
      </c>
      <c r="AE60" s="2">
        <v>0</v>
      </c>
      <c r="AF60" s="2">
        <v>0</v>
      </c>
      <c r="AG60" s="2">
        <v>0</v>
      </c>
      <c r="AH60" s="2" t="s">
        <v>315</v>
      </c>
      <c r="AI60" s="2">
        <v>0</v>
      </c>
      <c r="AJ60" s="2">
        <v>0</v>
      </c>
      <c r="AK60" s="2">
        <v>0</v>
      </c>
      <c r="AL60" s="2">
        <v>0</v>
      </c>
      <c r="AM60" s="2">
        <v>0</v>
      </c>
      <c r="AN60" s="2" t="s">
        <v>315</v>
      </c>
      <c r="AO60" s="2">
        <v>0</v>
      </c>
      <c r="AP60" s="2">
        <v>0</v>
      </c>
      <c r="AQ60" s="2">
        <v>0</v>
      </c>
      <c r="AR60" s="2">
        <v>0</v>
      </c>
      <c r="AS60" s="2">
        <v>0</v>
      </c>
      <c r="AT60" s="2" t="s">
        <v>547</v>
      </c>
      <c r="AU60" s="2">
        <v>11</v>
      </c>
      <c r="AV60" s="2">
        <v>15</v>
      </c>
      <c r="AW60" s="2">
        <v>10</v>
      </c>
      <c r="AX60" s="2">
        <v>13</v>
      </c>
      <c r="AY60" s="2">
        <v>1</v>
      </c>
      <c r="AZ60" s="2" t="s">
        <v>548</v>
      </c>
      <c r="BA60" s="2">
        <v>8.91</v>
      </c>
      <c r="BB60" s="2">
        <v>11</v>
      </c>
      <c r="BC60" s="2">
        <v>8.7200000000000006</v>
      </c>
      <c r="BD60" s="2">
        <v>10</v>
      </c>
      <c r="BE60" s="2">
        <v>14</v>
      </c>
      <c r="BF60" s="2" t="s">
        <v>316</v>
      </c>
      <c r="BG60" s="2">
        <v>0</v>
      </c>
      <c r="BH60" s="2">
        <v>0</v>
      </c>
      <c r="BI60" s="2">
        <v>0</v>
      </c>
      <c r="BJ60" s="2">
        <v>0</v>
      </c>
      <c r="BK60" s="2">
        <v>0</v>
      </c>
      <c r="BL60" s="2" t="s">
        <v>316</v>
      </c>
      <c r="BM60" s="2">
        <v>0</v>
      </c>
      <c r="BN60" s="2">
        <v>0</v>
      </c>
      <c r="BO60" s="2">
        <v>0</v>
      </c>
      <c r="BP60" s="2">
        <v>0</v>
      </c>
      <c r="BQ60" s="2">
        <v>0</v>
      </c>
      <c r="BR60" s="2" t="s">
        <v>549</v>
      </c>
      <c r="BS60" s="2">
        <v>11</v>
      </c>
      <c r="BT60" s="2">
        <v>15</v>
      </c>
      <c r="BU60" s="2">
        <v>10</v>
      </c>
      <c r="BV60" s="2">
        <v>13</v>
      </c>
      <c r="BW60" s="2">
        <v>0</v>
      </c>
      <c r="BX60" s="2" t="s">
        <v>550</v>
      </c>
      <c r="BY60" s="2">
        <v>10</v>
      </c>
      <c r="BZ60" s="2">
        <v>14</v>
      </c>
      <c r="CA60" s="2">
        <v>9</v>
      </c>
      <c r="CB60" s="2">
        <v>13</v>
      </c>
      <c r="CC60" s="2">
        <v>0</v>
      </c>
      <c r="CD60" s="2" t="s">
        <v>317</v>
      </c>
      <c r="CE60" s="2">
        <v>0</v>
      </c>
      <c r="CF60" s="2">
        <v>0</v>
      </c>
      <c r="CG60" s="2">
        <v>0</v>
      </c>
      <c r="CH60" s="2">
        <v>0</v>
      </c>
      <c r="CI60" s="2">
        <v>0</v>
      </c>
      <c r="CJ60" s="2" t="s">
        <v>551</v>
      </c>
      <c r="CK60" s="2">
        <v>8.91</v>
      </c>
      <c r="CL60" s="2">
        <v>10</v>
      </c>
      <c r="CM60" s="2">
        <v>8.7200000000000006</v>
      </c>
      <c r="CN60" s="2">
        <v>9</v>
      </c>
      <c r="CO60" s="2">
        <v>1</v>
      </c>
      <c r="CP60" s="2" t="s">
        <v>318</v>
      </c>
      <c r="CQ60" s="2">
        <v>0</v>
      </c>
      <c r="CR60" s="2">
        <v>0</v>
      </c>
      <c r="CS60" s="2">
        <v>0</v>
      </c>
      <c r="CT60" s="2">
        <v>0</v>
      </c>
      <c r="CU60" s="2">
        <v>0</v>
      </c>
      <c r="CV60" s="2" t="s">
        <v>318</v>
      </c>
      <c r="CW60" s="2">
        <v>0</v>
      </c>
      <c r="CX60" s="2">
        <v>0</v>
      </c>
      <c r="CY60" s="2">
        <v>0</v>
      </c>
      <c r="CZ60" s="2">
        <v>0</v>
      </c>
      <c r="DA60" s="2">
        <v>0</v>
      </c>
      <c r="DB60" s="2">
        <v>0.03</v>
      </c>
      <c r="DC60" s="2"/>
      <c r="DD60" s="2">
        <v>168</v>
      </c>
      <c r="DE60" s="2">
        <v>0</v>
      </c>
      <c r="DF60" s="2">
        <v>0</v>
      </c>
      <c r="DG60" s="2">
        <v>0</v>
      </c>
      <c r="DH60" s="2">
        <v>0</v>
      </c>
      <c r="DI60" s="2">
        <v>303</v>
      </c>
      <c r="DJ60" s="2">
        <v>0</v>
      </c>
      <c r="DK60" s="2">
        <v>0</v>
      </c>
      <c r="DL60" s="2">
        <v>0</v>
      </c>
      <c r="DM60" s="2">
        <v>0</v>
      </c>
      <c r="DN60" s="2">
        <v>0</v>
      </c>
      <c r="DO60" s="2">
        <v>20</v>
      </c>
      <c r="DP60" s="2">
        <v>0</v>
      </c>
      <c r="DQ60" s="2">
        <v>0</v>
      </c>
      <c r="DR60" s="18">
        <v>43891</v>
      </c>
      <c r="DS60" s="18">
        <v>44255</v>
      </c>
      <c r="DT60" s="2">
        <v>24492</v>
      </c>
      <c r="DU60" s="2">
        <v>45000</v>
      </c>
      <c r="DV60" s="2">
        <v>244920</v>
      </c>
      <c r="DW60" s="2">
        <v>22880</v>
      </c>
      <c r="DX60" s="2">
        <v>4500</v>
      </c>
      <c r="DY60" s="2"/>
      <c r="DZ60" s="2">
        <v>5429</v>
      </c>
      <c r="EA60" s="2"/>
      <c r="EB60" s="2">
        <v>4830</v>
      </c>
      <c r="EC60" s="2"/>
      <c r="ED60" s="2"/>
      <c r="EE60" s="2">
        <v>53332</v>
      </c>
      <c r="EF60" s="2">
        <v>0</v>
      </c>
      <c r="EG60" s="2">
        <v>2861</v>
      </c>
      <c r="EH60" s="2" t="s">
        <v>324</v>
      </c>
      <c r="EI60" s="2">
        <v>0</v>
      </c>
      <c r="EJ60" s="2" t="s">
        <v>324</v>
      </c>
      <c r="EK60" s="2">
        <v>0</v>
      </c>
      <c r="EL60" s="2">
        <v>2110</v>
      </c>
      <c r="EM60" s="2">
        <v>5197</v>
      </c>
      <c r="EN60" s="2">
        <v>5718</v>
      </c>
      <c r="EO60" s="2">
        <v>24190</v>
      </c>
      <c r="EP60" s="2">
        <v>2633.4</v>
      </c>
      <c r="EQ60" s="2">
        <v>258</v>
      </c>
      <c r="ER60" s="2">
        <v>0</v>
      </c>
      <c r="ES60" s="2">
        <v>2020</v>
      </c>
      <c r="ET60" s="2" t="s">
        <v>324</v>
      </c>
      <c r="EU60" s="2">
        <v>0</v>
      </c>
      <c r="EV60" s="2" t="s">
        <v>324</v>
      </c>
      <c r="EW60" s="2">
        <v>0</v>
      </c>
      <c r="EX60" s="2">
        <v>0</v>
      </c>
      <c r="EY60" s="2">
        <v>7381.6</v>
      </c>
      <c r="EZ60" s="2" t="s">
        <v>326</v>
      </c>
      <c r="FA60" s="2">
        <v>0</v>
      </c>
      <c r="FB60" s="2" t="s">
        <v>326</v>
      </c>
      <c r="FC60" s="2">
        <v>0</v>
      </c>
      <c r="FD60" s="2">
        <v>3054</v>
      </c>
      <c r="FE60" s="2">
        <v>0.27</v>
      </c>
      <c r="FF60" s="2">
        <v>11191</v>
      </c>
      <c r="FG60" s="2"/>
      <c r="FH60" s="19">
        <v>44480.627060185187</v>
      </c>
      <c r="FI60" s="2" t="s">
        <v>345</v>
      </c>
      <c r="FJ60" s="2">
        <f>SUM(DATA[[#This Row],[Number of Home support clients:]],DATA[[#This Row],[Number of supported living clients:]])</f>
        <v>3</v>
      </c>
      <c r="FK60"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60"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v>
      </c>
      <c r="FM60"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20</v>
      </c>
      <c r="FN60"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12</v>
      </c>
      <c r="FO60"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v>
      </c>
      <c r="FP60"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14</v>
      </c>
      <c r="FQ60"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18</v>
      </c>
      <c r="FR60"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60"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60"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60"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60"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60"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60"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60"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60"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60"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60"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0"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0"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0"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0"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11</v>
      </c>
      <c r="GG60"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15</v>
      </c>
      <c r="GH60"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10</v>
      </c>
      <c r="GI60"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13</v>
      </c>
      <c r="GJ60"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8.91</v>
      </c>
      <c r="GK60"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11</v>
      </c>
      <c r="GL60"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8.7200000000000006</v>
      </c>
      <c r="GM60"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10</v>
      </c>
      <c r="GN60"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60"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60"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60"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60"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0"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0"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0"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0"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11</v>
      </c>
      <c r="GW60"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15</v>
      </c>
      <c r="GX60"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v>
      </c>
      <c r="GY60"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13</v>
      </c>
      <c r="GZ60"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10</v>
      </c>
      <c r="HA60"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14</v>
      </c>
      <c r="HB60"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9</v>
      </c>
      <c r="HC60"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13</v>
      </c>
      <c r="HD60"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60"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60"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60"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60"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8.91</v>
      </c>
      <c r="HI60"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10</v>
      </c>
      <c r="HJ60"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8.7200000000000006</v>
      </c>
      <c r="HK60"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9</v>
      </c>
      <c r="HL60"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0"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0"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0"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0"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0"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0"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0"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0"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v>
      </c>
      <c r="HU60"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20</v>
      </c>
      <c r="HV60"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12</v>
      </c>
      <c r="HW60"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v>
      </c>
      <c r="HX60"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14</v>
      </c>
      <c r="HY60"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18</v>
      </c>
      <c r="HZ60"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14</v>
      </c>
      <c r="IA60"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18</v>
      </c>
      <c r="IB60"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60"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60"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60"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60"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60"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60"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60"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60"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0"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0"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0"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0"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11</v>
      </c>
      <c r="IO60"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15</v>
      </c>
      <c r="IP60"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10</v>
      </c>
      <c r="IQ60"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13</v>
      </c>
      <c r="IR60"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8.91</v>
      </c>
      <c r="IS60"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11</v>
      </c>
      <c r="IT60"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8.7200000000000006</v>
      </c>
      <c r="IU60"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10</v>
      </c>
      <c r="IV60"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60"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60"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60"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60"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0"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0"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0"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0"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11</v>
      </c>
      <c r="JE60"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15</v>
      </c>
      <c r="JF60"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v>
      </c>
      <c r="JG60"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13</v>
      </c>
      <c r="JH60"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10</v>
      </c>
      <c r="JI60"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14</v>
      </c>
      <c r="JJ60"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9</v>
      </c>
      <c r="JK60"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13</v>
      </c>
      <c r="JL60"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60"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60"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60"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60"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8.91</v>
      </c>
      <c r="JQ60"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10</v>
      </c>
      <c r="JR60"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8.7200000000000006</v>
      </c>
      <c r="JS60"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9</v>
      </c>
      <c r="JT60"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0"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0"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0"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0"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0"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0"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0"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0"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60" s="21">
        <f>SUM(DATA[[#This Row],[Care Assistant 1: Numbers employed (Full Time Equivalent)]],DATA[[#This Row],[Care Assistant 2: Numbers employed (Full Time Equivalent)]],DATA[[#This Row],[Care Assistant 3: Numbers employed (Full Time Equivalent)]],DATA[[#This Row],[Care Assistant 4: Numbers employed (Full Time Equivalent)]])</f>
        <v>15</v>
      </c>
      <c r="KD60" s="21">
        <f>SUM(DATA[[#This Row],[Administrative Officer 1: Numbers employed (Full Time Equivalent)]],DATA[[#This Row],[Administrative Officer 2: Numbers employed (Full Time Equivalent)]])</f>
        <v>0</v>
      </c>
      <c r="KE60" s="21">
        <f>SUM(DATA[[#This Row],[Other staff 1: Numbers employed (Full Time Equivalent)]],DATA[[#This Row],[Other staff 2: Numbers employed (Full Time Equivalent)]],DATA[[#This Row],[Other staff 3: Numbers employed (Full Time Equivalent)]])</f>
        <v>1</v>
      </c>
      <c r="KF60" s="21">
        <f>SUM(DATA[[#This Row],[Total FTE Management Employees]:[Total FTE Other Employees]])</f>
        <v>18</v>
      </c>
      <c r="KG60" s="21" t="str">
        <f>IF(SUM(DATA[[#This Row],[Home Support service split percentage (Expenditure):]],DATA[[#This Row],[Supported Living service split percentage (Expenditure):]])&gt;0, IF(DATA[[#This Row],[Home Support service split percentage (Expenditure):]]&gt;0.5,"Home Support","Supported Living"), "Unknown")</f>
        <v>Supported Living</v>
      </c>
      <c r="KH60" s="21">
        <f>SUM(DATA[[#This Row],[Home Support: Birmingham City Council]:[Home Support: Self-funded]])</f>
        <v>168</v>
      </c>
      <c r="KI60" s="21">
        <f>SUM(DATA[[#This Row],[Supported Living: Birmingham City Council]:[Supported Living: Self-funded]])</f>
        <v>303</v>
      </c>
      <c r="KJ60"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0"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0"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0"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0" s="21" t="b">
        <f>SUM(DATA[[#This Row],[Number of hours of care charged for in last full accounting year]:[Corporate Overheads: Other  - please specify (category) 1]])&gt;0</f>
        <v>1</v>
      </c>
      <c r="KO60" s="21">
        <f>SUM(DATA[[#This Row],[Total annual expenditure: Management staff]:[Total annual expenditure: Training and development]])</f>
        <v>327559</v>
      </c>
      <c r="KP60" s="21">
        <f>SUM(DATA[[#This Row],[Recruitment &amp; advertising (including DBS checks)]:[Non-Staffing Direct Cost: Other  - please specify (amount) 2]])</f>
        <v>56193</v>
      </c>
      <c r="KQ60" s="21">
        <f>SUM(DATA[[#This Row],[Insurance ]:[Indirect costs: Other 2 - please specify (amount)]])</f>
        <v>42126.400000000001</v>
      </c>
      <c r="KR60" s="21">
        <f>SUM(DATA[[#This Row],[Central / Regional Management]],DATA[[#This Row],[Support Services (finance / HR / Payroll / legal etc.)]],DATA[[#This Row],[Corporate Overheads: Other  - please specify (amount) 1]],DATA[[#This Row],[Corporate Overheads: Other  - please specify (amount) 2]])</f>
        <v>7381.6</v>
      </c>
      <c r="KS60"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1.8373346398824106</v>
      </c>
      <c r="KT60"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10</v>
      </c>
      <c r="KU60"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0.93418259023354566</v>
      </c>
      <c r="KV60" s="30">
        <f>IF(OR(NOT(DATA[[#This Row],[Total annual expenditure: Other staff]]&gt;0),NOT(DATA[[#This Row],[Number of hours of care charged for in last full accounting year]]&gt;0)),0,DATA[[#This Row],[Total annual expenditure: Other staff]]/DATA[[#This Row],[Number of hours of care charged for in last full accounting year]])</f>
        <v>0.18373346398824106</v>
      </c>
      <c r="KW60"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60" s="30">
        <f>IF(OR(NOT(DATA[[#This Row],[Total annual expenditure: Travel Cost]]&gt;0),NOT(DATA[[#This Row],[Number of hours of care charged for in last full accounting year]]&gt;0)),0,DATA[[#This Row],[Total annual expenditure: Travel Cost]]/DATA[[#This Row],[Number of hours of care charged for in last full accounting year]])</f>
        <v>0.22166421688714683</v>
      </c>
      <c r="KY60"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60"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0.19720725134737874</v>
      </c>
      <c r="LA60"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60"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60" s="30">
        <f>IF(OR(NOT(DATA[[#This Row],[Care consumables &amp; uniforms]]&gt;0),NOT(DATA[[#This Row],[Number of hours of care charged for in last full accounting year]]&gt;0)),0,DATA[[#This Row],[Care consumables &amp; uniforms]]/DATA[[#This Row],[Number of hours of care charged for in last full accounting year]])</f>
        <v>2.1775273558713049</v>
      </c>
      <c r="LD60" s="30">
        <f>IF(OR(NOT(DATA[[#This Row],[Electronic call monitoring]]&gt;0),NOT(DATA[[#This Row],[Number of hours of care charged for in last full accounting year]]&gt;0)),0,DATA[[#This Row],[Electronic call monitoring]]/DATA[[#This Row],[Number of hours of care charged for in last full accounting year]])</f>
        <v>0</v>
      </c>
      <c r="LE60" s="30">
        <f>IF(OR(NOT(DATA[[#This Row],[IT Equipment &amp; Telephoney]]&gt;0),NOT(DATA[[#This Row],[Number of hours of care charged for in last full accounting year]]&gt;0)),0,DATA[[#This Row],[IT Equipment &amp; Telephoney]]/DATA[[#This Row],[Number of hours of care charged for in last full accounting year]])</f>
        <v>0.11681365343785725</v>
      </c>
      <c r="LF60"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60"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0" s="30">
        <f>IF(OR(NOT(DATA[[#This Row],[Insurance ]]&gt;0),NOT(DATA[[#This Row],[Number of hours of care charged for in last full accounting year]]&gt;0)),0,DATA[[#This Row],[Insurance ]]/DATA[[#This Row],[Number of hours of care charged for in last full accounting year]])</f>
        <v>8.6150579781153036E-2</v>
      </c>
      <c r="LI60"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0.21219173607708638</v>
      </c>
      <c r="LJ60" s="30">
        <f>IF(OR(NOT(DATA[[#This Row],[Repairs and maintenance]]&gt;0),NOT(DATA[[#This Row],[Number of hours of care charged for in last full accounting year]]&gt;0)),0,DATA[[#This Row],[Repairs and maintenance]]/DATA[[#This Row],[Number of hours of care charged for in last full accounting year]])</f>
        <v>0.2334639882410583</v>
      </c>
      <c r="LK60"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0.98766944308345583</v>
      </c>
      <c r="LL60" s="30">
        <f>IF(OR(NOT(DATA[[#This Row],[Registration &amp; Inspection fees ]]&gt;0),NOT(DATA[[#This Row],[Number of hours of care charged for in last full accounting year]]&gt;0)),0,DATA[[#This Row],[Registration &amp; Inspection fees ]]/DATA[[#This Row],[Number of hours of care charged for in last full accounting year]])</f>
        <v>0.10752082312591867</v>
      </c>
      <c r="LM60" s="30">
        <f>IF(OR(NOT(DATA[[#This Row],[Subscriptions]]&gt;0),NOT(DATA[[#This Row],[Number of hours of care charged for in last full accounting year]]&gt;0)),0,DATA[[#This Row],[Subscriptions]]/DATA[[#This Row],[Number of hours of care charged for in last full accounting year]])</f>
        <v>1.0534051935325821E-2</v>
      </c>
      <c r="LN60" s="30">
        <f>IF(OR(NOT(DATA[[#This Row],[Cost of finance]]&gt;0),NOT(DATA[[#This Row],[Number of hours of care charged for in last full accounting year]]&gt;0)),0,DATA[[#This Row],[Cost of finance]]/DATA[[#This Row],[Number of hours of care charged for in last full accounting year]])</f>
        <v>0</v>
      </c>
      <c r="LO60" s="30">
        <f>IF(OR(NOT(DATA[[#This Row],[Other non-staff current expenses]]&gt;0),NOT(DATA[[#This Row],[Number of hours of care charged for in last full accounting year]]&gt;0)),0,DATA[[#This Row],[Other non-staff current expenses]]/DATA[[#This Row],[Number of hours of care charged for in last full accounting year]])</f>
        <v>8.2475910501388208E-2</v>
      </c>
      <c r="LP60"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60"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60" s="30">
        <f>IF(OR(NOT(DATA[[#This Row],[Central / Regional Management]]&gt;0),NOT(DATA[[#This Row],[Number of hours of care charged for in last full accounting year]]&gt;0)),0,DATA[[#This Row],[Central / Regional Management]]/DATA[[#This Row],[Number of hours of care charged for in last full accounting year]])</f>
        <v>0</v>
      </c>
      <c r="LS60"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0.30138820839457786</v>
      </c>
      <c r="LT60"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60"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60" s="30">
        <f>SUM(DATA[[#This Row],[Management staff HOURLY RATE]:[Corporate Overheads: Other  - please specify (amount) 2 HOURLY RATE]])</f>
        <v>17.689857912787851</v>
      </c>
      <c r="LW60" s="30">
        <f>IF(OR(NOT(DATA[[#This Row],[Net Operating Profit]]&gt;0),NOT(DATA[[#This Row],[Number of hours of care charged for in last full accounting year]]&gt;0)),"",DATA[[#This Row],[Net Operating Profit]]/DATA[[#This Row],[Number of hours of care charged for in last full accounting year]])</f>
        <v>0.12469377756001959</v>
      </c>
      <c r="LX60" s="30">
        <f>IF(OR(NOT(DATA[[#This Row],[Return on Capital employed]]&gt;0),NOT(DATA[[#This Row],[Number of hours of care charged for in last full accounting year]]&gt;0)),0,DATA[[#This Row],[Return on Capital employed]]/DATA[[#This Row],[Number of hours of care charged for in last full accounting year]])</f>
        <v>1.1024007839294465E-5</v>
      </c>
      <c r="LY60" s="31">
        <v>54</v>
      </c>
      <c r="LZ60" s="30" t="s">
        <v>345</v>
      </c>
      <c r="MA60" s="30" t="b">
        <f>DATA[[#This Row],[Number of Home support clients:]]&gt;0</f>
        <v>1</v>
      </c>
      <c r="MB60" s="30" t="b">
        <f>DATA[[#This Row],[Number of supported living clients:]]&gt;0</f>
        <v>1</v>
      </c>
      <c r="MC60" s="30" t="b">
        <f>DATA[[#This Row],[Total Home Support Hours]]&gt;0</f>
        <v>1</v>
      </c>
      <c r="MD60" s="30" t="b">
        <f>DATA[[#This Row],[Total Supported Living Hours]]&gt;0</f>
        <v>1</v>
      </c>
      <c r="ME60" s="30" t="b">
        <f>DATA[[#This Row],[Home Support service split percentage (Expenditure):]]&gt;0.5</f>
        <v>0</v>
      </c>
      <c r="MF60" s="30" t="b">
        <f>DATA[[#This Row],[Agency staff HOURLY RATE]]=0</f>
        <v>1</v>
      </c>
      <c r="MG60" s="30">
        <f>IFERROR(IF(AVERAGE(DATA[[#This Row],[Registered manager: Current 2021/22 Minimum hourly pay rate ADJUSTED]],DATA[[#This Row],[Registered manager: Current 2021/22 Maximum hourly pay rate ADJUSTED]])&lt;LIVING_WAGE_22_23,DATA[[#This Row],[Registered manager: Numbers employed (Full Time Equivalent)]],0),"")</f>
        <v>0</v>
      </c>
      <c r="MH60" s="30">
        <f>IFERROR(IF(AVERAGE(DATA[[#This Row],[Deputy manager: Current 2021/22 Minimum hourly pay rate ADJUSTED]],DATA[[#This Row],[Deputy manager: Current 2021/22 Maximum hourly pay rate ADJUSTED]])&lt;LIVING_WAGE_22_23,DATA[[#This Row],[Deputy manager: Numbers employed (Full Time Equivalent)]],0),"")</f>
        <v>0</v>
      </c>
      <c r="MI60" s="30" t="str">
        <f>IFERROR(IF(AVERAGE(DATA[[#This Row],[Other manager 1: Current 2021/22 Minimum hourly pay rate ADJUSTED]],DATA[[#This Row],[Other manager 1: Current 2021/22 Maximum hourly pay rate ADJUSTED]])&lt;LIVING_WAGE_22_23,DATA[[#This Row],[Other manager 1: Numbers employed (Full Time Equivalent)]],0),"")</f>
        <v/>
      </c>
      <c r="MJ60" s="30" t="str">
        <f>IFERROR(IF(AVERAGE(DATA[[#This Row],[Other manager 2: Current 2021/22 Minimum hourly pay rate ADJUSTED]],DATA[[#This Row],[Other manager 2: Current 2021/22 Maximum hourly pay rate ADJUSTED]])&lt;LIVING_WAGE_22_23,DATA[[#This Row],[Other manager 2: Numbers employed (Full Time Equivalent)]],0),"")</f>
        <v/>
      </c>
      <c r="MK60" s="30" t="str">
        <f>IFERROR(IF(AVERAGE(DATA[[#This Row],[Other manager 3: Current 2021/22 Minimum hourly pay rate ADJUSTED]],DATA[[#This Row],[Other manager 3: Current 2021/22 Maximum hourly pay rate ADJUSTED]])&lt;LIVING_WAGE_22_23,DATA[[#This Row],[Other manager 3: Numbers employed (Full Time Equivalent)]],0),"")</f>
        <v/>
      </c>
      <c r="ML60" s="30">
        <f>IFERROR(IF(AVERAGE(DATA[[#This Row],[Care Assistant 1: Current 2021/22 Minimum hourly pay rate ADJUSTED]],DATA[[#This Row],[Care Assistant 1: Current 2021/22 Maximum hourly pay rate ADJUSTED]])&lt;LIVING_WAGE_22_23,DATA[[#This Row],[Care Assistant 1: Numbers employed (Full Time Equivalent)]],0),"")</f>
        <v>0</v>
      </c>
      <c r="MM60" s="30">
        <f>IFERROR(IF(AVERAGE(DATA[[#This Row],[Care Assistant 2: Current 2021/22 Minimum hourly pay rate ADJUSTED]],DATA[[#This Row],[Care Assistant 2: Current 2021/22 Maximum hourly pay rate ADJUSTED]])&lt;LIVING_WAGE_22_23,DATA[[#This Row],[Care Assistant 2: Numbers employed (Full Time Equivalent)]],0),"")</f>
        <v>0</v>
      </c>
      <c r="MN60" s="30" t="str">
        <f>IFERROR(IF(AVERAGE(DATA[[#This Row],[Care Assistant 3: Current 2021/22 Minimum hourly pay rate ADJUSTED]],DATA[[#This Row],[Care Assistant 3: Current 2021/22 Maximum hourly pay rate ADJUSTED]])&lt;LIVING_WAGE_22_23,DATA[[#This Row],[Care Assistant 3: Numbers employed (Full Time Equivalent)]],0),"")</f>
        <v/>
      </c>
      <c r="MO60" s="30" t="str">
        <f>IFERROR(IF(AVERAGE(DATA[[#This Row],[Care Assistant 4: Current 2021/22 Minimum hourly pay rate ADJUSTED]],DATA[[#This Row],[Care Assistant 4: Current 2021/22 Maximum hourly pay rate ADJUSTED]])&lt;LIVING_WAGE_22_23,DATA[[#This Row],[Care Assistant 4: Numbers employed (Full Time Equivalent)]],0),"")</f>
        <v/>
      </c>
      <c r="MP60"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60"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60" s="30">
        <f>IFERROR(IF(AVERAGE(DATA[[#This Row],[Other staff 1: Current 2021/22 Minimum hourly pay rate ADJUSTED]],DATA[[#This Row],[Other staff 1: Current 2021/22 Maximum hourly pay rate ADJUSTED]])&lt;LIVING_WAGE_22_23,DATA[[#This Row],[Other staff 1: Numbers employed (Full Time Equivalent)]],0),"")</f>
        <v>1</v>
      </c>
      <c r="MS60" s="30" t="str">
        <f>IFERROR(IF(AVERAGE(DATA[[#This Row],[Other staff 2: Current 2021/22 Minimum hourly pay rate ADJUSTED]],DATA[[#This Row],[Other staff 2: Current 2021/22 Maximum hourly pay rate ADJUSTED]])&lt;LIVING_WAGE_22_23,DATA[[#This Row],[Other staff 2: Numbers employed (Full Time Equivalent)]],0),"")</f>
        <v/>
      </c>
      <c r="MT60" s="30" t="str">
        <f>IFERROR(IF(AVERAGE(DATA[[#This Row],[Other staff 3: Current 2021/22 Minimum hourly pay rate ADJUSTED]],DATA[[#This Row],[Other staff 3: Current 2021/22 Maximum hourly pay rate ADJUSTED]])&lt;LIVING_WAGE_22_23,DATA[[#This Row],[Other staff 3: Numbers employed (Full Time Equivalent)]],0),"")</f>
        <v/>
      </c>
      <c r="MU60" s="30">
        <f>SUM(DATA[[#This Row],[Registered Manager FTE earning less than NLW 23yrs 2022/23]:[Other staff 3 FTE earning less than NLW 23yrs 2022/23]])</f>
        <v>1</v>
      </c>
      <c r="MV60"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60"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60"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60"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60"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0"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60"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60"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60"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0"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60"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60"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4.4999999999999929E-2</v>
      </c>
      <c r="NH60"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0"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0" s="30" t="b">
        <v>0</v>
      </c>
      <c r="NK60" s="30" t="b">
        <v>1</v>
      </c>
      <c r="NL60" s="30" t="s">
        <v>972</v>
      </c>
      <c r="NM60" s="30">
        <f>SUM(DATA[[#This Row],[Management staff HOURLY RATE]:[Training and development HOURLY RATE]])</f>
        <v>13.374122162338724</v>
      </c>
      <c r="NN60" s="30">
        <f>SUM(DATA[[#This Row],[Recruitment &amp; advertising (including DBS checks) HOURLY RATE]:[Non-Staffing Direct Cost: Other  - please specify (amount) 2 HOURLY RATE]])</f>
        <v>2.2943410093091621</v>
      </c>
      <c r="NO60" s="30">
        <f>SUM(DATA[[#This Row],[Insurance  HOURLY RATE]:[Indirect costs: Other  - please specify (amount) 2 HOURLY RATE]])</f>
        <v>1.7200065327453862</v>
      </c>
      <c r="NP60" s="30">
        <f>SUM(DATA[[#This Row],[Central / Regional Management HOURLY RATE]:[Corporate Overheads: Other  - please specify (amount) 2 HOURLY RATE]])</f>
        <v>0.30138820839457786</v>
      </c>
      <c r="NQ60"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60" s="30">
        <f>IFERROR(IF(AVERAGE(DATA[[#This Row],[Deputy manager: Current 2021/22 Minimum hourly pay rate ADJUSTED]],DATA[[#This Row],[Deputy manager: Current 2021/22 Maximum hourly pay rate ADJUSTED]])&lt;REAL_LIVING_WAGE_22_23,DATA[[#This Row],[Deputy manager: Numbers employed (Full Time Equivalent)]],0),"")</f>
        <v>0</v>
      </c>
      <c r="NS60" s="30" t="str">
        <f>IFERROR(IF(AVERAGE(DATA[[#This Row],[Other manager 1: Current 2021/22 Minimum hourly pay rate ADJUSTED]],DATA[[#This Row],[Other manager 1: Current 2021/22 Maximum hourly pay rate ADJUSTED]])&lt;REAL_LIVING_WAGE_22_23,DATA[[#This Row],[Other manager 1: Numbers employed (Full Time Equivalent)]],0),"")</f>
        <v/>
      </c>
      <c r="NT60" s="30" t="str">
        <f>IFERROR(IF(AVERAGE(DATA[[#This Row],[Other manager 2: Current 2021/22 Minimum hourly pay rate ADJUSTED]],DATA[[#This Row],[Other manager 2: Current 2021/22 Maximum hourly pay rate ADJUSTED]])&lt;REAL_LIVING_WAGE_22_23,DATA[[#This Row],[Other manager 2: Numbers employed (Full Time Equivalent)]],0),"")</f>
        <v/>
      </c>
      <c r="NU60" s="30" t="str">
        <f>IFERROR(IF(AVERAGE(DATA[[#This Row],[Other manager 3: Current 2021/22 Minimum hourly pay rate ADJUSTED]],DATA[[#This Row],[Other manager 3: Current 2021/22 Maximum hourly pay rate ADJUSTED]])&lt;REAL_LIVING_WAGE_22_23,DATA[[#This Row],[Other manager 3: Numbers employed (Full Time Equivalent)]],0),"")</f>
        <v/>
      </c>
      <c r="NV60" s="30">
        <f>IFERROR(IF(AVERAGE(DATA[[#This Row],[Care Assistant 1: Current 2021/22 Minimum hourly pay rate ADJUSTED]],DATA[[#This Row],[Care Assistant 1: Current 2021/22 Maximum hourly pay rate ADJUSTED]])&lt;REAL_LIVING_WAGE_22_23,DATA[[#This Row],[Care Assistant 1: Numbers employed (Full Time Equivalent)]],0),"")</f>
        <v>0</v>
      </c>
      <c r="NW60" s="30">
        <f>IFERROR(IF(AVERAGE(DATA[[#This Row],[Care Assistant 2: Current 2021/22 Minimum hourly pay rate ADJUSTED]],DATA[[#This Row],[Care Assistant 2: Current 2021/22 Maximum hourly pay rate ADJUSTED]])&lt;REAL_LIVING_WAGE_22_23,DATA[[#This Row],[Care Assistant 2: Numbers employed (Full Time Equivalent)]],0),"")</f>
        <v>0</v>
      </c>
      <c r="NX60"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60"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0"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60"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60" s="30">
        <f>IFERROR(IF(AVERAGE(DATA[[#This Row],[Other staff 1: Current 2021/22 Minimum hourly pay rate ADJUSTED]],DATA[[#This Row],[Other staff 1: Current 2021/22 Maximum hourly pay rate ADJUSTED]])&lt;REAL_LIVING_WAGE_22_23,DATA[[#This Row],[Other staff 1: Numbers employed (Full Time Equivalent)]],0),"")</f>
        <v>1</v>
      </c>
      <c r="OC60" s="30" t="str">
        <f>IFERROR(IF(AVERAGE(DATA[[#This Row],[Other staff 2: Current 2021/22 Minimum hourly pay rate ADJUSTED]],DATA[[#This Row],[Other staff 2: Current 2021/22 Maximum hourly pay rate ADJUSTED]])&lt;REAL_LIVING_WAGE_22_23,DATA[[#This Row],[Other staff 2: Numbers employed (Full Time Equivalent)]],0),"")</f>
        <v/>
      </c>
      <c r="OD60" s="30" t="str">
        <f>IFERROR(IF(AVERAGE(DATA[[#This Row],[Other staff 3: Current 2021/22 Minimum hourly pay rate ADJUSTED]],DATA[[#This Row],[Other staff 3: Current 2021/22 Maximum hourly pay rate ADJUSTED]])&lt;REAL_LIVING_WAGE_22_23,DATA[[#This Row],[Other staff 3: Numbers employed (Full Time Equivalent)]],0),"")</f>
        <v/>
      </c>
      <c r="OE60" s="30">
        <f>SUM(DATA[[#This Row],[Registered Manager FTE earning less than RLW 23yrs 2022/23]:[Other staff 3 FTE earning less than RLW 23yrs 2022/23]])</f>
        <v>1</v>
      </c>
      <c r="OF60"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60"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60"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60"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60"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0"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60"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60"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60"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0"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60"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60"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0.44500000000000028</v>
      </c>
      <c r="OR60"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0"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0" s="30">
        <f>IFERROR(IF(DATA[[#This Row],[Registered manager: Numbers employed (Full Time Equivalent)]]=0,"",DATA[[#This Row],[Registered manager: Current 2021/22 Minimum hourly pay rate ADJUSTED 2]]*DATA[[#This Row],[Registered manager: Numbers employed (Full Time Equivalent)]]),"")</f>
        <v>15</v>
      </c>
      <c r="OU60" s="30">
        <f>IFERROR(IF(DATA[[#This Row],[Registered manager: Numbers employed (Full Time Equivalent)]]=0,"",DATA[[#This Row],[Registered manager: Current 2021/22 Maximum hourly pay rate ADJUSTED 2]]*DATA[[#This Row],[Registered manager: Numbers employed (Full Time Equivalent)]]),"")</f>
        <v>20</v>
      </c>
      <c r="OV60" s="30">
        <f>IFERROR(IF(DATA[[#This Row],[Registered manager: Numbers employed (Full Time Equivalent)]]=0,"",DATA[[#This Row],[Registered manager: Previous 2020/21 Minimum hourly pay rate ADJUSTED 2]]*DATA[[#This Row],[Registered manager: Numbers employed (Full Time Equivalent)]]),"")</f>
        <v>12</v>
      </c>
      <c r="OW60" s="30">
        <f>IFERROR(IF(DATA[[#This Row],[Registered manager: Numbers employed (Full Time Equivalent)]]=0,"",DATA[[#This Row],[Registered manager: Previous 2020/21 Maximum hourly pay rate ADJUSTED 2]]*DATA[[#This Row],[Registered manager: Numbers employed (Full Time Equivalent)]]),"")</f>
        <v>15</v>
      </c>
      <c r="OX60" s="30">
        <f>IFERROR(IF(DATA[[#This Row],[Deputy manager: Numbers employed (Full Time Equivalent)]]=0,"",DATA[[#This Row],[Deputy manager: Current 2021/22 Minimum hourly pay rate ADJUSTED 2]]*DATA[[#This Row],[Deputy manager: Numbers employed (Full Time Equivalent)]]),"")</f>
        <v>14</v>
      </c>
      <c r="OY60" s="30">
        <f>IFERROR(IF(DATA[[#This Row],[Deputy manager: Numbers employed (Full Time Equivalent)]]=0,"",DATA[[#This Row],[Deputy manager: Current 2021/22 Maximum hourly pay rate ADJUSTED 2]]*DATA[[#This Row],[Deputy manager: Numbers employed (Full Time Equivalent)]]),"")</f>
        <v>18</v>
      </c>
      <c r="OZ60" s="30">
        <f>IFERROR(IF(DATA[[#This Row],[Deputy manager: Numbers employed (Full Time Equivalent)]]=0,"",DATA[[#This Row],[Deputy manager: Previous 2020/21 Minimum hourly pay rate ADJUSTED 2]]*DATA[[#This Row],[Deputy manager: Numbers employed (Full Time Equivalent)]]),"")</f>
        <v>14</v>
      </c>
      <c r="PA60" s="30">
        <f>IFERROR(IF(DATA[[#This Row],[Deputy manager: Numbers employed (Full Time Equivalent)]]=0,"",DATA[[#This Row],[Deputy manager: Previous 2020/21 Maximum hourly pay rate ADJUSTED 2]]*DATA[[#This Row],[Deputy manager: Numbers employed (Full Time Equivalent)]]),"")</f>
        <v>18</v>
      </c>
      <c r="PB60" s="30" t="str">
        <f>IFERROR(IF(DATA[[#This Row],[Other manager 1: Numbers employed (Full Time Equivalent)]]=0,"",DATA[[#This Row],[Other manager 1: Current 2021/22 Minimum hourly pay rate ADJUSTED 2]]*DATA[[#This Row],[Other manager 1: Numbers employed (Full Time Equivalent)]]),"")</f>
        <v/>
      </c>
      <c r="PC60" s="30" t="str">
        <f>IFERROR(IF(DATA[[#This Row],[Other manager 1: Numbers employed (Full Time Equivalent)]]=0,"",DATA[[#This Row],[Other manager 1: Current 2021/22 Maximum hourly pay rate ADJUSTED 2]]*DATA[[#This Row],[Other manager 1: Numbers employed (Full Time Equivalent)]]),"")</f>
        <v/>
      </c>
      <c r="PD60" s="30" t="str">
        <f>IFERROR(IF(DATA[[#This Row],[Other manager 1: Numbers employed (Full Time Equivalent)]]=0,"",DATA[[#This Row],[Other manager 1: Previous 2020/21 Minimum hourly pay rate ADJUSTED 2]]*DATA[[#This Row],[Other manager 1: Numbers employed (Full Time Equivalent)]]),"")</f>
        <v/>
      </c>
      <c r="PE60" s="30" t="str">
        <f>IFERROR(IF(DATA[[#This Row],[Other manager 1: Numbers employed (Full Time Equivalent)]]=0,"",DATA[[#This Row],[Other manager 1: Previous 2020/21 Maximum hourly pay rate ADJUSTED 2]]*DATA[[#This Row],[Other manager 1: Numbers employed (Full Time Equivalent)]]),"")</f>
        <v/>
      </c>
      <c r="PF60" s="30" t="str">
        <f>IFERROR(IF(DATA[[#This Row],[Other manager 2: Numbers employed (Full Time Equivalent)]]=0,"",DATA[[#This Row],[Other manager 2: Current 2021/22 Minimum hourly pay rate ADJUSTED 2]]*DATA[[#This Row],[Other manager 2: Numbers employed (Full Time Equivalent)]]),"")</f>
        <v/>
      </c>
      <c r="PG60" s="30" t="str">
        <f>IFERROR(IF(DATA[[#This Row],[Other manager 2: Numbers employed (Full Time Equivalent)]]=0,"",DATA[[#This Row],[Other manager 2: Current 2021/22 Maximum hourly pay rate ADJUSTED 2]]*DATA[[#This Row],[Other manager 2: Numbers employed (Full Time Equivalent)]]),"")</f>
        <v/>
      </c>
      <c r="PH60" s="30" t="str">
        <f>IFERROR(IF(DATA[[#This Row],[Other manager 2: Numbers employed (Full Time Equivalent)]]=0,"",DATA[[#This Row],[Other manager 2: Previous 2020/21 Minimum hourly pay rate ADJUSTED 2]]*DATA[[#This Row],[Other manager 2: Numbers employed (Full Time Equivalent)]]),"")</f>
        <v/>
      </c>
      <c r="PI60" s="30" t="str">
        <f>IFERROR(IF(DATA[[#This Row],[Other manager 2: Numbers employed (Full Time Equivalent)]]=0,"",DATA[[#This Row],[Other manager 2: Previous 2020/21 Maximum hourly pay rate ADJUSTED 2]]*DATA[[#This Row],[Other manager 2: Numbers employed (Full Time Equivalent)]]),"")</f>
        <v/>
      </c>
      <c r="PJ60" s="30" t="str">
        <f>IFERROR(IF(DATA[[#This Row],[Other manager 3: Numbers employed (Full Time Equivalent)]]=0,"",DATA[[#This Row],[Other manager 3: Current 2021/22 Minimum hourly pay rate ADJUSTED 2]]*DATA[[#This Row],[Other manager 3: Numbers employed (Full Time Equivalent)]]),"")</f>
        <v/>
      </c>
      <c r="PK60" s="30" t="str">
        <f>IFERROR(IF(DATA[[#This Row],[Other manager 3: Numbers employed (Full Time Equivalent)]]=0,"",DATA[[#This Row],[Other manager 3: Current 2021/22 Maximum hourly pay rate ADJUSTED 2]]*DATA[[#This Row],[Other manager 3: Numbers employed (Full Time Equivalent)]]),"")</f>
        <v/>
      </c>
      <c r="PL60" s="30" t="str">
        <f>IFERROR(IF(DATA[[#This Row],[Other manager 3: Numbers employed (Full Time Equivalent)]]=0,"",DATA[[#This Row],[Other manager 3: Previous 2020/21 Minimum hourly pay rate ADJUSTED 2]]*DATA[[#This Row],[Other manager 3: Numbers employed (Full Time Equivalent)]]),"")</f>
        <v/>
      </c>
      <c r="PM60" s="30" t="str">
        <f>IFERROR(IF(DATA[[#This Row],[Other manager 3: Numbers employed (Full Time Equivalent)]]=0,"",DATA[[#This Row],[Other manager 3: Previous 2020/21 Maximum hourly pay rate ADJUSTED 2]]*DATA[[#This Row],[Other manager 3: Numbers employed (Full Time Equivalent)]]),"")</f>
        <v/>
      </c>
      <c r="PN60" s="30">
        <f>IFERROR(IF(DATA[[#This Row],[Care Assistant 1: Numbers employed (Full Time Equivalent)]]=0,"",DATA[[#This Row],[Care Assistant 1: Current 2021/22 Minimum hourly pay rate ADJUSTED 2]]*DATA[[#This Row],[Care Assistant 1: Numbers employed (Full Time Equivalent)]]),"")</f>
        <v>11</v>
      </c>
      <c r="PO60" s="30">
        <f>IFERROR(IF(DATA[[#This Row],[Care Assistant 1: Numbers employed (Full Time Equivalent)]]=0,"",DATA[[#This Row],[Care Assistant 1: Current 2021/22 Maximum hourly pay rate ADJUSTED 2]]*DATA[[#This Row],[Care Assistant 1: Numbers employed (Full Time Equivalent)]]),"")</f>
        <v>15</v>
      </c>
      <c r="PP60" s="30">
        <f>IFERROR(IF(DATA[[#This Row],[Care Assistant 1: Numbers employed (Full Time Equivalent)]]=0,"",DATA[[#This Row],[Care Assistant 1: Previous 2020/21 Minimum hourly pay rate ADJUSTED 2]]*DATA[[#This Row],[Care Assistant 1: Numbers employed (Full Time Equivalent)]]),"")</f>
        <v>10</v>
      </c>
      <c r="PQ60" s="30">
        <f>IFERROR(IF(DATA[[#This Row],[Care Assistant 1: Numbers employed (Full Time Equivalent)]]=0,"",DATA[[#This Row],[Care Assistant 1: Previous 2020/21 Maximum hourly pay rate ADJUSTED 2]]*DATA[[#This Row],[Care Assistant 1: Numbers employed (Full Time Equivalent)]]),"")</f>
        <v>13</v>
      </c>
      <c r="PR60" s="30">
        <f>IFERROR(IF(DATA[[#This Row],[Care Assistant 2: Numbers employed (Full Time Equivalent)]]=0,"",DATA[[#This Row],[Care Assistant 2: Current 2021/22 Minimum hourly pay rate ADJUSTED 2]]*DATA[[#This Row],[Care Assistant 2: Numbers employed (Full Time Equivalent)]]),"")</f>
        <v>124.74000000000001</v>
      </c>
      <c r="PS60" s="30">
        <f>IFERROR(IF(DATA[[#This Row],[Care Assistant 2: Numbers employed (Full Time Equivalent)]]=0,"",DATA[[#This Row],[Care Assistant 2: Current 2021/22 Maximum hourly pay rate ADJUSTED 2]]*DATA[[#This Row],[Care Assistant 2: Numbers employed (Full Time Equivalent)]]),"")</f>
        <v>154</v>
      </c>
      <c r="PT60" s="30">
        <f>IFERROR(IF(DATA[[#This Row],[Care Assistant 2: Numbers employed (Full Time Equivalent)]]=0,"",DATA[[#This Row],[Care Assistant 2: Previous 2020/21 Minimum hourly pay rate ADJUSTED 2]]*DATA[[#This Row],[Care Assistant 2: Numbers employed (Full Time Equivalent)]]),"")</f>
        <v>122.08000000000001</v>
      </c>
      <c r="PU60" s="30">
        <f>IFERROR(IF(DATA[[#This Row],[Care Assistant 2: Numbers employed (Full Time Equivalent)]]=0,"",DATA[[#This Row],[Care Assistant 2: Previous 2020/21 Maximum hourly pay rate ADJUSTED 2]]*DATA[[#This Row],[Care Assistant 2: Numbers employed (Full Time Equivalent)]]),"")</f>
        <v>140</v>
      </c>
      <c r="PV60" s="30" t="str">
        <f>IFERROR(IF(DATA[[#This Row],[Care Assistant 3: Numbers employed (Full Time Equivalent)]]=0,"",DATA[[#This Row],[Care Assistant 3: Current 2021/22 Minimum hourly pay rate ADJUSTED 2]]*DATA[[#This Row],[Care Assistant 3: Numbers employed (Full Time Equivalent)]]),"")</f>
        <v/>
      </c>
      <c r="PW60" s="30" t="str">
        <f>IFERROR(IF(DATA[[#This Row],[Care Assistant 3: Numbers employed (Full Time Equivalent)]]=0,"",DATA[[#This Row],[Care Assistant 3: Current 2021/22 Maximum hourly pay rate ADJUSTED 2]]*DATA[[#This Row],[Care Assistant 3: Numbers employed (Full Time Equivalent)]]),"")</f>
        <v/>
      </c>
      <c r="PX60" s="30" t="str">
        <f>IFERROR(IF(DATA[[#This Row],[Care Assistant 3: Numbers employed (Full Time Equivalent)]]=0,"",DATA[[#This Row],[Care Assistant 3: Previous 2020/21 Minimum hourly pay rate ADJUSTED 2]]*DATA[[#This Row],[Care Assistant 3: Numbers employed (Full Time Equivalent)]]),"")</f>
        <v/>
      </c>
      <c r="PY60" s="30" t="str">
        <f>IFERROR(IF(DATA[[#This Row],[Care Assistant 3: Numbers employed (Full Time Equivalent)]]=0,"",DATA[[#This Row],[Care Assistant 3: Previous 2020/21 Maximum hourly pay rate ADJUSTED 2]]*DATA[[#This Row],[Care Assistant 3: Numbers employed (Full Time Equivalent)]]),"")</f>
        <v/>
      </c>
      <c r="PZ60" s="30" t="str">
        <f>IFERROR(IF(DATA[[#This Row],[Care Assistant 4: Numbers employed (Full Time Equivalent)]]=0,"",DATA[[#This Row],[Care Assistant 4: Current 2021/22 Minimum hourly pay rate ADJUSTED 2]]*DATA[[#This Row],[Care Assistant 4: Numbers employed (Full Time Equivalent)]]),"")</f>
        <v/>
      </c>
      <c r="QA60" s="30" t="str">
        <f>IFERROR(IF(DATA[[#This Row],[Care Assistant 4: Numbers employed (Full Time Equivalent)]]=0,"",DATA[[#This Row],[Care Assistant 4: Current 2021/22 Maximum hourly pay rate ADJUSTED 2]]*DATA[[#This Row],[Care Assistant 4: Numbers employed (Full Time Equivalent)]]),"")</f>
        <v/>
      </c>
      <c r="QB60" s="30" t="str">
        <f>IFERROR(IF(DATA[[#This Row],[Care Assistant 4: Numbers employed (Full Time Equivalent)]]=0,"",DATA[[#This Row],[Care Assistant 4: Previous 2020/21 Minimum hourly pay rate ADJUSTED 2]]*DATA[[#This Row],[Care Assistant 4: Numbers employed (Full Time Equivalent)]]),"")</f>
        <v/>
      </c>
      <c r="QC60" s="30" t="str">
        <f>IFERROR(IF(DATA[[#This Row],[Care Assistant 4: Numbers employed (Full Time Equivalent)]]=0,"",DATA[[#This Row],[Care Assistant 4: Previous 2020/21 Maximum hourly pay rate ADJUSTED 2]]*DATA[[#This Row],[Care Assistant 4: Numbers employed (Full Time Equivalent)]]),"")</f>
        <v/>
      </c>
      <c r="QD60" s="30" t="str">
        <f>IFERROR(IF(DATA[[#This Row],[Administrative Officer 1: Numbers employed (Full Time Equivalent)]]=0,"",DATA[[#This Row],[Administrative Officer 1: Current 2021/22 Minimum hourly pay rate ADJUSTED 2]]*DATA[[#This Row],[Administrative Officer 1: Numbers employed (Full Time Equivalent)]]),"")</f>
        <v/>
      </c>
      <c r="QE60" s="30" t="str">
        <f>IFERROR(IF(DATA[[#This Row],[Administrative Officer 1: Numbers employed (Full Time Equivalent)]]=0,"",DATA[[#This Row],[Administrative Officer 1: Current 2021/22 Maximum hourly pay rate ADJUSTED 2]]*DATA[[#This Row],[Administrative Officer 1: Numbers employed (Full Time Equivalent)]]),"")</f>
        <v/>
      </c>
      <c r="QF60" s="30" t="str">
        <f>IFERROR(IF(DATA[[#This Row],[Administrative Officer 1: Numbers employed (Full Time Equivalent)]]=0,"",DATA[[#This Row],[Administrative Officer 1: Previous 2020/21 Minimum hourly pay rate ADJUSTED 2]]*DATA[[#This Row],[Administrative Officer 1: Numbers employed (Full Time Equivalent)]]),"")</f>
        <v/>
      </c>
      <c r="QG60" s="30" t="str">
        <f>IFERROR(IF(DATA[[#This Row],[Administrative Officer 1: Numbers employed (Full Time Equivalent)]]=0,"",DATA[[#This Row],[Administrative Officer 1: Previous 2020/21 Maximum hourly pay rate ADJUSTED 2]]*DATA[[#This Row],[Administrative Officer 1: Numbers employed (Full Time Equivalent)]]),"")</f>
        <v/>
      </c>
      <c r="QH60" s="30" t="str">
        <f>IFERROR(IF(DATA[[#This Row],[Administrative Officer 2: Numbers employed (Full Time Equivalent)]]=0,"",DATA[[#This Row],[Administrative Officer 2: Current 2021/22 Minimum hourly pay rate ADJUSTED 2]]*DATA[[#This Row],[Administrative Officer 2: Numbers employed (Full Time Equivalent)]]),"")</f>
        <v/>
      </c>
      <c r="QI60" s="30" t="str">
        <f>IFERROR(IF(DATA[[#This Row],[Administrative Officer 2: Numbers employed (Full Time Equivalent)]]=0,"",DATA[[#This Row],[Administrative Officer 2: Current 2021/22 Maximum hourly pay rate ADJUSTED 2]]*DATA[[#This Row],[Administrative Officer 2: Numbers employed (Full Time Equivalent)]]),"")</f>
        <v/>
      </c>
      <c r="QJ60" s="30" t="str">
        <f>IFERROR(IF(DATA[[#This Row],[Administrative Officer 2: Numbers employed (Full Time Equivalent)]]=0,"",DATA[[#This Row],[Administrative Officer 2: Previous 2020/21 Minimum hourly pay rate ADJUSTED 2]]*DATA[[#This Row],[Administrative Officer 2: Numbers employed (Full Time Equivalent)]]),"")</f>
        <v/>
      </c>
      <c r="QK60" s="30" t="str">
        <f>IFERROR(IF(DATA[[#This Row],[Administrative Officer 2: Numbers employed (Full Time Equivalent)]]=0,"",DATA[[#This Row],[Administrative Officer 2: Previous 2020/21 Maximum hourly pay rate ADJUSTED 2]]*DATA[[#This Row],[Administrative Officer 2: Numbers employed (Full Time Equivalent)]]),"")</f>
        <v/>
      </c>
      <c r="QL60" s="30" t="str">
        <f>IFERROR(IF(DATA[[#This Row],[Administrative Officer 3: Numbers employed (Full Time Equivalent)]]=0,"",DATA[[#This Row],[Administrative Officer 3: Current 2021/22 Minimum hourly pay rate ADJUSTED 2]]*DATA[[#This Row],[Administrative Officer 3: Numbers employed (Full Time Equivalent)]]),"")</f>
        <v/>
      </c>
      <c r="QM60" s="30" t="str">
        <f>IFERROR(IF(DATA[[#This Row],[Administrative Officer 3: Numbers employed (Full Time Equivalent)]]=0,"",DATA[[#This Row],[Administrative Officer 3: Current 2021/22 Maximum hourly pay rate ADJUSTED 2]]*DATA[[#This Row],[Administrative Officer 3: Numbers employed (Full Time Equivalent)]]),"")</f>
        <v/>
      </c>
      <c r="QN60" s="30" t="str">
        <f>IFERROR(IF(DATA[[#This Row],[Administrative Officer 3: Numbers employed (Full Time Equivalent)]]=0,"",DATA[[#This Row],[Administrative Officer 3: Previous 2020/21 Minimum hourly pay rate ADJUSTED 2]]*DATA[[#This Row],[Administrative Officer 3: Numbers employed (Full Time Equivalent)]]),"")</f>
        <v/>
      </c>
      <c r="QO60" s="30" t="str">
        <f>IFERROR(IF(DATA[[#This Row],[Administrative Officer 3: Numbers employed (Full Time Equivalent)]]=0,"",DATA[[#This Row],[Administrative Officer 3: Previous 2020/21 Maximum hourly pay rate ADJUSTED 2]]*DATA[[#This Row],[Administrative Officer 3: Numbers employed (Full Time Equivalent)]]),"")</f>
        <v/>
      </c>
      <c r="QP60" s="28">
        <f>IFERROR(IF(DATA[[#This Row],[Other staff 1: Numbers employed (Full Time Equivalent)]]=0,"",DATA[[#This Row],[Other staff 1: Current 2021/22 Minimum hourly pay rate ADJUSTED 2]]*DATA[[#This Row],[Other staff 1: Numbers employed (Full Time Equivalent)]]),"")</f>
        <v>8.91</v>
      </c>
      <c r="QQ60" s="28">
        <f>IFERROR(IF(DATA[[#This Row],[Other staff 1: Numbers employed (Full Time Equivalent)]]=0,"",DATA[[#This Row],[Other staff 1: Current 2021/22 Maximum hourly pay rate ADJUSTED 2]]*DATA[[#This Row],[Other staff 1: Numbers employed (Full Time Equivalent)]]),"")</f>
        <v>10</v>
      </c>
      <c r="QR60" s="28">
        <f>IFERROR(IF(DATA[[#This Row],[Other staff 1: Numbers employed (Full Time Equivalent)]]=0,"",DATA[[#This Row],[Other staff 1: Previous 2020/21 Minimum hourly pay rate ADJUSTED 2]]*DATA[[#This Row],[Other staff 1: Numbers employed (Full Time Equivalent)]]),"")</f>
        <v>8.7200000000000006</v>
      </c>
      <c r="QS60" s="28">
        <f>IFERROR(IF(DATA[[#This Row],[Other staff 1: Numbers employed (Full Time Equivalent)]]=0,"",DATA[[#This Row],[Other staff 1: Previous 2020/21 Maximum hourly pay rate ADJUSTED 2]]*DATA[[#This Row],[Other staff 1: Numbers employed (Full Time Equivalent)]]),"")</f>
        <v>9</v>
      </c>
      <c r="QT60" s="28" t="str">
        <f>IFERROR(IF(DATA[[#This Row],[Other staff 2: Numbers employed (Full Time Equivalent)]]=0,"",DATA[[#This Row],[Other staff 2: Current 2021/22 Minimum hourly pay rate ADJUSTED 2]]*DATA[[#This Row],[Other staff 2: Numbers employed (Full Time Equivalent)]]),"")</f>
        <v/>
      </c>
      <c r="QU60" s="28" t="str">
        <f>IFERROR(IF(DATA[[#This Row],[Other staff 2: Numbers employed (Full Time Equivalent)]]=0,"",DATA[[#This Row],[Other staff 2: Current 2021/22 Maximum hourly pay rate ADJUSTED 2]]*DATA[[#This Row],[Other staff 2: Numbers employed (Full Time Equivalent)]]),"")</f>
        <v/>
      </c>
      <c r="QV60" s="28" t="str">
        <f>IFERROR(IF(DATA[[#This Row],[Other staff 2: Numbers employed (Full Time Equivalent)]]=0,"",DATA[[#This Row],[Other staff 2: Previous 2020/21 Minimum hourly pay rate ADJUSTED 2]]*DATA[[#This Row],[Other staff 2: Numbers employed (Full Time Equivalent)]]),"")</f>
        <v/>
      </c>
      <c r="QW60" s="28" t="str">
        <f>IFERROR(IF(DATA[[#This Row],[Other staff 2: Numbers employed (Full Time Equivalent)]]=0,"",DATA[[#This Row],[Other staff 2: Previous 2020/21 Maximum hourly pay rate ADJUSTED 2]]*DATA[[#This Row],[Other staff 2: Numbers employed (Full Time Equivalent)]]),"")</f>
        <v/>
      </c>
      <c r="QX60" s="28" t="str">
        <f>IFERROR(IF(DATA[[#This Row],[Other staff 3: Numbers employed (Full Time Equivalent)]]=0,"",DATA[[#This Row],[Other staff 3: Current 2021/22 Minimum hourly pay rate ADJUSTED 2]]*DATA[[#This Row],[Other staff 3: Numbers employed (Full Time Equivalent)]]),"")</f>
        <v/>
      </c>
      <c r="QY60" s="28" t="str">
        <f>IFERROR(IF(DATA[[#This Row],[Other staff 3: Numbers employed (Full Time Equivalent)]]=0,"",DATA[[#This Row],[Other staff 3: Current 2021/22 Maximum hourly pay rate ADJUSTED 2]]*DATA[[#This Row],[Other staff 3: Numbers employed (Full Time Equivalent)]]),"")</f>
        <v/>
      </c>
      <c r="QZ60" s="28" t="str">
        <f>IFERROR(IF(DATA[[#This Row],[Other staff 3: Numbers employed (Full Time Equivalent)]]=0,"",DATA[[#This Row],[Other staff 3: Previous 2020/21 Minimum hourly pay rate ADJUSTED 2]]*DATA[[#This Row],[Other staff 3: Numbers employed (Full Time Equivalent)]]),"")</f>
        <v/>
      </c>
      <c r="RA60" s="28" t="str">
        <f>IFERROR(IF(DATA[[#This Row],[Other staff 3: Numbers employed (Full Time Equivalent)]]=0,"",DATA[[#This Row],[Other staff 3: Previous 2020/21 Maximum hourly pay rate ADJUSTED 2]]*DATA[[#This Row],[Other staff 3: Numbers employed (Full Time Equivalent)]]),"")</f>
        <v/>
      </c>
      <c r="RB60"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60"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60"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60"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60"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0"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v>
      </c>
      <c r="RH60"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14</v>
      </c>
      <c r="RI60"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60"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0"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60"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60"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60"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60"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0"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1" spans="7:484" x14ac:dyDescent="0.25">
      <c r="G61" s="2">
        <v>55</v>
      </c>
      <c r="H61" s="2">
        <v>300</v>
      </c>
      <c r="I61" s="2">
        <v>0</v>
      </c>
      <c r="J61" s="2">
        <v>1</v>
      </c>
      <c r="K61" s="2">
        <v>0</v>
      </c>
      <c r="L61" s="2" t="s">
        <v>328</v>
      </c>
      <c r="M61" s="2" t="s">
        <v>328</v>
      </c>
      <c r="R61" s="2">
        <v>20.51</v>
      </c>
      <c r="S61" s="2">
        <v>22.05</v>
      </c>
      <c r="T61" s="2">
        <v>17.309999999999999</v>
      </c>
      <c r="U61" s="2">
        <v>20.51</v>
      </c>
      <c r="V61" s="2">
        <v>1</v>
      </c>
      <c r="W61" s="2">
        <v>13.33</v>
      </c>
      <c r="X61" s="2">
        <v>14.31</v>
      </c>
      <c r="Y61" s="2">
        <v>13.33</v>
      </c>
      <c r="Z61" s="2">
        <v>13.33</v>
      </c>
      <c r="AA61" s="2">
        <v>1</v>
      </c>
      <c r="AB61" s="2" t="s">
        <v>552</v>
      </c>
      <c r="AC61" s="2">
        <v>20.51</v>
      </c>
      <c r="AD61" s="2">
        <v>22.05</v>
      </c>
      <c r="AE61" s="2">
        <v>20</v>
      </c>
      <c r="AF61" s="2">
        <v>20.51</v>
      </c>
      <c r="AG61" s="2">
        <v>1</v>
      </c>
      <c r="AH61" s="2" t="s">
        <v>553</v>
      </c>
      <c r="AI61" s="2">
        <v>15.38</v>
      </c>
      <c r="AJ61" s="2">
        <v>15.38</v>
      </c>
      <c r="AK61" s="2">
        <v>11.28</v>
      </c>
      <c r="AL61" s="2">
        <v>11.28</v>
      </c>
      <c r="AM61" s="2">
        <v>1</v>
      </c>
      <c r="AN61" s="2" t="s">
        <v>315</v>
      </c>
      <c r="AO61" s="2">
        <v>0</v>
      </c>
      <c r="AP61" s="2">
        <v>0</v>
      </c>
      <c r="AQ61" s="2">
        <v>0</v>
      </c>
      <c r="AR61" s="2">
        <v>0</v>
      </c>
      <c r="AS61" s="2">
        <v>0</v>
      </c>
      <c r="AT61" s="2" t="s">
        <v>554</v>
      </c>
      <c r="AU61" s="2">
        <v>9.91</v>
      </c>
      <c r="AV61" s="2">
        <v>10</v>
      </c>
      <c r="AW61" s="2">
        <v>9.91</v>
      </c>
      <c r="AX61" s="2">
        <v>9.91</v>
      </c>
      <c r="AY61" s="2">
        <v>3</v>
      </c>
      <c r="AZ61" s="2" t="s">
        <v>316</v>
      </c>
      <c r="BA61" s="2">
        <v>8.7200000000000006</v>
      </c>
      <c r="BB61" s="2">
        <v>8.91</v>
      </c>
      <c r="BC61" s="2">
        <v>8.2100000000000009</v>
      </c>
      <c r="BD61" s="2">
        <v>8.2100000000000009</v>
      </c>
      <c r="BE61" s="2">
        <v>131</v>
      </c>
      <c r="BF61" s="2" t="s">
        <v>316</v>
      </c>
      <c r="BG61" s="2">
        <v>9</v>
      </c>
      <c r="BH61" s="2">
        <v>9.15</v>
      </c>
      <c r="BI61" s="2">
        <v>9</v>
      </c>
      <c r="BJ61" s="2">
        <v>9</v>
      </c>
      <c r="BK61" s="2">
        <v>34</v>
      </c>
      <c r="BL61" s="2" t="s">
        <v>316</v>
      </c>
      <c r="BM61" s="2">
        <v>0</v>
      </c>
      <c r="BN61" s="2">
        <v>0</v>
      </c>
      <c r="BO61" s="2">
        <v>0</v>
      </c>
      <c r="BP61" s="2">
        <v>0</v>
      </c>
      <c r="BQ61" s="2">
        <v>0</v>
      </c>
      <c r="BR61" s="2" t="s">
        <v>555</v>
      </c>
      <c r="BS61" s="2">
        <v>9.5</v>
      </c>
      <c r="BT61" s="2">
        <v>9.74</v>
      </c>
      <c r="BU61" s="2">
        <v>9.5</v>
      </c>
      <c r="BV61" s="2">
        <v>9.5</v>
      </c>
      <c r="BW61" s="2">
        <v>3</v>
      </c>
      <c r="BX61" s="2" t="s">
        <v>556</v>
      </c>
      <c r="BY61" s="2">
        <v>4.3499999999999996</v>
      </c>
      <c r="BZ61" s="2">
        <v>4.55</v>
      </c>
      <c r="CA61" s="2">
        <v>4.3499999999999996</v>
      </c>
      <c r="CB61" s="2">
        <v>4.55</v>
      </c>
      <c r="CC61" s="2">
        <v>3</v>
      </c>
      <c r="CD61" s="2" t="s">
        <v>317</v>
      </c>
      <c r="CE61" s="2">
        <v>0</v>
      </c>
      <c r="CF61" s="2">
        <v>0</v>
      </c>
      <c r="CG61" s="2">
        <v>0</v>
      </c>
      <c r="CH61" s="2">
        <v>0</v>
      </c>
      <c r="CI61" s="2">
        <v>0</v>
      </c>
      <c r="CJ61" s="2" t="s">
        <v>318</v>
      </c>
      <c r="CK61" s="2">
        <v>0</v>
      </c>
      <c r="CL61" s="2">
        <v>0</v>
      </c>
      <c r="CM61" s="2">
        <v>0</v>
      </c>
      <c r="CN61" s="2">
        <v>0</v>
      </c>
      <c r="CO61" s="2">
        <v>0</v>
      </c>
      <c r="CP61" s="2" t="s">
        <v>318</v>
      </c>
      <c r="CQ61" s="2">
        <v>0</v>
      </c>
      <c r="CR61" s="2">
        <v>0</v>
      </c>
      <c r="CS61" s="2">
        <v>0</v>
      </c>
      <c r="CT61" s="2">
        <v>0</v>
      </c>
      <c r="CU61" s="2">
        <v>0</v>
      </c>
      <c r="CV61" s="2" t="s">
        <v>318</v>
      </c>
      <c r="CW61" s="2">
        <v>0</v>
      </c>
      <c r="CX61" s="2">
        <v>0</v>
      </c>
      <c r="CY61" s="2">
        <v>0</v>
      </c>
      <c r="CZ61" s="2">
        <v>0</v>
      </c>
      <c r="DA61" s="2">
        <v>0</v>
      </c>
      <c r="DB61" s="2">
        <v>0.03</v>
      </c>
      <c r="DC61" s="2">
        <v>0</v>
      </c>
      <c r="DD61" s="2">
        <v>0</v>
      </c>
      <c r="DE61" s="2">
        <v>0</v>
      </c>
      <c r="DF61" s="2">
        <v>0</v>
      </c>
      <c r="DG61" s="2">
        <v>0</v>
      </c>
      <c r="DH61" s="2">
        <v>0</v>
      </c>
      <c r="DI61" s="2">
        <v>2282.5</v>
      </c>
      <c r="DJ61" s="2">
        <v>661</v>
      </c>
      <c r="DK61" s="2">
        <v>91.5</v>
      </c>
      <c r="DL61" s="2">
        <v>307</v>
      </c>
      <c r="DM61" s="2">
        <v>108</v>
      </c>
      <c r="DN61" s="2">
        <v>0</v>
      </c>
      <c r="DO61" s="2">
        <v>14.86</v>
      </c>
      <c r="DP61" s="2">
        <v>15.58</v>
      </c>
      <c r="DQ61" s="2">
        <v>15.58</v>
      </c>
      <c r="DR61" s="18">
        <v>43891</v>
      </c>
      <c r="DS61" s="18">
        <v>44255</v>
      </c>
      <c r="DT61" s="2">
        <v>130785.71</v>
      </c>
      <c r="DU61" s="2">
        <v>120000</v>
      </c>
      <c r="DV61" s="2">
        <v>1145574</v>
      </c>
      <c r="DW61" s="2">
        <v>95000</v>
      </c>
      <c r="DX61" s="2">
        <v>0</v>
      </c>
      <c r="DY61" s="2">
        <v>0</v>
      </c>
      <c r="DZ61" s="2">
        <v>41183</v>
      </c>
      <c r="EA61" s="2">
        <v>8500</v>
      </c>
      <c r="EB61" s="2">
        <v>35060</v>
      </c>
      <c r="EC61" s="2">
        <v>32211</v>
      </c>
      <c r="ED61" s="2">
        <v>0</v>
      </c>
      <c r="EE61" s="2">
        <v>21270</v>
      </c>
      <c r="EF61" s="2">
        <v>15338</v>
      </c>
      <c r="EG61" s="2">
        <v>24982</v>
      </c>
      <c r="EH61" s="2" t="s">
        <v>557</v>
      </c>
      <c r="EI61" s="2">
        <v>18750</v>
      </c>
      <c r="EJ61" s="2" t="s">
        <v>324</v>
      </c>
      <c r="EK61" s="2">
        <v>0</v>
      </c>
      <c r="EL61" s="2">
        <v>41672</v>
      </c>
      <c r="EM61" s="2">
        <v>19010</v>
      </c>
      <c r="EN61" s="2">
        <v>19671</v>
      </c>
      <c r="EO61" s="2">
        <v>35713</v>
      </c>
      <c r="EP61" s="2">
        <v>0</v>
      </c>
      <c r="EQ61" s="2">
        <v>0</v>
      </c>
      <c r="ER61" s="2">
        <v>1645</v>
      </c>
      <c r="ES61" s="2">
        <v>0</v>
      </c>
      <c r="ET61" s="2"/>
      <c r="EU61" s="2"/>
      <c r="EV61" s="2" t="s">
        <v>558</v>
      </c>
      <c r="EW61" s="2">
        <v>46580</v>
      </c>
      <c r="EX61" s="2">
        <v>0</v>
      </c>
      <c r="EY61" s="2">
        <v>9170</v>
      </c>
      <c r="EZ61" s="2" t="s">
        <v>559</v>
      </c>
      <c r="FA61" s="2">
        <v>13688</v>
      </c>
      <c r="FB61" s="2" t="s">
        <v>326</v>
      </c>
      <c r="FC61" s="2">
        <v>0</v>
      </c>
      <c r="FD61" s="2">
        <v>85983</v>
      </c>
      <c r="FE61" s="2">
        <v>0</v>
      </c>
      <c r="FF61" s="2">
        <v>1</v>
      </c>
      <c r="FG61" s="2"/>
      <c r="FH61" s="19">
        <v>44480.62709490741</v>
      </c>
      <c r="FI61" s="2" t="s">
        <v>345</v>
      </c>
      <c r="FJ61" s="2">
        <f>SUM(DATA[[#This Row],[Number of Home support clients:]],DATA[[#This Row],[Number of supported living clients:]])</f>
        <v>300</v>
      </c>
      <c r="FK61"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201+</v>
      </c>
      <c r="FL61"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20.51</v>
      </c>
      <c r="FM61"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22.05</v>
      </c>
      <c r="FN61"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17.309999999999999</v>
      </c>
      <c r="FO61"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20.51</v>
      </c>
      <c r="FP61"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13.33</v>
      </c>
      <c r="FQ61"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14.31</v>
      </c>
      <c r="FR61"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13.33</v>
      </c>
      <c r="FS61"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13.33</v>
      </c>
      <c r="FT61"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20.51</v>
      </c>
      <c r="FU61"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22.05</v>
      </c>
      <c r="FV61"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20</v>
      </c>
      <c r="FW61"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20.51</v>
      </c>
      <c r="FX61"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15.38</v>
      </c>
      <c r="FY61"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15.38</v>
      </c>
      <c r="FZ61"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11.28</v>
      </c>
      <c r="GA61"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11.28</v>
      </c>
      <c r="GB61"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1"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1"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1"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1"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9.91</v>
      </c>
      <c r="GG61"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v>
      </c>
      <c r="GH61"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9.91</v>
      </c>
      <c r="GI61"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9.91</v>
      </c>
      <c r="GJ61"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8.7200000000000006</v>
      </c>
      <c r="GK61"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8.91</v>
      </c>
      <c r="GL61"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8.2100000000000009</v>
      </c>
      <c r="GM61"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8.2100000000000009</v>
      </c>
      <c r="GN61"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v>
      </c>
      <c r="GO61"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9.15</v>
      </c>
      <c r="GP61"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9</v>
      </c>
      <c r="GQ61"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v>
      </c>
      <c r="GR61"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1"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1"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1"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1"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9.5</v>
      </c>
      <c r="GW61"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9.74</v>
      </c>
      <c r="GX61"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9.5</v>
      </c>
      <c r="GY61"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9.5</v>
      </c>
      <c r="GZ61"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4.3499999999999996</v>
      </c>
      <c r="HA61"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4.55</v>
      </c>
      <c r="HB61"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4.3499999999999996</v>
      </c>
      <c r="HC61"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4.55</v>
      </c>
      <c r="HD61"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61"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61"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61"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61"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61"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61"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61"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61"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1"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1"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1"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1"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1"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1"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1"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1"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20.51</v>
      </c>
      <c r="HU61"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22.05</v>
      </c>
      <c r="HV61"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17.309999999999999</v>
      </c>
      <c r="HW61"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20.51</v>
      </c>
      <c r="HX61"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13.33</v>
      </c>
      <c r="HY61"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14.31</v>
      </c>
      <c r="HZ61"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13.33</v>
      </c>
      <c r="IA61"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13.33</v>
      </c>
      <c r="IB61"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20.51</v>
      </c>
      <c r="IC61"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22.05</v>
      </c>
      <c r="ID61"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20</v>
      </c>
      <c r="IE61"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20.51</v>
      </c>
      <c r="IF61"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15.38</v>
      </c>
      <c r="IG61"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15.38</v>
      </c>
      <c r="IH61"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11.28</v>
      </c>
      <c r="II61"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11.28</v>
      </c>
      <c r="IJ61"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1"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1"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1"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1"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9.91</v>
      </c>
      <c r="IO61"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v>
      </c>
      <c r="IP61"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9.91</v>
      </c>
      <c r="IQ61"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9.91</v>
      </c>
      <c r="IR61"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8.7200000000000006</v>
      </c>
      <c r="IS61"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8.91</v>
      </c>
      <c r="IT61"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8.2100000000000009</v>
      </c>
      <c r="IU61"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8.2100000000000009</v>
      </c>
      <c r="IV61"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v>
      </c>
      <c r="IW61"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9.15</v>
      </c>
      <c r="IX61"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9</v>
      </c>
      <c r="IY61"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v>
      </c>
      <c r="IZ61"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1"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1"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1"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1"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9.5</v>
      </c>
      <c r="JE61"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9.74</v>
      </c>
      <c r="JF61"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9.5</v>
      </c>
      <c r="JG61"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9.5</v>
      </c>
      <c r="JH61"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4.3499999999999996</v>
      </c>
      <c r="JI61"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4.55</v>
      </c>
      <c r="JJ61"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4.3499999999999996</v>
      </c>
      <c r="JK61"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4.55</v>
      </c>
      <c r="JL61"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61"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61"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61"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61"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61"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61"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61"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61"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1"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1"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1"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1"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1"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1"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1"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1"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v>
      </c>
      <c r="KC61" s="21">
        <f>SUM(DATA[[#This Row],[Care Assistant 1: Numbers employed (Full Time Equivalent)]],DATA[[#This Row],[Care Assistant 2: Numbers employed (Full Time Equivalent)]],DATA[[#This Row],[Care Assistant 3: Numbers employed (Full Time Equivalent)]],DATA[[#This Row],[Care Assistant 4: Numbers employed (Full Time Equivalent)]])</f>
        <v>168</v>
      </c>
      <c r="KD61" s="21">
        <f>SUM(DATA[[#This Row],[Administrative Officer 1: Numbers employed (Full Time Equivalent)]],DATA[[#This Row],[Administrative Officer 2: Numbers employed (Full Time Equivalent)]])</f>
        <v>6</v>
      </c>
      <c r="KE61" s="21">
        <f>SUM(DATA[[#This Row],[Other staff 1: Numbers employed (Full Time Equivalent)]],DATA[[#This Row],[Other staff 2: Numbers employed (Full Time Equivalent)]],DATA[[#This Row],[Other staff 3: Numbers employed (Full Time Equivalent)]])</f>
        <v>0</v>
      </c>
      <c r="KF61" s="21">
        <f>SUM(DATA[[#This Row],[Total FTE Management Employees]:[Total FTE Other Employees]])</f>
        <v>178</v>
      </c>
      <c r="KG61" s="21" t="str">
        <f>IF(SUM(DATA[[#This Row],[Home Support service split percentage (Expenditure):]],DATA[[#This Row],[Supported Living service split percentage (Expenditure):]])&gt;0, IF(DATA[[#This Row],[Home Support service split percentage (Expenditure):]]&gt;0.5,"Home Support","Supported Living"), "Unknown")</f>
        <v>Home Support</v>
      </c>
      <c r="KH61" s="21">
        <f>SUM(DATA[[#This Row],[Home Support: Birmingham City Council]:[Home Support: Self-funded]])</f>
        <v>0</v>
      </c>
      <c r="KI61" s="21">
        <f>SUM(DATA[[#This Row],[Supported Living: Birmingham City Council]:[Supported Living: Self-funded]])</f>
        <v>3450</v>
      </c>
      <c r="KJ61"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1"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1"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1"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1" s="21" t="b">
        <f>SUM(DATA[[#This Row],[Number of hours of care charged for in last full accounting year]:[Corporate Overheads: Other  - please specify (category) 1]])&gt;0</f>
        <v>1</v>
      </c>
      <c r="KO61" s="21">
        <f>SUM(DATA[[#This Row],[Total annual expenditure: Management staff]:[Total annual expenditure: Training and development]])</f>
        <v>1445317</v>
      </c>
      <c r="KP61" s="21">
        <f>SUM(DATA[[#This Row],[Recruitment &amp; advertising (including DBS checks)]:[Non-Staffing Direct Cost: Other  - please specify (amount) 2]])</f>
        <v>112551</v>
      </c>
      <c r="KQ61" s="21">
        <f>SUM(DATA[[#This Row],[Insurance ]:[Indirect costs: Other 2 - please specify (amount)]])</f>
        <v>164291</v>
      </c>
      <c r="KR61" s="21">
        <f>SUM(DATA[[#This Row],[Central / Regional Management]],DATA[[#This Row],[Support Services (finance / HR / Payroll / legal etc.)]],DATA[[#This Row],[Corporate Overheads: Other  - please specify (amount) 1]],DATA[[#This Row],[Corporate Overheads: Other  - please specify (amount) 2]])</f>
        <v>22858</v>
      </c>
      <c r="KS61"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0.91753143367115564</v>
      </c>
      <c r="KT61"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8.7591679549700032</v>
      </c>
      <c r="KU61"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0.72637905165633154</v>
      </c>
      <c r="KV61"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61"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61" s="30">
        <f>IF(OR(NOT(DATA[[#This Row],[Total annual expenditure: Travel Cost]]&gt;0),NOT(DATA[[#This Row],[Number of hours of care charged for in last full accounting year]]&gt;0)),0,DATA[[#This Row],[Total annual expenditure: Travel Cost]]/DATA[[#This Row],[Number of hours of care charged for in last full accounting year]])</f>
        <v>0.31488914194066003</v>
      </c>
      <c r="KY61" s="30">
        <f>IF(OR(NOT(DATA[[#This Row],[Total annual expenditure: Travel Time]]&gt;0),NOT(DATA[[#This Row],[Number of hours of care charged for in last full accounting year]]&gt;0)),0,DATA[[#This Row],[Total annual expenditure: Travel Time]]/DATA[[#This Row],[Number of hours of care charged for in last full accounting year]])</f>
        <v>6.4991809885040192E-2</v>
      </c>
      <c r="KZ61"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0.26807210053758929</v>
      </c>
      <c r="LA61"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0.24628837508317994</v>
      </c>
      <c r="LB61"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61" s="30">
        <f>IF(OR(NOT(DATA[[#This Row],[Care consumables &amp; uniforms]]&gt;0),NOT(DATA[[#This Row],[Number of hours of care charged for in last full accounting year]]&gt;0)),0,DATA[[#This Row],[Care consumables &amp; uniforms]]/DATA[[#This Row],[Number of hours of care charged for in last full accounting year]])</f>
        <v>0.16263244661821233</v>
      </c>
      <c r="LD61" s="30">
        <f>IF(OR(NOT(DATA[[#This Row],[Electronic call monitoring]]&gt;0),NOT(DATA[[#This Row],[Number of hours of care charged for in last full accounting year]]&gt;0)),0,DATA[[#This Row],[Electronic call monitoring]]/DATA[[#This Row],[Number of hours of care charged for in last full accounting year]])</f>
        <v>0.11727580941373487</v>
      </c>
      <c r="LE61" s="30">
        <f>IF(OR(NOT(DATA[[#This Row],[IT Equipment &amp; Telephoney]]&gt;0),NOT(DATA[[#This Row],[Number of hours of care charged for in last full accounting year]]&gt;0)),0,DATA[[#This Row],[IT Equipment &amp; Telephoney]]/DATA[[#This Row],[Number of hours of care charged for in last full accounting year]])</f>
        <v>0.19101475229977341</v>
      </c>
      <c r="LF61"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0.14336428651111807</v>
      </c>
      <c r="LG61"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1" s="30">
        <f>IF(OR(NOT(DATA[[#This Row],[Insurance ]]&gt;0),NOT(DATA[[#This Row],[Number of hours of care charged for in last full accounting year]]&gt;0)),0,DATA[[#This Row],[Insurance ]]/DATA[[#This Row],[Number of hours of care charged for in last full accounting year]])</f>
        <v>0.31862808253286995</v>
      </c>
      <c r="LI61"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0.14535227128407224</v>
      </c>
      <c r="LJ61" s="30">
        <f>IF(OR(NOT(DATA[[#This Row],[Repairs and maintenance]]&gt;0),NOT(DATA[[#This Row],[Number of hours of care charged for in last full accounting year]]&gt;0)),0,DATA[[#This Row],[Repairs and maintenance]]/DATA[[#This Row],[Number of hours of care charged for in last full accounting year]])</f>
        <v>0.15040634026454419</v>
      </c>
      <c r="LK61"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0.27306500075581652</v>
      </c>
      <c r="LL61" s="30">
        <f>IF(OR(NOT(DATA[[#This Row],[Registration &amp; Inspection fees ]]&gt;0),NOT(DATA[[#This Row],[Number of hours of care charged for in last full accounting year]]&gt;0)),0,DATA[[#This Row],[Registration &amp; Inspection fees ]]/DATA[[#This Row],[Number of hours of care charged for in last full accounting year]])</f>
        <v>0</v>
      </c>
      <c r="LM61" s="30">
        <f>IF(OR(NOT(DATA[[#This Row],[Subscriptions]]&gt;0),NOT(DATA[[#This Row],[Number of hours of care charged for in last full accounting year]]&gt;0)),0,DATA[[#This Row],[Subscriptions]]/DATA[[#This Row],[Number of hours of care charged for in last full accounting year]])</f>
        <v>0</v>
      </c>
      <c r="LN61" s="30">
        <f>IF(OR(NOT(DATA[[#This Row],[Cost of finance]]&gt;0),NOT(DATA[[#This Row],[Number of hours of care charged for in last full accounting year]]&gt;0)),0,DATA[[#This Row],[Cost of finance]]/DATA[[#This Row],[Number of hours of care charged for in last full accounting year]])</f>
        <v>1.2577826736575424E-2</v>
      </c>
      <c r="LO61" s="30">
        <f>IF(OR(NOT(DATA[[#This Row],[Other non-staff current expenses]]&gt;0),NOT(DATA[[#This Row],[Number of hours of care charged for in last full accounting year]]&gt;0)),0,DATA[[#This Row],[Other non-staff current expenses]]/DATA[[#This Row],[Number of hours of care charged for in last full accounting year]])</f>
        <v>0</v>
      </c>
      <c r="LP61"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61"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0.35615511817002021</v>
      </c>
      <c r="LR61" s="30">
        <f>IF(OR(NOT(DATA[[#This Row],[Central / Regional Management]]&gt;0),NOT(DATA[[#This Row],[Number of hours of care charged for in last full accounting year]]&gt;0)),0,DATA[[#This Row],[Central / Regional Management]]/DATA[[#This Row],[Number of hours of care charged for in last full accounting year]])</f>
        <v>0</v>
      </c>
      <c r="LS61"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7.0114693723037469E-2</v>
      </c>
      <c r="LT61"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0.10465975220075649</v>
      </c>
      <c r="LU61"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61" s="30">
        <f>SUM(DATA[[#This Row],[Management staff HOURLY RATE]:[Corporate Overheads: Other  - please specify (amount) 2 HOURLY RATE]])</f>
        <v>13.342566248254492</v>
      </c>
      <c r="LW61" s="30">
        <f>IF(OR(NOT(DATA[[#This Row],[Net Operating Profit]]&gt;0),NOT(DATA[[#This Row],[Number of hours of care charged for in last full accounting year]]&gt;0)),"",DATA[[#This Row],[Net Operating Profit]]/DATA[[#This Row],[Number of hours of care charged for in last full accounting year]])</f>
        <v>0.65743421051122475</v>
      </c>
      <c r="LX61" s="30">
        <f>IF(OR(NOT(DATA[[#This Row],[Return on Capital employed]]&gt;0),NOT(DATA[[#This Row],[Number of hours of care charged for in last full accounting year]]&gt;0)),0,DATA[[#This Row],[Return on Capital employed]]/DATA[[#This Row],[Number of hours of care charged for in last full accounting year]])</f>
        <v>0</v>
      </c>
      <c r="LY61" s="31">
        <v>55</v>
      </c>
      <c r="LZ61" s="30" t="s">
        <v>345</v>
      </c>
      <c r="MA61" s="30" t="b">
        <f>DATA[[#This Row],[Number of Home support clients:]]&gt;0</f>
        <v>1</v>
      </c>
      <c r="MB61" s="30" t="b">
        <f>DATA[[#This Row],[Number of supported living clients:]]&gt;0</f>
        <v>0</v>
      </c>
      <c r="MC61" s="30" t="b">
        <f>DATA[[#This Row],[Total Home Support Hours]]&gt;0</f>
        <v>0</v>
      </c>
      <c r="MD61" s="30" t="b">
        <f>DATA[[#This Row],[Total Supported Living Hours]]&gt;0</f>
        <v>1</v>
      </c>
      <c r="ME61" s="30" t="b">
        <f>DATA[[#This Row],[Home Support service split percentage (Expenditure):]]&gt;0.5</f>
        <v>1</v>
      </c>
      <c r="MF61" s="30" t="b">
        <f>DATA[[#This Row],[Agency staff HOURLY RATE]]=0</f>
        <v>1</v>
      </c>
      <c r="MG61" s="30">
        <f>IFERROR(IF(AVERAGE(DATA[[#This Row],[Registered manager: Current 2021/22 Minimum hourly pay rate ADJUSTED]],DATA[[#This Row],[Registered manager: Current 2021/22 Maximum hourly pay rate ADJUSTED]])&lt;LIVING_WAGE_22_23,DATA[[#This Row],[Registered manager: Numbers employed (Full Time Equivalent)]],0),"")</f>
        <v>0</v>
      </c>
      <c r="MH61" s="30">
        <f>IFERROR(IF(AVERAGE(DATA[[#This Row],[Deputy manager: Current 2021/22 Minimum hourly pay rate ADJUSTED]],DATA[[#This Row],[Deputy manager: Current 2021/22 Maximum hourly pay rate ADJUSTED]])&lt;LIVING_WAGE_22_23,DATA[[#This Row],[Deputy manager: Numbers employed (Full Time Equivalent)]],0),"")</f>
        <v>0</v>
      </c>
      <c r="MI61" s="30">
        <f>IFERROR(IF(AVERAGE(DATA[[#This Row],[Other manager 1: Current 2021/22 Minimum hourly pay rate ADJUSTED]],DATA[[#This Row],[Other manager 1: Current 2021/22 Maximum hourly pay rate ADJUSTED]])&lt;LIVING_WAGE_22_23,DATA[[#This Row],[Other manager 1: Numbers employed (Full Time Equivalent)]],0),"")</f>
        <v>0</v>
      </c>
      <c r="MJ61" s="30">
        <f>IFERROR(IF(AVERAGE(DATA[[#This Row],[Other manager 2: Current 2021/22 Minimum hourly pay rate ADJUSTED]],DATA[[#This Row],[Other manager 2: Current 2021/22 Maximum hourly pay rate ADJUSTED]])&lt;LIVING_WAGE_22_23,DATA[[#This Row],[Other manager 2: Numbers employed (Full Time Equivalent)]],0),"")</f>
        <v>0</v>
      </c>
      <c r="MK61" s="30" t="str">
        <f>IFERROR(IF(AVERAGE(DATA[[#This Row],[Other manager 3: Current 2021/22 Minimum hourly pay rate ADJUSTED]],DATA[[#This Row],[Other manager 3: Current 2021/22 Maximum hourly pay rate ADJUSTED]])&lt;LIVING_WAGE_22_23,DATA[[#This Row],[Other manager 3: Numbers employed (Full Time Equivalent)]],0),"")</f>
        <v/>
      </c>
      <c r="ML61" s="30">
        <f>IFERROR(IF(AVERAGE(DATA[[#This Row],[Care Assistant 1: Current 2021/22 Minimum hourly pay rate ADJUSTED]],DATA[[#This Row],[Care Assistant 1: Current 2021/22 Maximum hourly pay rate ADJUSTED]])&lt;LIVING_WAGE_22_23,DATA[[#This Row],[Care Assistant 1: Numbers employed (Full Time Equivalent)]],0),"")</f>
        <v>0</v>
      </c>
      <c r="MM61" s="30">
        <f>IFERROR(IF(AVERAGE(DATA[[#This Row],[Care Assistant 2: Current 2021/22 Minimum hourly pay rate ADJUSTED]],DATA[[#This Row],[Care Assistant 2: Current 2021/22 Maximum hourly pay rate ADJUSTED]])&lt;LIVING_WAGE_22_23,DATA[[#This Row],[Care Assistant 2: Numbers employed (Full Time Equivalent)]],0),"")</f>
        <v>131</v>
      </c>
      <c r="MN61" s="30">
        <f>IFERROR(IF(AVERAGE(DATA[[#This Row],[Care Assistant 3: Current 2021/22 Minimum hourly pay rate ADJUSTED]],DATA[[#This Row],[Care Assistant 3: Current 2021/22 Maximum hourly pay rate ADJUSTED]])&lt;LIVING_WAGE_22_23,DATA[[#This Row],[Care Assistant 3: Numbers employed (Full Time Equivalent)]],0),"")</f>
        <v>34</v>
      </c>
      <c r="MO61" s="30" t="str">
        <f>IFERROR(IF(AVERAGE(DATA[[#This Row],[Care Assistant 4: Current 2021/22 Minimum hourly pay rate ADJUSTED]],DATA[[#This Row],[Care Assistant 4: Current 2021/22 Maximum hourly pay rate ADJUSTED]])&lt;LIVING_WAGE_22_23,DATA[[#This Row],[Care Assistant 4: Numbers employed (Full Time Equivalent)]],0),"")</f>
        <v/>
      </c>
      <c r="MP61"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61"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3</v>
      </c>
      <c r="MR61" s="30" t="str">
        <f>IFERROR(IF(AVERAGE(DATA[[#This Row],[Other staff 1: Current 2021/22 Minimum hourly pay rate ADJUSTED]],DATA[[#This Row],[Other staff 1: Current 2021/22 Maximum hourly pay rate ADJUSTED]])&lt;LIVING_WAGE_22_23,DATA[[#This Row],[Other staff 1: Numbers employed (Full Time Equivalent)]],0),"")</f>
        <v/>
      </c>
      <c r="MS61" s="30" t="str">
        <f>IFERROR(IF(AVERAGE(DATA[[#This Row],[Other staff 2: Current 2021/22 Minimum hourly pay rate ADJUSTED]],DATA[[#This Row],[Other staff 2: Current 2021/22 Maximum hourly pay rate ADJUSTED]])&lt;LIVING_WAGE_22_23,DATA[[#This Row],[Other staff 2: Numbers employed (Full Time Equivalent)]],0),"")</f>
        <v/>
      </c>
      <c r="MT61" s="30" t="str">
        <f>IFERROR(IF(AVERAGE(DATA[[#This Row],[Other staff 3: Current 2021/22 Minimum hourly pay rate ADJUSTED]],DATA[[#This Row],[Other staff 3: Current 2021/22 Maximum hourly pay rate ADJUSTED]])&lt;LIVING_WAGE_22_23,DATA[[#This Row],[Other staff 3: Numbers employed (Full Time Equivalent)]],0),"")</f>
        <v/>
      </c>
      <c r="MU61" s="30">
        <f>SUM(DATA[[#This Row],[Registered Manager FTE earning less than NLW 23yrs 2022/23]:[Other staff 3 FTE earning less than NLW 23yrs 2022/23]])</f>
        <v>168</v>
      </c>
      <c r="MV61"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61"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61"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61"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61"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1"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61"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89.734999999999829</v>
      </c>
      <c r="NC61"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14.450000000000024</v>
      </c>
      <c r="ND61"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1"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61"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15.150000000000002</v>
      </c>
      <c r="NG61"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61"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1"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1" s="30" t="b">
        <v>1</v>
      </c>
      <c r="NK61" s="30" t="b">
        <v>1</v>
      </c>
      <c r="NL61" s="30" t="s">
        <v>505</v>
      </c>
      <c r="NM61" s="30">
        <f>SUM(DATA[[#This Row],[Management staff HOURLY RATE]:[Training and development HOURLY RATE]])</f>
        <v>11.05103149266078</v>
      </c>
      <c r="NN61" s="30">
        <f>SUM(DATA[[#This Row],[Recruitment &amp; advertising (including DBS checks) HOURLY RATE]:[Non-Staffing Direct Cost: Other  - please specify (amount) 2 HOURLY RATE]])</f>
        <v>0.86057566992601864</v>
      </c>
      <c r="NO61" s="30">
        <f>SUM(DATA[[#This Row],[Insurance  HOURLY RATE]:[Indirect costs: Other  - please specify (amount) 2 HOURLY RATE]])</f>
        <v>1.2561846397438985</v>
      </c>
      <c r="NP61" s="30">
        <f>SUM(DATA[[#This Row],[Central / Regional Management HOURLY RATE]:[Corporate Overheads: Other  - please specify (amount) 2 HOURLY RATE]])</f>
        <v>0.17477444592379396</v>
      </c>
      <c r="NQ61"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61" s="30">
        <f>IFERROR(IF(AVERAGE(DATA[[#This Row],[Deputy manager: Current 2021/22 Minimum hourly pay rate ADJUSTED]],DATA[[#This Row],[Deputy manager: Current 2021/22 Maximum hourly pay rate ADJUSTED]])&lt;REAL_LIVING_WAGE_22_23,DATA[[#This Row],[Deputy manager: Numbers employed (Full Time Equivalent)]],0),"")</f>
        <v>0</v>
      </c>
      <c r="NS61" s="30">
        <f>IFERROR(IF(AVERAGE(DATA[[#This Row],[Other manager 1: Current 2021/22 Minimum hourly pay rate ADJUSTED]],DATA[[#This Row],[Other manager 1: Current 2021/22 Maximum hourly pay rate ADJUSTED]])&lt;REAL_LIVING_WAGE_22_23,DATA[[#This Row],[Other manager 1: Numbers employed (Full Time Equivalent)]],0),"")</f>
        <v>0</v>
      </c>
      <c r="NT61" s="30">
        <f>IFERROR(IF(AVERAGE(DATA[[#This Row],[Other manager 2: Current 2021/22 Minimum hourly pay rate ADJUSTED]],DATA[[#This Row],[Other manager 2: Current 2021/22 Maximum hourly pay rate ADJUSTED]])&lt;REAL_LIVING_WAGE_22_23,DATA[[#This Row],[Other manager 2: Numbers employed (Full Time Equivalent)]],0),"")</f>
        <v>0</v>
      </c>
      <c r="NU61" s="30" t="str">
        <f>IFERROR(IF(AVERAGE(DATA[[#This Row],[Other manager 3: Current 2021/22 Minimum hourly pay rate ADJUSTED]],DATA[[#This Row],[Other manager 3: Current 2021/22 Maximum hourly pay rate ADJUSTED]])&lt;REAL_LIVING_WAGE_22_23,DATA[[#This Row],[Other manager 3: Numbers employed (Full Time Equivalent)]],0),"")</f>
        <v/>
      </c>
      <c r="NV61" s="30">
        <f>IFERROR(IF(AVERAGE(DATA[[#This Row],[Care Assistant 1: Current 2021/22 Minimum hourly pay rate ADJUSTED]],DATA[[#This Row],[Care Assistant 1: Current 2021/22 Maximum hourly pay rate ADJUSTED]])&lt;REAL_LIVING_WAGE_22_23,DATA[[#This Row],[Care Assistant 1: Numbers employed (Full Time Equivalent)]],0),"")</f>
        <v>0</v>
      </c>
      <c r="NW61" s="30">
        <f>IFERROR(IF(AVERAGE(DATA[[#This Row],[Care Assistant 2: Current 2021/22 Minimum hourly pay rate ADJUSTED]],DATA[[#This Row],[Care Assistant 2: Current 2021/22 Maximum hourly pay rate ADJUSTED]])&lt;REAL_LIVING_WAGE_22_23,DATA[[#This Row],[Care Assistant 2: Numbers employed (Full Time Equivalent)]],0),"")</f>
        <v>131</v>
      </c>
      <c r="NX61" s="30">
        <f>IFERROR(IF(AVERAGE(DATA[[#This Row],[Care Assistant 3: Current 2021/22 Minimum hourly pay rate ADJUSTED]],DATA[[#This Row],[Care Assistant 3: Current 2021/22 Maximum hourly pay rate ADJUSTED]])&lt;REAL_LIVING_WAGE_22_23,DATA[[#This Row],[Care Assistant 3: Numbers employed (Full Time Equivalent)]],0),"")</f>
        <v>34</v>
      </c>
      <c r="NY61"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1"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3</v>
      </c>
      <c r="OA61"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3</v>
      </c>
      <c r="OB61" s="30" t="str">
        <f>IFERROR(IF(AVERAGE(DATA[[#This Row],[Other staff 1: Current 2021/22 Minimum hourly pay rate ADJUSTED]],DATA[[#This Row],[Other staff 1: Current 2021/22 Maximum hourly pay rate ADJUSTED]])&lt;REAL_LIVING_WAGE_22_23,DATA[[#This Row],[Other staff 1: Numbers employed (Full Time Equivalent)]],0),"")</f>
        <v/>
      </c>
      <c r="OC61" s="30" t="str">
        <f>IFERROR(IF(AVERAGE(DATA[[#This Row],[Other staff 2: Current 2021/22 Minimum hourly pay rate ADJUSTED]],DATA[[#This Row],[Other staff 2: Current 2021/22 Maximum hourly pay rate ADJUSTED]])&lt;REAL_LIVING_WAGE_22_23,DATA[[#This Row],[Other staff 2: Numbers employed (Full Time Equivalent)]],0),"")</f>
        <v/>
      </c>
      <c r="OD61" s="30" t="str">
        <f>IFERROR(IF(AVERAGE(DATA[[#This Row],[Other staff 3: Current 2021/22 Minimum hourly pay rate ADJUSTED]],DATA[[#This Row],[Other staff 3: Current 2021/22 Maximum hourly pay rate ADJUSTED]])&lt;REAL_LIVING_WAGE_22_23,DATA[[#This Row],[Other staff 3: Numbers employed (Full Time Equivalent)]],0),"")</f>
        <v/>
      </c>
      <c r="OE61" s="30">
        <f>SUM(DATA[[#This Row],[Registered Manager FTE earning less than RLW 23yrs 2022/23]:[Other staff 3 FTE earning less than RLW 23yrs 2022/23]])</f>
        <v>171</v>
      </c>
      <c r="OF61"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61"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61"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61"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61"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1"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61"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142.13499999999988</v>
      </c>
      <c r="OM61"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28.050000000000036</v>
      </c>
      <c r="ON61"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1"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0.83999999999999808</v>
      </c>
      <c r="OP61"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16.350000000000001</v>
      </c>
      <c r="OQ61"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61"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1"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1" s="30">
        <f>IFERROR(IF(DATA[[#This Row],[Registered manager: Numbers employed (Full Time Equivalent)]]=0,"",DATA[[#This Row],[Registered manager: Current 2021/22 Minimum hourly pay rate ADJUSTED 2]]*DATA[[#This Row],[Registered manager: Numbers employed (Full Time Equivalent)]]),"")</f>
        <v>20.51</v>
      </c>
      <c r="OU61" s="30">
        <f>IFERROR(IF(DATA[[#This Row],[Registered manager: Numbers employed (Full Time Equivalent)]]=0,"",DATA[[#This Row],[Registered manager: Current 2021/22 Maximum hourly pay rate ADJUSTED 2]]*DATA[[#This Row],[Registered manager: Numbers employed (Full Time Equivalent)]]),"")</f>
        <v>22.05</v>
      </c>
      <c r="OV61" s="30">
        <f>IFERROR(IF(DATA[[#This Row],[Registered manager: Numbers employed (Full Time Equivalent)]]=0,"",DATA[[#This Row],[Registered manager: Previous 2020/21 Minimum hourly pay rate ADJUSTED 2]]*DATA[[#This Row],[Registered manager: Numbers employed (Full Time Equivalent)]]),"")</f>
        <v>17.309999999999999</v>
      </c>
      <c r="OW61" s="30">
        <f>IFERROR(IF(DATA[[#This Row],[Registered manager: Numbers employed (Full Time Equivalent)]]=0,"",DATA[[#This Row],[Registered manager: Previous 2020/21 Maximum hourly pay rate ADJUSTED 2]]*DATA[[#This Row],[Registered manager: Numbers employed (Full Time Equivalent)]]),"")</f>
        <v>20.51</v>
      </c>
      <c r="OX61" s="30">
        <f>IFERROR(IF(DATA[[#This Row],[Deputy manager: Numbers employed (Full Time Equivalent)]]=0,"",DATA[[#This Row],[Deputy manager: Current 2021/22 Minimum hourly pay rate ADJUSTED 2]]*DATA[[#This Row],[Deputy manager: Numbers employed (Full Time Equivalent)]]),"")</f>
        <v>13.33</v>
      </c>
      <c r="OY61" s="30">
        <f>IFERROR(IF(DATA[[#This Row],[Deputy manager: Numbers employed (Full Time Equivalent)]]=0,"",DATA[[#This Row],[Deputy manager: Current 2021/22 Maximum hourly pay rate ADJUSTED 2]]*DATA[[#This Row],[Deputy manager: Numbers employed (Full Time Equivalent)]]),"")</f>
        <v>14.31</v>
      </c>
      <c r="OZ61" s="30">
        <f>IFERROR(IF(DATA[[#This Row],[Deputy manager: Numbers employed (Full Time Equivalent)]]=0,"",DATA[[#This Row],[Deputy manager: Previous 2020/21 Minimum hourly pay rate ADJUSTED 2]]*DATA[[#This Row],[Deputy manager: Numbers employed (Full Time Equivalent)]]),"")</f>
        <v>13.33</v>
      </c>
      <c r="PA61" s="30">
        <f>IFERROR(IF(DATA[[#This Row],[Deputy manager: Numbers employed (Full Time Equivalent)]]=0,"",DATA[[#This Row],[Deputy manager: Previous 2020/21 Maximum hourly pay rate ADJUSTED 2]]*DATA[[#This Row],[Deputy manager: Numbers employed (Full Time Equivalent)]]),"")</f>
        <v>13.33</v>
      </c>
      <c r="PB61" s="30">
        <f>IFERROR(IF(DATA[[#This Row],[Other manager 1: Numbers employed (Full Time Equivalent)]]=0,"",DATA[[#This Row],[Other manager 1: Current 2021/22 Minimum hourly pay rate ADJUSTED 2]]*DATA[[#This Row],[Other manager 1: Numbers employed (Full Time Equivalent)]]),"")</f>
        <v>20.51</v>
      </c>
      <c r="PC61" s="30">
        <f>IFERROR(IF(DATA[[#This Row],[Other manager 1: Numbers employed (Full Time Equivalent)]]=0,"",DATA[[#This Row],[Other manager 1: Current 2021/22 Maximum hourly pay rate ADJUSTED 2]]*DATA[[#This Row],[Other manager 1: Numbers employed (Full Time Equivalent)]]),"")</f>
        <v>22.05</v>
      </c>
      <c r="PD61" s="30">
        <f>IFERROR(IF(DATA[[#This Row],[Other manager 1: Numbers employed (Full Time Equivalent)]]=0,"",DATA[[#This Row],[Other manager 1: Previous 2020/21 Minimum hourly pay rate ADJUSTED 2]]*DATA[[#This Row],[Other manager 1: Numbers employed (Full Time Equivalent)]]),"")</f>
        <v>20</v>
      </c>
      <c r="PE61" s="30">
        <f>IFERROR(IF(DATA[[#This Row],[Other manager 1: Numbers employed (Full Time Equivalent)]]=0,"",DATA[[#This Row],[Other manager 1: Previous 2020/21 Maximum hourly pay rate ADJUSTED 2]]*DATA[[#This Row],[Other manager 1: Numbers employed (Full Time Equivalent)]]),"")</f>
        <v>20.51</v>
      </c>
      <c r="PF61" s="30">
        <f>IFERROR(IF(DATA[[#This Row],[Other manager 2: Numbers employed (Full Time Equivalent)]]=0,"",DATA[[#This Row],[Other manager 2: Current 2021/22 Minimum hourly pay rate ADJUSTED 2]]*DATA[[#This Row],[Other manager 2: Numbers employed (Full Time Equivalent)]]),"")</f>
        <v>15.38</v>
      </c>
      <c r="PG61" s="30">
        <f>IFERROR(IF(DATA[[#This Row],[Other manager 2: Numbers employed (Full Time Equivalent)]]=0,"",DATA[[#This Row],[Other manager 2: Current 2021/22 Maximum hourly pay rate ADJUSTED 2]]*DATA[[#This Row],[Other manager 2: Numbers employed (Full Time Equivalent)]]),"")</f>
        <v>15.38</v>
      </c>
      <c r="PH61" s="30">
        <f>IFERROR(IF(DATA[[#This Row],[Other manager 2: Numbers employed (Full Time Equivalent)]]=0,"",DATA[[#This Row],[Other manager 2: Previous 2020/21 Minimum hourly pay rate ADJUSTED 2]]*DATA[[#This Row],[Other manager 2: Numbers employed (Full Time Equivalent)]]),"")</f>
        <v>11.28</v>
      </c>
      <c r="PI61" s="30">
        <f>IFERROR(IF(DATA[[#This Row],[Other manager 2: Numbers employed (Full Time Equivalent)]]=0,"",DATA[[#This Row],[Other manager 2: Previous 2020/21 Maximum hourly pay rate ADJUSTED 2]]*DATA[[#This Row],[Other manager 2: Numbers employed (Full Time Equivalent)]]),"")</f>
        <v>11.28</v>
      </c>
      <c r="PJ61" s="30" t="str">
        <f>IFERROR(IF(DATA[[#This Row],[Other manager 3: Numbers employed (Full Time Equivalent)]]=0,"",DATA[[#This Row],[Other manager 3: Current 2021/22 Minimum hourly pay rate ADJUSTED 2]]*DATA[[#This Row],[Other manager 3: Numbers employed (Full Time Equivalent)]]),"")</f>
        <v/>
      </c>
      <c r="PK61" s="30" t="str">
        <f>IFERROR(IF(DATA[[#This Row],[Other manager 3: Numbers employed (Full Time Equivalent)]]=0,"",DATA[[#This Row],[Other manager 3: Current 2021/22 Maximum hourly pay rate ADJUSTED 2]]*DATA[[#This Row],[Other manager 3: Numbers employed (Full Time Equivalent)]]),"")</f>
        <v/>
      </c>
      <c r="PL61" s="30" t="str">
        <f>IFERROR(IF(DATA[[#This Row],[Other manager 3: Numbers employed (Full Time Equivalent)]]=0,"",DATA[[#This Row],[Other manager 3: Previous 2020/21 Minimum hourly pay rate ADJUSTED 2]]*DATA[[#This Row],[Other manager 3: Numbers employed (Full Time Equivalent)]]),"")</f>
        <v/>
      </c>
      <c r="PM61" s="30" t="str">
        <f>IFERROR(IF(DATA[[#This Row],[Other manager 3: Numbers employed (Full Time Equivalent)]]=0,"",DATA[[#This Row],[Other manager 3: Previous 2020/21 Maximum hourly pay rate ADJUSTED 2]]*DATA[[#This Row],[Other manager 3: Numbers employed (Full Time Equivalent)]]),"")</f>
        <v/>
      </c>
      <c r="PN61" s="30">
        <f>IFERROR(IF(DATA[[#This Row],[Care Assistant 1: Numbers employed (Full Time Equivalent)]]=0,"",DATA[[#This Row],[Care Assistant 1: Current 2021/22 Minimum hourly pay rate ADJUSTED 2]]*DATA[[#This Row],[Care Assistant 1: Numbers employed (Full Time Equivalent)]]),"")</f>
        <v>29.73</v>
      </c>
      <c r="PO61" s="30">
        <f>IFERROR(IF(DATA[[#This Row],[Care Assistant 1: Numbers employed (Full Time Equivalent)]]=0,"",DATA[[#This Row],[Care Assistant 1: Current 2021/22 Maximum hourly pay rate ADJUSTED 2]]*DATA[[#This Row],[Care Assistant 1: Numbers employed (Full Time Equivalent)]]),"")</f>
        <v>30</v>
      </c>
      <c r="PP61" s="30">
        <f>IFERROR(IF(DATA[[#This Row],[Care Assistant 1: Numbers employed (Full Time Equivalent)]]=0,"",DATA[[#This Row],[Care Assistant 1: Previous 2020/21 Minimum hourly pay rate ADJUSTED 2]]*DATA[[#This Row],[Care Assistant 1: Numbers employed (Full Time Equivalent)]]),"")</f>
        <v>29.73</v>
      </c>
      <c r="PQ61" s="30">
        <f>IFERROR(IF(DATA[[#This Row],[Care Assistant 1: Numbers employed (Full Time Equivalent)]]=0,"",DATA[[#This Row],[Care Assistant 1: Previous 2020/21 Maximum hourly pay rate ADJUSTED 2]]*DATA[[#This Row],[Care Assistant 1: Numbers employed (Full Time Equivalent)]]),"")</f>
        <v>29.73</v>
      </c>
      <c r="PR61" s="30">
        <f>IFERROR(IF(DATA[[#This Row],[Care Assistant 2: Numbers employed (Full Time Equivalent)]]=0,"",DATA[[#This Row],[Care Assistant 2: Current 2021/22 Minimum hourly pay rate ADJUSTED 2]]*DATA[[#This Row],[Care Assistant 2: Numbers employed (Full Time Equivalent)]]),"")</f>
        <v>1142.3200000000002</v>
      </c>
      <c r="PS61" s="30">
        <f>IFERROR(IF(DATA[[#This Row],[Care Assistant 2: Numbers employed (Full Time Equivalent)]]=0,"",DATA[[#This Row],[Care Assistant 2: Current 2021/22 Maximum hourly pay rate ADJUSTED 2]]*DATA[[#This Row],[Care Assistant 2: Numbers employed (Full Time Equivalent)]]),"")</f>
        <v>1167.21</v>
      </c>
      <c r="PT61" s="30">
        <f>IFERROR(IF(DATA[[#This Row],[Care Assistant 2: Numbers employed (Full Time Equivalent)]]=0,"",DATA[[#This Row],[Care Assistant 2: Previous 2020/21 Minimum hourly pay rate ADJUSTED 2]]*DATA[[#This Row],[Care Assistant 2: Numbers employed (Full Time Equivalent)]]),"")</f>
        <v>1075.5100000000002</v>
      </c>
      <c r="PU61" s="30">
        <f>IFERROR(IF(DATA[[#This Row],[Care Assistant 2: Numbers employed (Full Time Equivalent)]]=0,"",DATA[[#This Row],[Care Assistant 2: Previous 2020/21 Maximum hourly pay rate ADJUSTED 2]]*DATA[[#This Row],[Care Assistant 2: Numbers employed (Full Time Equivalent)]]),"")</f>
        <v>1075.5100000000002</v>
      </c>
      <c r="PV61" s="30">
        <f>IFERROR(IF(DATA[[#This Row],[Care Assistant 3: Numbers employed (Full Time Equivalent)]]=0,"",DATA[[#This Row],[Care Assistant 3: Current 2021/22 Minimum hourly pay rate ADJUSTED 2]]*DATA[[#This Row],[Care Assistant 3: Numbers employed (Full Time Equivalent)]]),"")</f>
        <v>306</v>
      </c>
      <c r="PW61" s="30">
        <f>IFERROR(IF(DATA[[#This Row],[Care Assistant 3: Numbers employed (Full Time Equivalent)]]=0,"",DATA[[#This Row],[Care Assistant 3: Current 2021/22 Maximum hourly pay rate ADJUSTED 2]]*DATA[[#This Row],[Care Assistant 3: Numbers employed (Full Time Equivalent)]]),"")</f>
        <v>311.10000000000002</v>
      </c>
      <c r="PX61" s="30">
        <f>IFERROR(IF(DATA[[#This Row],[Care Assistant 3: Numbers employed (Full Time Equivalent)]]=0,"",DATA[[#This Row],[Care Assistant 3: Previous 2020/21 Minimum hourly pay rate ADJUSTED 2]]*DATA[[#This Row],[Care Assistant 3: Numbers employed (Full Time Equivalent)]]),"")</f>
        <v>306</v>
      </c>
      <c r="PY61" s="30">
        <f>IFERROR(IF(DATA[[#This Row],[Care Assistant 3: Numbers employed (Full Time Equivalent)]]=0,"",DATA[[#This Row],[Care Assistant 3: Previous 2020/21 Maximum hourly pay rate ADJUSTED 2]]*DATA[[#This Row],[Care Assistant 3: Numbers employed (Full Time Equivalent)]]),"")</f>
        <v>306</v>
      </c>
      <c r="PZ61" s="30" t="str">
        <f>IFERROR(IF(DATA[[#This Row],[Care Assistant 4: Numbers employed (Full Time Equivalent)]]=0,"",DATA[[#This Row],[Care Assistant 4: Current 2021/22 Minimum hourly pay rate ADJUSTED 2]]*DATA[[#This Row],[Care Assistant 4: Numbers employed (Full Time Equivalent)]]),"")</f>
        <v/>
      </c>
      <c r="QA61" s="30" t="str">
        <f>IFERROR(IF(DATA[[#This Row],[Care Assistant 4: Numbers employed (Full Time Equivalent)]]=0,"",DATA[[#This Row],[Care Assistant 4: Current 2021/22 Maximum hourly pay rate ADJUSTED 2]]*DATA[[#This Row],[Care Assistant 4: Numbers employed (Full Time Equivalent)]]),"")</f>
        <v/>
      </c>
      <c r="QB61" s="30" t="str">
        <f>IFERROR(IF(DATA[[#This Row],[Care Assistant 4: Numbers employed (Full Time Equivalent)]]=0,"",DATA[[#This Row],[Care Assistant 4: Previous 2020/21 Minimum hourly pay rate ADJUSTED 2]]*DATA[[#This Row],[Care Assistant 4: Numbers employed (Full Time Equivalent)]]),"")</f>
        <v/>
      </c>
      <c r="QC61" s="30" t="str">
        <f>IFERROR(IF(DATA[[#This Row],[Care Assistant 4: Numbers employed (Full Time Equivalent)]]=0,"",DATA[[#This Row],[Care Assistant 4: Previous 2020/21 Maximum hourly pay rate ADJUSTED 2]]*DATA[[#This Row],[Care Assistant 4: Numbers employed (Full Time Equivalent)]]),"")</f>
        <v/>
      </c>
      <c r="QD61" s="30">
        <f>IFERROR(IF(DATA[[#This Row],[Administrative Officer 1: Numbers employed (Full Time Equivalent)]]=0,"",DATA[[#This Row],[Administrative Officer 1: Current 2021/22 Minimum hourly pay rate ADJUSTED 2]]*DATA[[#This Row],[Administrative Officer 1: Numbers employed (Full Time Equivalent)]]),"")</f>
        <v>28.5</v>
      </c>
      <c r="QE61" s="30">
        <f>IFERROR(IF(DATA[[#This Row],[Administrative Officer 1: Numbers employed (Full Time Equivalent)]]=0,"",DATA[[#This Row],[Administrative Officer 1: Current 2021/22 Maximum hourly pay rate ADJUSTED 2]]*DATA[[#This Row],[Administrative Officer 1: Numbers employed (Full Time Equivalent)]]),"")</f>
        <v>29.22</v>
      </c>
      <c r="QF61" s="30">
        <f>IFERROR(IF(DATA[[#This Row],[Administrative Officer 1: Numbers employed (Full Time Equivalent)]]=0,"",DATA[[#This Row],[Administrative Officer 1: Previous 2020/21 Minimum hourly pay rate ADJUSTED 2]]*DATA[[#This Row],[Administrative Officer 1: Numbers employed (Full Time Equivalent)]]),"")</f>
        <v>28.5</v>
      </c>
      <c r="QG61" s="30">
        <f>IFERROR(IF(DATA[[#This Row],[Administrative Officer 1: Numbers employed (Full Time Equivalent)]]=0,"",DATA[[#This Row],[Administrative Officer 1: Previous 2020/21 Maximum hourly pay rate ADJUSTED 2]]*DATA[[#This Row],[Administrative Officer 1: Numbers employed (Full Time Equivalent)]]),"")</f>
        <v>28.5</v>
      </c>
      <c r="QH61" s="30">
        <f>IFERROR(IF(DATA[[#This Row],[Administrative Officer 2: Numbers employed (Full Time Equivalent)]]=0,"",DATA[[#This Row],[Administrative Officer 2: Current 2021/22 Minimum hourly pay rate ADJUSTED 2]]*DATA[[#This Row],[Administrative Officer 2: Numbers employed (Full Time Equivalent)]]),"")</f>
        <v>13.049999999999999</v>
      </c>
      <c r="QI61" s="30">
        <f>IFERROR(IF(DATA[[#This Row],[Administrative Officer 2: Numbers employed (Full Time Equivalent)]]=0,"",DATA[[#This Row],[Administrative Officer 2: Current 2021/22 Maximum hourly pay rate ADJUSTED 2]]*DATA[[#This Row],[Administrative Officer 2: Numbers employed (Full Time Equivalent)]]),"")</f>
        <v>13.649999999999999</v>
      </c>
      <c r="QJ61" s="30">
        <f>IFERROR(IF(DATA[[#This Row],[Administrative Officer 2: Numbers employed (Full Time Equivalent)]]=0,"",DATA[[#This Row],[Administrative Officer 2: Previous 2020/21 Minimum hourly pay rate ADJUSTED 2]]*DATA[[#This Row],[Administrative Officer 2: Numbers employed (Full Time Equivalent)]]),"")</f>
        <v>13.049999999999999</v>
      </c>
      <c r="QK61" s="30">
        <f>IFERROR(IF(DATA[[#This Row],[Administrative Officer 2: Numbers employed (Full Time Equivalent)]]=0,"",DATA[[#This Row],[Administrative Officer 2: Previous 2020/21 Maximum hourly pay rate ADJUSTED 2]]*DATA[[#This Row],[Administrative Officer 2: Numbers employed (Full Time Equivalent)]]),"")</f>
        <v>13.649999999999999</v>
      </c>
      <c r="QL61" s="30" t="str">
        <f>IFERROR(IF(DATA[[#This Row],[Administrative Officer 3: Numbers employed (Full Time Equivalent)]]=0,"",DATA[[#This Row],[Administrative Officer 3: Current 2021/22 Minimum hourly pay rate ADJUSTED 2]]*DATA[[#This Row],[Administrative Officer 3: Numbers employed (Full Time Equivalent)]]),"")</f>
        <v/>
      </c>
      <c r="QM61" s="30" t="str">
        <f>IFERROR(IF(DATA[[#This Row],[Administrative Officer 3: Numbers employed (Full Time Equivalent)]]=0,"",DATA[[#This Row],[Administrative Officer 3: Current 2021/22 Maximum hourly pay rate ADJUSTED 2]]*DATA[[#This Row],[Administrative Officer 3: Numbers employed (Full Time Equivalent)]]),"")</f>
        <v/>
      </c>
      <c r="QN61" s="30" t="str">
        <f>IFERROR(IF(DATA[[#This Row],[Administrative Officer 3: Numbers employed (Full Time Equivalent)]]=0,"",DATA[[#This Row],[Administrative Officer 3: Previous 2020/21 Minimum hourly pay rate ADJUSTED 2]]*DATA[[#This Row],[Administrative Officer 3: Numbers employed (Full Time Equivalent)]]),"")</f>
        <v/>
      </c>
      <c r="QO61" s="30" t="str">
        <f>IFERROR(IF(DATA[[#This Row],[Administrative Officer 3: Numbers employed (Full Time Equivalent)]]=0,"",DATA[[#This Row],[Administrative Officer 3: Previous 2020/21 Maximum hourly pay rate ADJUSTED 2]]*DATA[[#This Row],[Administrative Officer 3: Numbers employed (Full Time Equivalent)]]),"")</f>
        <v/>
      </c>
      <c r="QP61" s="28" t="str">
        <f>IFERROR(IF(DATA[[#This Row],[Other staff 1: Numbers employed (Full Time Equivalent)]]=0,"",DATA[[#This Row],[Other staff 1: Current 2021/22 Minimum hourly pay rate ADJUSTED 2]]*DATA[[#This Row],[Other staff 1: Numbers employed (Full Time Equivalent)]]),"")</f>
        <v/>
      </c>
      <c r="QQ61" s="28" t="str">
        <f>IFERROR(IF(DATA[[#This Row],[Other staff 1: Numbers employed (Full Time Equivalent)]]=0,"",DATA[[#This Row],[Other staff 1: Current 2021/22 Maximum hourly pay rate ADJUSTED 2]]*DATA[[#This Row],[Other staff 1: Numbers employed (Full Time Equivalent)]]),"")</f>
        <v/>
      </c>
      <c r="QR61" s="28" t="str">
        <f>IFERROR(IF(DATA[[#This Row],[Other staff 1: Numbers employed (Full Time Equivalent)]]=0,"",DATA[[#This Row],[Other staff 1: Previous 2020/21 Minimum hourly pay rate ADJUSTED 2]]*DATA[[#This Row],[Other staff 1: Numbers employed (Full Time Equivalent)]]),"")</f>
        <v/>
      </c>
      <c r="QS61" s="28" t="str">
        <f>IFERROR(IF(DATA[[#This Row],[Other staff 1: Numbers employed (Full Time Equivalent)]]=0,"",DATA[[#This Row],[Other staff 1: Previous 2020/21 Maximum hourly pay rate ADJUSTED 2]]*DATA[[#This Row],[Other staff 1: Numbers employed (Full Time Equivalent)]]),"")</f>
        <v/>
      </c>
      <c r="QT61" s="28" t="str">
        <f>IFERROR(IF(DATA[[#This Row],[Other staff 2: Numbers employed (Full Time Equivalent)]]=0,"",DATA[[#This Row],[Other staff 2: Current 2021/22 Minimum hourly pay rate ADJUSTED 2]]*DATA[[#This Row],[Other staff 2: Numbers employed (Full Time Equivalent)]]),"")</f>
        <v/>
      </c>
      <c r="QU61" s="28" t="str">
        <f>IFERROR(IF(DATA[[#This Row],[Other staff 2: Numbers employed (Full Time Equivalent)]]=0,"",DATA[[#This Row],[Other staff 2: Current 2021/22 Maximum hourly pay rate ADJUSTED 2]]*DATA[[#This Row],[Other staff 2: Numbers employed (Full Time Equivalent)]]),"")</f>
        <v/>
      </c>
      <c r="QV61" s="28" t="str">
        <f>IFERROR(IF(DATA[[#This Row],[Other staff 2: Numbers employed (Full Time Equivalent)]]=0,"",DATA[[#This Row],[Other staff 2: Previous 2020/21 Minimum hourly pay rate ADJUSTED 2]]*DATA[[#This Row],[Other staff 2: Numbers employed (Full Time Equivalent)]]),"")</f>
        <v/>
      </c>
      <c r="QW61" s="28" t="str">
        <f>IFERROR(IF(DATA[[#This Row],[Other staff 2: Numbers employed (Full Time Equivalent)]]=0,"",DATA[[#This Row],[Other staff 2: Previous 2020/21 Maximum hourly pay rate ADJUSTED 2]]*DATA[[#This Row],[Other staff 2: Numbers employed (Full Time Equivalent)]]),"")</f>
        <v/>
      </c>
      <c r="QX61" s="28" t="str">
        <f>IFERROR(IF(DATA[[#This Row],[Other staff 3: Numbers employed (Full Time Equivalent)]]=0,"",DATA[[#This Row],[Other staff 3: Current 2021/22 Minimum hourly pay rate ADJUSTED 2]]*DATA[[#This Row],[Other staff 3: Numbers employed (Full Time Equivalent)]]),"")</f>
        <v/>
      </c>
      <c r="QY61" s="28" t="str">
        <f>IFERROR(IF(DATA[[#This Row],[Other staff 3: Numbers employed (Full Time Equivalent)]]=0,"",DATA[[#This Row],[Other staff 3: Current 2021/22 Maximum hourly pay rate ADJUSTED 2]]*DATA[[#This Row],[Other staff 3: Numbers employed (Full Time Equivalent)]]),"")</f>
        <v/>
      </c>
      <c r="QZ61" s="28" t="str">
        <f>IFERROR(IF(DATA[[#This Row],[Other staff 3: Numbers employed (Full Time Equivalent)]]=0,"",DATA[[#This Row],[Other staff 3: Previous 2020/21 Minimum hourly pay rate ADJUSTED 2]]*DATA[[#This Row],[Other staff 3: Numbers employed (Full Time Equivalent)]]),"")</f>
        <v/>
      </c>
      <c r="RA61" s="28" t="str">
        <f>IFERROR(IF(DATA[[#This Row],[Other staff 3: Numbers employed (Full Time Equivalent)]]=0,"",DATA[[#This Row],[Other staff 3: Previous 2020/21 Maximum hourly pay rate ADJUSTED 2]]*DATA[[#This Row],[Other staff 3: Numbers employed (Full Time Equivalent)]]),"")</f>
        <v/>
      </c>
      <c r="RB61"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61"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61"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61"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61"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1"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3</v>
      </c>
      <c r="RH61"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131</v>
      </c>
      <c r="RI61"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34</v>
      </c>
      <c r="RJ61"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1"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3</v>
      </c>
      <c r="RL61"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3</v>
      </c>
      <c r="RM61"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61"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61"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1"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2" spans="7:484" x14ac:dyDescent="0.25">
      <c r="G62" s="2">
        <v>56</v>
      </c>
      <c r="H62" s="2">
        <v>3</v>
      </c>
      <c r="I62" s="2">
        <v>2</v>
      </c>
      <c r="J62" s="2">
        <v>0.2</v>
      </c>
      <c r="K62" s="2">
        <v>0.8</v>
      </c>
      <c r="L62" s="2" t="s">
        <v>240</v>
      </c>
      <c r="M62" s="2" t="s">
        <v>240</v>
      </c>
      <c r="R62" s="2">
        <v>21.88</v>
      </c>
      <c r="S62" s="2">
        <v>21.88</v>
      </c>
      <c r="T62" s="2">
        <v>21.63</v>
      </c>
      <c r="U62" s="2">
        <v>21.63</v>
      </c>
      <c r="V62" s="2">
        <v>1</v>
      </c>
      <c r="W62" s="2">
        <v>0</v>
      </c>
      <c r="X62" s="2">
        <v>0</v>
      </c>
      <c r="Y62" s="2">
        <v>0</v>
      </c>
      <c r="Z62" s="2">
        <v>0</v>
      </c>
      <c r="AA62" s="2">
        <v>0</v>
      </c>
      <c r="AB62" s="2" t="s">
        <v>560</v>
      </c>
      <c r="AC62" s="2">
        <v>11.3</v>
      </c>
      <c r="AD62" s="2">
        <v>11.3</v>
      </c>
      <c r="AE62" s="2">
        <v>10.1</v>
      </c>
      <c r="AF62" s="2">
        <v>10.1</v>
      </c>
      <c r="AG62" s="2">
        <v>2</v>
      </c>
      <c r="AH62" s="2" t="s">
        <v>560</v>
      </c>
      <c r="AI62" s="2">
        <v>14.42</v>
      </c>
      <c r="AJ62" s="2">
        <v>14.42</v>
      </c>
      <c r="AK62" s="2">
        <v>0</v>
      </c>
      <c r="AL62" s="2">
        <v>0</v>
      </c>
      <c r="AM62" s="2">
        <v>1</v>
      </c>
      <c r="AN62" s="2"/>
      <c r="AO62" s="2"/>
      <c r="AP62" s="2"/>
      <c r="AQ62" s="2"/>
      <c r="AR62" s="2"/>
      <c r="AS62" s="2"/>
      <c r="AT62" s="2" t="s">
        <v>389</v>
      </c>
      <c r="AU62" s="2">
        <v>8.91</v>
      </c>
      <c r="AV62" s="2">
        <v>9.4499999999999993</v>
      </c>
      <c r="AW62" s="2">
        <v>8.7200000000000006</v>
      </c>
      <c r="AX62" s="2">
        <v>9.1999999999999993</v>
      </c>
      <c r="AY62" s="2">
        <v>43</v>
      </c>
      <c r="AZ62" s="2"/>
      <c r="BA62" s="2"/>
      <c r="BB62" s="2"/>
      <c r="BC62" s="2"/>
      <c r="BD62" s="2"/>
      <c r="BE62" s="2"/>
      <c r="BF62" s="2"/>
      <c r="BG62" s="2"/>
      <c r="BH62" s="2"/>
      <c r="BI62" s="2"/>
      <c r="BJ62" s="2"/>
      <c r="BK62" s="2"/>
      <c r="BL62" s="2"/>
      <c r="BM62" s="2"/>
      <c r="BN62" s="2"/>
      <c r="BO62" s="2"/>
      <c r="BP62" s="2"/>
      <c r="BQ62" s="2"/>
      <c r="BR62" s="2" t="s">
        <v>450</v>
      </c>
      <c r="BS62" s="2">
        <v>13.22</v>
      </c>
      <c r="BT62" s="2">
        <v>13.22</v>
      </c>
      <c r="BU62" s="2">
        <v>12.98</v>
      </c>
      <c r="BV62" s="2">
        <v>12.98</v>
      </c>
      <c r="BW62" s="2">
        <v>1</v>
      </c>
      <c r="BX62" s="2" t="s">
        <v>561</v>
      </c>
      <c r="BY62" s="2">
        <v>11.78</v>
      </c>
      <c r="BZ62" s="2">
        <v>11.78</v>
      </c>
      <c r="CA62" s="2">
        <v>9.1300000000000008</v>
      </c>
      <c r="CB62" s="2">
        <v>9.1300000000000008</v>
      </c>
      <c r="CC62" s="2">
        <v>1</v>
      </c>
      <c r="CD62" s="2"/>
      <c r="CE62" s="2"/>
      <c r="CF62" s="2"/>
      <c r="CG62" s="2"/>
      <c r="CH62" s="2"/>
      <c r="CI62" s="2"/>
      <c r="CJ62" s="2" t="s">
        <v>562</v>
      </c>
      <c r="CK62" s="2">
        <v>29.17</v>
      </c>
      <c r="CL62" s="2">
        <v>29.17</v>
      </c>
      <c r="CM62" s="2">
        <v>20.83</v>
      </c>
      <c r="CN62" s="2">
        <v>20.83</v>
      </c>
      <c r="CO62" s="2">
        <v>1</v>
      </c>
      <c r="CP62" s="2"/>
      <c r="CQ62" s="2"/>
      <c r="CR62" s="2"/>
      <c r="CS62" s="2"/>
      <c r="CT62" s="2"/>
      <c r="CU62" s="2"/>
      <c r="CV62" s="2"/>
      <c r="CW62" s="2"/>
      <c r="CX62" s="2"/>
      <c r="CY62" s="2"/>
      <c r="CZ62" s="2"/>
      <c r="DA62" s="2"/>
      <c r="DB62" s="2">
        <v>0.03</v>
      </c>
      <c r="DC62" s="2">
        <v>0</v>
      </c>
      <c r="DD62" s="2">
        <v>0</v>
      </c>
      <c r="DE62" s="2">
        <v>0</v>
      </c>
      <c r="DF62" s="2">
        <v>121</v>
      </c>
      <c r="DG62" s="2">
        <v>277</v>
      </c>
      <c r="DH62" s="2">
        <v>133.25</v>
      </c>
      <c r="DI62" s="2">
        <v>14.75</v>
      </c>
      <c r="DJ62" s="2">
        <v>1839.25</v>
      </c>
      <c r="DK62" s="2">
        <v>177</v>
      </c>
      <c r="DL62" s="2">
        <v>0</v>
      </c>
      <c r="DM62" s="2">
        <v>0</v>
      </c>
      <c r="DN62" s="2">
        <v>0</v>
      </c>
      <c r="DO62" s="2">
        <v>18.32</v>
      </c>
      <c r="DP62" s="2">
        <v>18.32</v>
      </c>
      <c r="DQ62" s="2">
        <v>16.07</v>
      </c>
      <c r="DR62" s="18">
        <v>43678</v>
      </c>
      <c r="DS62" s="18">
        <v>44043</v>
      </c>
      <c r="DT62" s="2">
        <v>104000</v>
      </c>
      <c r="DU62" s="2">
        <v>87000</v>
      </c>
      <c r="DV62" s="2">
        <v>952425</v>
      </c>
      <c r="DW62" s="2">
        <v>46000</v>
      </c>
      <c r="DX62" s="2">
        <v>24000</v>
      </c>
      <c r="DY62" s="2">
        <v>0</v>
      </c>
      <c r="DZ62" s="2">
        <v>8693</v>
      </c>
      <c r="EA62" s="2">
        <v>0</v>
      </c>
      <c r="EB62" s="2">
        <v>10221</v>
      </c>
      <c r="EC62" s="2">
        <v>5027</v>
      </c>
      <c r="ED62" s="2">
        <v>0</v>
      </c>
      <c r="EE62" s="2">
        <v>3901</v>
      </c>
      <c r="EF62" s="2">
        <v>5400</v>
      </c>
      <c r="EG62" s="2">
        <v>6101</v>
      </c>
      <c r="EH62" s="2" t="s">
        <v>324</v>
      </c>
      <c r="EI62" s="2">
        <v>0</v>
      </c>
      <c r="EJ62" s="2" t="s">
        <v>324</v>
      </c>
      <c r="EK62" s="2">
        <v>0</v>
      </c>
      <c r="EL62" s="2">
        <v>574</v>
      </c>
      <c r="EM62" s="2">
        <v>2184</v>
      </c>
      <c r="EN62" s="2">
        <v>2874</v>
      </c>
      <c r="EO62" s="2">
        <v>6721</v>
      </c>
      <c r="EP62" s="2">
        <v>688</v>
      </c>
      <c r="EQ62" s="2">
        <v>0</v>
      </c>
      <c r="ER62" s="2">
        <v>2400</v>
      </c>
      <c r="ES62" s="2">
        <v>2099</v>
      </c>
      <c r="ET62" s="2" t="s">
        <v>324</v>
      </c>
      <c r="EU62" s="2">
        <v>0</v>
      </c>
      <c r="EV62" s="2" t="s">
        <v>324</v>
      </c>
      <c r="EW62" s="2">
        <v>0</v>
      </c>
      <c r="EX62" s="2">
        <v>0</v>
      </c>
      <c r="EY62" s="2">
        <v>0</v>
      </c>
      <c r="EZ62" s="2" t="s">
        <v>326</v>
      </c>
      <c r="FA62" s="2">
        <v>0</v>
      </c>
      <c r="FB62" s="2" t="s">
        <v>326</v>
      </c>
      <c r="FC62" s="2">
        <v>0</v>
      </c>
      <c r="FD62" s="2">
        <v>263511</v>
      </c>
      <c r="FE62" s="2">
        <v>0</v>
      </c>
      <c r="FF62" s="2">
        <v>291750</v>
      </c>
      <c r="FG62" s="2"/>
      <c r="FH62" s="19">
        <v>44480.627129629633</v>
      </c>
      <c r="FI62" s="2" t="s">
        <v>364</v>
      </c>
      <c r="FJ62" s="2">
        <f>SUM(DATA[[#This Row],[Number of Home support clients:]],DATA[[#This Row],[Number of supported living clients:]])</f>
        <v>5</v>
      </c>
      <c r="FK62"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62"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21.88</v>
      </c>
      <c r="FM62"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21.88</v>
      </c>
      <c r="FN62"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21.63</v>
      </c>
      <c r="FO62"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21.63</v>
      </c>
      <c r="FP62"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62"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62"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62"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62"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11.3</v>
      </c>
      <c r="FU62"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11.3</v>
      </c>
      <c r="FV62"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10.1</v>
      </c>
      <c r="FW62"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10.1</v>
      </c>
      <c r="FX62"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14.42</v>
      </c>
      <c r="FY62"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14.42</v>
      </c>
      <c r="FZ62"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62"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62"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2"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2"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2"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2"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62"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9.4499999999999993</v>
      </c>
      <c r="GH62"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62"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9.1999999999999993</v>
      </c>
      <c r="GJ62"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62"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62"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62"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62"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62"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62"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62"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62"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2"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2"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2"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2"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13.22</v>
      </c>
      <c r="GW62"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13.22</v>
      </c>
      <c r="GX62"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12.98</v>
      </c>
      <c r="GY62"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12.98</v>
      </c>
      <c r="GZ62"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11.78</v>
      </c>
      <c r="HA62"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11.78</v>
      </c>
      <c r="HB62"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9.1300000000000008</v>
      </c>
      <c r="HC62"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9.1300000000000008</v>
      </c>
      <c r="HD62"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62"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62"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62"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62"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29.17</v>
      </c>
      <c r="HI62"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29.17</v>
      </c>
      <c r="HJ62"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20.83</v>
      </c>
      <c r="HK62"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20.83</v>
      </c>
      <c r="HL62"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2"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2"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2"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2"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2"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2"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2"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2"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21.88</v>
      </c>
      <c r="HU62"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21.88</v>
      </c>
      <c r="HV62"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21.63</v>
      </c>
      <c r="HW62"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21.63</v>
      </c>
      <c r="HX62"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62"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62"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62"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62"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11.3</v>
      </c>
      <c r="IC62"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11.3</v>
      </c>
      <c r="ID62"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10.1</v>
      </c>
      <c r="IE62"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10.1</v>
      </c>
      <c r="IF62"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14.42</v>
      </c>
      <c r="IG62"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14.42</v>
      </c>
      <c r="IH62"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14.42</v>
      </c>
      <c r="II62"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14.42</v>
      </c>
      <c r="IJ62"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2"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2"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2"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2"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62"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9.4499999999999993</v>
      </c>
      <c r="IP62"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62"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9.1999999999999993</v>
      </c>
      <c r="IR62"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62"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62"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62"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62"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62"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62"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62"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62"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2"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2"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2"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2"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13.22</v>
      </c>
      <c r="JE62"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13.22</v>
      </c>
      <c r="JF62"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12.98</v>
      </c>
      <c r="JG62"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12.98</v>
      </c>
      <c r="JH62"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11.78</v>
      </c>
      <c r="JI62"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11.78</v>
      </c>
      <c r="JJ62"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9.1300000000000008</v>
      </c>
      <c r="JK62"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9.1300000000000008</v>
      </c>
      <c r="JL62"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62"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62"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62"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62"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29.17</v>
      </c>
      <c r="JQ62"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29.17</v>
      </c>
      <c r="JR62"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20.83</v>
      </c>
      <c r="JS62"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20.83</v>
      </c>
      <c r="JT62"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2"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2"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2"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2"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2"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2"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2"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2"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v>
      </c>
      <c r="KC62" s="21">
        <f>SUM(DATA[[#This Row],[Care Assistant 1: Numbers employed (Full Time Equivalent)]],DATA[[#This Row],[Care Assistant 2: Numbers employed (Full Time Equivalent)]],DATA[[#This Row],[Care Assistant 3: Numbers employed (Full Time Equivalent)]],DATA[[#This Row],[Care Assistant 4: Numbers employed (Full Time Equivalent)]])</f>
        <v>43</v>
      </c>
      <c r="KD62" s="21">
        <f>SUM(DATA[[#This Row],[Administrative Officer 1: Numbers employed (Full Time Equivalent)]],DATA[[#This Row],[Administrative Officer 2: Numbers employed (Full Time Equivalent)]])</f>
        <v>2</v>
      </c>
      <c r="KE62" s="21">
        <f>SUM(DATA[[#This Row],[Other staff 1: Numbers employed (Full Time Equivalent)]],DATA[[#This Row],[Other staff 2: Numbers employed (Full Time Equivalent)]],DATA[[#This Row],[Other staff 3: Numbers employed (Full Time Equivalent)]])</f>
        <v>1</v>
      </c>
      <c r="KF62" s="21">
        <f>SUM(DATA[[#This Row],[Total FTE Management Employees]:[Total FTE Other Employees]])</f>
        <v>50</v>
      </c>
      <c r="KG62" s="21" t="str">
        <f>IF(SUM(DATA[[#This Row],[Home Support service split percentage (Expenditure):]],DATA[[#This Row],[Supported Living service split percentage (Expenditure):]])&gt;0, IF(DATA[[#This Row],[Home Support service split percentage (Expenditure):]]&gt;0.5,"Home Support","Supported Living"), "Unknown")</f>
        <v>Supported Living</v>
      </c>
      <c r="KH62" s="21">
        <f>SUM(DATA[[#This Row],[Home Support: Birmingham City Council]:[Home Support: Self-funded]])</f>
        <v>531.25</v>
      </c>
      <c r="KI62" s="21">
        <f>SUM(DATA[[#This Row],[Supported Living: Birmingham City Council]:[Supported Living: Self-funded]])</f>
        <v>2031</v>
      </c>
      <c r="KJ62"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2"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2"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2"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2" s="21" t="b">
        <f>SUM(DATA[[#This Row],[Number of hours of care charged for in last full accounting year]:[Corporate Overheads: Other  - please specify (category) 1]])&gt;0</f>
        <v>1</v>
      </c>
      <c r="KO62" s="21">
        <f>SUM(DATA[[#This Row],[Total annual expenditure: Management staff]:[Total annual expenditure: Training and development]])</f>
        <v>1128339</v>
      </c>
      <c r="KP62" s="21">
        <f>SUM(DATA[[#This Row],[Recruitment &amp; advertising (including DBS checks)]:[Non-Staffing Direct Cost: Other  - please specify (amount) 2]])</f>
        <v>20429</v>
      </c>
      <c r="KQ62" s="21">
        <f>SUM(DATA[[#This Row],[Insurance ]:[Indirect costs: Other 2 - please specify (amount)]])</f>
        <v>17540</v>
      </c>
      <c r="KR62" s="21">
        <f>SUM(DATA[[#This Row],[Central / Regional Management]],DATA[[#This Row],[Support Services (finance / HR / Payroll / legal etc.)]],DATA[[#This Row],[Corporate Overheads: Other  - please specify (amount) 1]],DATA[[#This Row],[Corporate Overheads: Other  - please specify (amount) 2]])</f>
        <v>0</v>
      </c>
      <c r="KS62"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0.83653846153846156</v>
      </c>
      <c r="KT62"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9.1579326923076927</v>
      </c>
      <c r="KU62"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0.44230769230769229</v>
      </c>
      <c r="KV62" s="30">
        <f>IF(OR(NOT(DATA[[#This Row],[Total annual expenditure: Other staff]]&gt;0),NOT(DATA[[#This Row],[Number of hours of care charged for in last full accounting year]]&gt;0)),0,DATA[[#This Row],[Total annual expenditure: Other staff]]/DATA[[#This Row],[Number of hours of care charged for in last full accounting year]])</f>
        <v>0.23076923076923078</v>
      </c>
      <c r="KW62"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62" s="30">
        <f>IF(OR(NOT(DATA[[#This Row],[Total annual expenditure: Travel Cost]]&gt;0),NOT(DATA[[#This Row],[Number of hours of care charged for in last full accounting year]]&gt;0)),0,DATA[[#This Row],[Total annual expenditure: Travel Cost]]/DATA[[#This Row],[Number of hours of care charged for in last full accounting year]])</f>
        <v>8.3586538461538462E-2</v>
      </c>
      <c r="KY62"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62"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9.8278846153846147E-2</v>
      </c>
      <c r="LA62"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4.8336538461538459E-2</v>
      </c>
      <c r="LB62"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62" s="30">
        <f>IF(OR(NOT(DATA[[#This Row],[Care consumables &amp; uniforms]]&gt;0),NOT(DATA[[#This Row],[Number of hours of care charged for in last full accounting year]]&gt;0)),0,DATA[[#This Row],[Care consumables &amp; uniforms]]/DATA[[#This Row],[Number of hours of care charged for in last full accounting year]])</f>
        <v>3.7509615384615384E-2</v>
      </c>
      <c r="LD62" s="30">
        <f>IF(OR(NOT(DATA[[#This Row],[Electronic call monitoring]]&gt;0),NOT(DATA[[#This Row],[Number of hours of care charged for in last full accounting year]]&gt;0)),0,DATA[[#This Row],[Electronic call monitoring]]/DATA[[#This Row],[Number of hours of care charged for in last full accounting year]])</f>
        <v>5.1923076923076926E-2</v>
      </c>
      <c r="LE62" s="30">
        <f>IF(OR(NOT(DATA[[#This Row],[IT Equipment &amp; Telephoney]]&gt;0),NOT(DATA[[#This Row],[Number of hours of care charged for in last full accounting year]]&gt;0)),0,DATA[[#This Row],[IT Equipment &amp; Telephoney]]/DATA[[#This Row],[Number of hours of care charged for in last full accounting year]])</f>
        <v>5.8663461538461539E-2</v>
      </c>
      <c r="LF62"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62"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2" s="30">
        <f>IF(OR(NOT(DATA[[#This Row],[Insurance ]]&gt;0),NOT(DATA[[#This Row],[Number of hours of care charged for in last full accounting year]]&gt;0)),0,DATA[[#This Row],[Insurance ]]/DATA[[#This Row],[Number of hours of care charged for in last full accounting year]])</f>
        <v>5.5192307692307693E-3</v>
      </c>
      <c r="LI62"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2.1000000000000001E-2</v>
      </c>
      <c r="LJ62" s="30">
        <f>IF(OR(NOT(DATA[[#This Row],[Repairs and maintenance]]&gt;0),NOT(DATA[[#This Row],[Number of hours of care charged for in last full accounting year]]&gt;0)),0,DATA[[#This Row],[Repairs and maintenance]]/DATA[[#This Row],[Number of hours of care charged for in last full accounting year]])</f>
        <v>2.7634615384615386E-2</v>
      </c>
      <c r="LK62"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6.4625000000000002E-2</v>
      </c>
      <c r="LL62" s="30">
        <f>IF(OR(NOT(DATA[[#This Row],[Registration &amp; Inspection fees ]]&gt;0),NOT(DATA[[#This Row],[Number of hours of care charged for in last full accounting year]]&gt;0)),0,DATA[[#This Row],[Registration &amp; Inspection fees ]]/DATA[[#This Row],[Number of hours of care charged for in last full accounting year]])</f>
        <v>6.615384615384615E-3</v>
      </c>
      <c r="LM62" s="30">
        <f>IF(OR(NOT(DATA[[#This Row],[Subscriptions]]&gt;0),NOT(DATA[[#This Row],[Number of hours of care charged for in last full accounting year]]&gt;0)),0,DATA[[#This Row],[Subscriptions]]/DATA[[#This Row],[Number of hours of care charged for in last full accounting year]])</f>
        <v>0</v>
      </c>
      <c r="LN62" s="30">
        <f>IF(OR(NOT(DATA[[#This Row],[Cost of finance]]&gt;0),NOT(DATA[[#This Row],[Number of hours of care charged for in last full accounting year]]&gt;0)),0,DATA[[#This Row],[Cost of finance]]/DATA[[#This Row],[Number of hours of care charged for in last full accounting year]])</f>
        <v>2.3076923076923078E-2</v>
      </c>
      <c r="LO62" s="30">
        <f>IF(OR(NOT(DATA[[#This Row],[Other non-staff current expenses]]&gt;0),NOT(DATA[[#This Row],[Number of hours of care charged for in last full accounting year]]&gt;0)),0,DATA[[#This Row],[Other non-staff current expenses]]/DATA[[#This Row],[Number of hours of care charged for in last full accounting year]])</f>
        <v>2.0182692307692308E-2</v>
      </c>
      <c r="LP62"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62"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62" s="30">
        <f>IF(OR(NOT(DATA[[#This Row],[Central / Regional Management]]&gt;0),NOT(DATA[[#This Row],[Number of hours of care charged for in last full accounting year]]&gt;0)),0,DATA[[#This Row],[Central / Regional Management]]/DATA[[#This Row],[Number of hours of care charged for in last full accounting year]])</f>
        <v>0</v>
      </c>
      <c r="LS62"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62"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62"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62" s="30">
        <f>SUM(DATA[[#This Row],[Management staff HOURLY RATE]:[Corporate Overheads: Other  - please specify (amount) 2 HOURLY RATE]])</f>
        <v>11.214500000000001</v>
      </c>
      <c r="LW62" s="30">
        <f>IF(OR(NOT(DATA[[#This Row],[Net Operating Profit]]&gt;0),NOT(DATA[[#This Row],[Number of hours of care charged for in last full accounting year]]&gt;0)),"",DATA[[#This Row],[Net Operating Profit]]/DATA[[#This Row],[Number of hours of care charged for in last full accounting year]])</f>
        <v>2.5337596153846156</v>
      </c>
      <c r="LX62" s="30">
        <f>IF(OR(NOT(DATA[[#This Row],[Return on Capital employed]]&gt;0),NOT(DATA[[#This Row],[Number of hours of care charged for in last full accounting year]]&gt;0)),0,DATA[[#This Row],[Return on Capital employed]]/DATA[[#This Row],[Number of hours of care charged for in last full accounting year]])</f>
        <v>0</v>
      </c>
      <c r="LY62" s="31">
        <v>56</v>
      </c>
      <c r="LZ62" s="30" t="s">
        <v>345</v>
      </c>
      <c r="MA62" s="30" t="b">
        <f>DATA[[#This Row],[Number of Home support clients:]]&gt;0</f>
        <v>1</v>
      </c>
      <c r="MB62" s="30" t="b">
        <f>DATA[[#This Row],[Number of supported living clients:]]&gt;0</f>
        <v>1</v>
      </c>
      <c r="MC62" s="30" t="b">
        <f>DATA[[#This Row],[Total Home Support Hours]]&gt;0</f>
        <v>1</v>
      </c>
      <c r="MD62" s="30" t="b">
        <f>DATA[[#This Row],[Total Supported Living Hours]]&gt;0</f>
        <v>1</v>
      </c>
      <c r="ME62" s="30" t="b">
        <f>DATA[[#This Row],[Home Support service split percentage (Expenditure):]]&gt;0.5</f>
        <v>0</v>
      </c>
      <c r="MF62" s="30" t="b">
        <f>DATA[[#This Row],[Agency staff HOURLY RATE]]=0</f>
        <v>1</v>
      </c>
      <c r="MG62" s="30">
        <f>IFERROR(IF(AVERAGE(DATA[[#This Row],[Registered manager: Current 2021/22 Minimum hourly pay rate ADJUSTED]],DATA[[#This Row],[Registered manager: Current 2021/22 Maximum hourly pay rate ADJUSTED]])&lt;LIVING_WAGE_22_23,DATA[[#This Row],[Registered manager: Numbers employed (Full Time Equivalent)]],0),"")</f>
        <v>0</v>
      </c>
      <c r="MH62" s="30" t="str">
        <f>IFERROR(IF(AVERAGE(DATA[[#This Row],[Deputy manager: Current 2021/22 Minimum hourly pay rate ADJUSTED]],DATA[[#This Row],[Deputy manager: Current 2021/22 Maximum hourly pay rate ADJUSTED]])&lt;LIVING_WAGE_22_23,DATA[[#This Row],[Deputy manager: Numbers employed (Full Time Equivalent)]],0),"")</f>
        <v/>
      </c>
      <c r="MI62" s="30">
        <f>IFERROR(IF(AVERAGE(DATA[[#This Row],[Other manager 1: Current 2021/22 Minimum hourly pay rate ADJUSTED]],DATA[[#This Row],[Other manager 1: Current 2021/22 Maximum hourly pay rate ADJUSTED]])&lt;LIVING_WAGE_22_23,DATA[[#This Row],[Other manager 1: Numbers employed (Full Time Equivalent)]],0),"")</f>
        <v>0</v>
      </c>
      <c r="MJ62" s="30">
        <f>IFERROR(IF(AVERAGE(DATA[[#This Row],[Other manager 2: Current 2021/22 Minimum hourly pay rate ADJUSTED]],DATA[[#This Row],[Other manager 2: Current 2021/22 Maximum hourly pay rate ADJUSTED]])&lt;LIVING_WAGE_22_23,DATA[[#This Row],[Other manager 2: Numbers employed (Full Time Equivalent)]],0),"")</f>
        <v>0</v>
      </c>
      <c r="MK62" s="30" t="str">
        <f>IFERROR(IF(AVERAGE(DATA[[#This Row],[Other manager 3: Current 2021/22 Minimum hourly pay rate ADJUSTED]],DATA[[#This Row],[Other manager 3: Current 2021/22 Maximum hourly pay rate ADJUSTED]])&lt;LIVING_WAGE_22_23,DATA[[#This Row],[Other manager 3: Numbers employed (Full Time Equivalent)]],0),"")</f>
        <v/>
      </c>
      <c r="ML62" s="30">
        <f>IFERROR(IF(AVERAGE(DATA[[#This Row],[Care Assistant 1: Current 2021/22 Minimum hourly pay rate ADJUSTED]],DATA[[#This Row],[Care Assistant 1: Current 2021/22 Maximum hourly pay rate ADJUSTED]])&lt;LIVING_WAGE_22_23,DATA[[#This Row],[Care Assistant 1: Numbers employed (Full Time Equivalent)]],0),"")</f>
        <v>43</v>
      </c>
      <c r="MM62" s="30" t="str">
        <f>IFERROR(IF(AVERAGE(DATA[[#This Row],[Care Assistant 2: Current 2021/22 Minimum hourly pay rate ADJUSTED]],DATA[[#This Row],[Care Assistant 2: Current 2021/22 Maximum hourly pay rate ADJUSTED]])&lt;LIVING_WAGE_22_23,DATA[[#This Row],[Care Assistant 2: Numbers employed (Full Time Equivalent)]],0),"")</f>
        <v/>
      </c>
      <c r="MN62" s="30" t="str">
        <f>IFERROR(IF(AVERAGE(DATA[[#This Row],[Care Assistant 3: Current 2021/22 Minimum hourly pay rate ADJUSTED]],DATA[[#This Row],[Care Assistant 3: Current 2021/22 Maximum hourly pay rate ADJUSTED]])&lt;LIVING_WAGE_22_23,DATA[[#This Row],[Care Assistant 3: Numbers employed (Full Time Equivalent)]],0),"")</f>
        <v/>
      </c>
      <c r="MO62" s="30" t="str">
        <f>IFERROR(IF(AVERAGE(DATA[[#This Row],[Care Assistant 4: Current 2021/22 Minimum hourly pay rate ADJUSTED]],DATA[[#This Row],[Care Assistant 4: Current 2021/22 Maximum hourly pay rate ADJUSTED]])&lt;LIVING_WAGE_22_23,DATA[[#This Row],[Care Assistant 4: Numbers employed (Full Time Equivalent)]],0),"")</f>
        <v/>
      </c>
      <c r="MP62"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62"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62" s="30">
        <f>IFERROR(IF(AVERAGE(DATA[[#This Row],[Other staff 1: Current 2021/22 Minimum hourly pay rate ADJUSTED]],DATA[[#This Row],[Other staff 1: Current 2021/22 Maximum hourly pay rate ADJUSTED]])&lt;LIVING_WAGE_22_23,DATA[[#This Row],[Other staff 1: Numbers employed (Full Time Equivalent)]],0),"")</f>
        <v>0</v>
      </c>
      <c r="MS62" s="30" t="str">
        <f>IFERROR(IF(AVERAGE(DATA[[#This Row],[Other staff 2: Current 2021/22 Minimum hourly pay rate ADJUSTED]],DATA[[#This Row],[Other staff 2: Current 2021/22 Maximum hourly pay rate ADJUSTED]])&lt;LIVING_WAGE_22_23,DATA[[#This Row],[Other staff 2: Numbers employed (Full Time Equivalent)]],0),"")</f>
        <v/>
      </c>
      <c r="MT62" s="30" t="str">
        <f>IFERROR(IF(AVERAGE(DATA[[#This Row],[Other staff 3: Current 2021/22 Minimum hourly pay rate ADJUSTED]],DATA[[#This Row],[Other staff 3: Current 2021/22 Maximum hourly pay rate ADJUSTED]])&lt;LIVING_WAGE_22_23,DATA[[#This Row],[Other staff 3: Numbers employed (Full Time Equivalent)]],0),"")</f>
        <v/>
      </c>
      <c r="MU62" s="30">
        <f>SUM(DATA[[#This Row],[Registered Manager FTE earning less than NLW 23yrs 2022/23]:[Other staff 3 FTE earning less than NLW 23yrs 2022/23]])</f>
        <v>43</v>
      </c>
      <c r="MV62"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62"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62"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62"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62"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2"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13.760000000000012</v>
      </c>
      <c r="NB62"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62"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62"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2"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62"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62"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62"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2"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2" s="30" t="b">
        <v>1</v>
      </c>
      <c r="NK62" s="30" t="b">
        <v>1</v>
      </c>
      <c r="NL62" s="30" t="s">
        <v>505</v>
      </c>
      <c r="NM62" s="30">
        <f>SUM(DATA[[#This Row],[Management staff HOURLY RATE]:[Training and development HOURLY RATE]])</f>
        <v>10.849413461538461</v>
      </c>
      <c r="NN62" s="30">
        <f>SUM(DATA[[#This Row],[Recruitment &amp; advertising (including DBS checks) HOURLY RATE]:[Non-Staffing Direct Cost: Other  - please specify (amount) 2 HOURLY RATE]])</f>
        <v>0.19643269230769234</v>
      </c>
      <c r="NO62" s="30">
        <f>SUM(DATA[[#This Row],[Insurance  HOURLY RATE]:[Indirect costs: Other  - please specify (amount) 2 HOURLY RATE]])</f>
        <v>0.16865384615384615</v>
      </c>
      <c r="NP62" s="30">
        <f>SUM(DATA[[#This Row],[Central / Regional Management HOURLY RATE]:[Corporate Overheads: Other  - please specify (amount) 2 HOURLY RATE]])</f>
        <v>0</v>
      </c>
      <c r="NQ62"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62" s="30" t="str">
        <f>IFERROR(IF(AVERAGE(DATA[[#This Row],[Deputy manager: Current 2021/22 Minimum hourly pay rate ADJUSTED]],DATA[[#This Row],[Deputy manager: Current 2021/22 Maximum hourly pay rate ADJUSTED]])&lt;REAL_LIVING_WAGE_22_23,DATA[[#This Row],[Deputy manager: Numbers employed (Full Time Equivalent)]],0),"")</f>
        <v/>
      </c>
      <c r="NS62" s="30">
        <f>IFERROR(IF(AVERAGE(DATA[[#This Row],[Other manager 1: Current 2021/22 Minimum hourly pay rate ADJUSTED]],DATA[[#This Row],[Other manager 1: Current 2021/22 Maximum hourly pay rate ADJUSTED]])&lt;REAL_LIVING_WAGE_22_23,DATA[[#This Row],[Other manager 1: Numbers employed (Full Time Equivalent)]],0),"")</f>
        <v>0</v>
      </c>
      <c r="NT62" s="30">
        <f>IFERROR(IF(AVERAGE(DATA[[#This Row],[Other manager 2: Current 2021/22 Minimum hourly pay rate ADJUSTED]],DATA[[#This Row],[Other manager 2: Current 2021/22 Maximum hourly pay rate ADJUSTED]])&lt;REAL_LIVING_WAGE_22_23,DATA[[#This Row],[Other manager 2: Numbers employed (Full Time Equivalent)]],0),"")</f>
        <v>0</v>
      </c>
      <c r="NU62" s="30" t="str">
        <f>IFERROR(IF(AVERAGE(DATA[[#This Row],[Other manager 3: Current 2021/22 Minimum hourly pay rate ADJUSTED]],DATA[[#This Row],[Other manager 3: Current 2021/22 Maximum hourly pay rate ADJUSTED]])&lt;REAL_LIVING_WAGE_22_23,DATA[[#This Row],[Other manager 3: Numbers employed (Full Time Equivalent)]],0),"")</f>
        <v/>
      </c>
      <c r="NV62" s="30">
        <f>IFERROR(IF(AVERAGE(DATA[[#This Row],[Care Assistant 1: Current 2021/22 Minimum hourly pay rate ADJUSTED]],DATA[[#This Row],[Care Assistant 1: Current 2021/22 Maximum hourly pay rate ADJUSTED]])&lt;REAL_LIVING_WAGE_22_23,DATA[[#This Row],[Care Assistant 1: Numbers employed (Full Time Equivalent)]],0),"")</f>
        <v>43</v>
      </c>
      <c r="NW62"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62"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62"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2"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62"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62" s="30">
        <f>IFERROR(IF(AVERAGE(DATA[[#This Row],[Other staff 1: Current 2021/22 Minimum hourly pay rate ADJUSTED]],DATA[[#This Row],[Other staff 1: Current 2021/22 Maximum hourly pay rate ADJUSTED]])&lt;REAL_LIVING_WAGE_22_23,DATA[[#This Row],[Other staff 1: Numbers employed (Full Time Equivalent)]],0),"")</f>
        <v>0</v>
      </c>
      <c r="OC62" s="30" t="str">
        <f>IFERROR(IF(AVERAGE(DATA[[#This Row],[Other staff 2: Current 2021/22 Minimum hourly pay rate ADJUSTED]],DATA[[#This Row],[Other staff 2: Current 2021/22 Maximum hourly pay rate ADJUSTED]])&lt;REAL_LIVING_WAGE_22_23,DATA[[#This Row],[Other staff 2: Numbers employed (Full Time Equivalent)]],0),"")</f>
        <v/>
      </c>
      <c r="OD62" s="30" t="str">
        <f>IFERROR(IF(AVERAGE(DATA[[#This Row],[Other staff 3: Current 2021/22 Minimum hourly pay rate ADJUSTED]],DATA[[#This Row],[Other staff 3: Current 2021/22 Maximum hourly pay rate ADJUSTED]])&lt;REAL_LIVING_WAGE_22_23,DATA[[#This Row],[Other staff 3: Numbers employed (Full Time Equivalent)]],0),"")</f>
        <v/>
      </c>
      <c r="OE62" s="30">
        <f>SUM(DATA[[#This Row],[Registered Manager FTE earning less than RLW 23yrs 2022/23]:[Other staff 3 FTE earning less than RLW 23yrs 2022/23]])</f>
        <v>43</v>
      </c>
      <c r="OF62"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62"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62"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62"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62"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2"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30.960000000000029</v>
      </c>
      <c r="OL62"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62"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62"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2"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62"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62"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62"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2"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2" s="30">
        <f>IFERROR(IF(DATA[[#This Row],[Registered manager: Numbers employed (Full Time Equivalent)]]=0,"",DATA[[#This Row],[Registered manager: Current 2021/22 Minimum hourly pay rate ADJUSTED 2]]*DATA[[#This Row],[Registered manager: Numbers employed (Full Time Equivalent)]]),"")</f>
        <v>21.88</v>
      </c>
      <c r="OU62" s="30">
        <f>IFERROR(IF(DATA[[#This Row],[Registered manager: Numbers employed (Full Time Equivalent)]]=0,"",DATA[[#This Row],[Registered manager: Current 2021/22 Maximum hourly pay rate ADJUSTED 2]]*DATA[[#This Row],[Registered manager: Numbers employed (Full Time Equivalent)]]),"")</f>
        <v>21.88</v>
      </c>
      <c r="OV62" s="30">
        <f>IFERROR(IF(DATA[[#This Row],[Registered manager: Numbers employed (Full Time Equivalent)]]=0,"",DATA[[#This Row],[Registered manager: Previous 2020/21 Minimum hourly pay rate ADJUSTED 2]]*DATA[[#This Row],[Registered manager: Numbers employed (Full Time Equivalent)]]),"")</f>
        <v>21.63</v>
      </c>
      <c r="OW62" s="30">
        <f>IFERROR(IF(DATA[[#This Row],[Registered manager: Numbers employed (Full Time Equivalent)]]=0,"",DATA[[#This Row],[Registered manager: Previous 2020/21 Maximum hourly pay rate ADJUSTED 2]]*DATA[[#This Row],[Registered manager: Numbers employed (Full Time Equivalent)]]),"")</f>
        <v>21.63</v>
      </c>
      <c r="OX62" s="30" t="str">
        <f>IFERROR(IF(DATA[[#This Row],[Deputy manager: Numbers employed (Full Time Equivalent)]]=0,"",DATA[[#This Row],[Deputy manager: Current 2021/22 Minimum hourly pay rate ADJUSTED 2]]*DATA[[#This Row],[Deputy manager: Numbers employed (Full Time Equivalent)]]),"")</f>
        <v/>
      </c>
      <c r="OY62" s="30" t="str">
        <f>IFERROR(IF(DATA[[#This Row],[Deputy manager: Numbers employed (Full Time Equivalent)]]=0,"",DATA[[#This Row],[Deputy manager: Current 2021/22 Maximum hourly pay rate ADJUSTED 2]]*DATA[[#This Row],[Deputy manager: Numbers employed (Full Time Equivalent)]]),"")</f>
        <v/>
      </c>
      <c r="OZ62" s="30" t="str">
        <f>IFERROR(IF(DATA[[#This Row],[Deputy manager: Numbers employed (Full Time Equivalent)]]=0,"",DATA[[#This Row],[Deputy manager: Previous 2020/21 Minimum hourly pay rate ADJUSTED 2]]*DATA[[#This Row],[Deputy manager: Numbers employed (Full Time Equivalent)]]),"")</f>
        <v/>
      </c>
      <c r="PA62" s="30" t="str">
        <f>IFERROR(IF(DATA[[#This Row],[Deputy manager: Numbers employed (Full Time Equivalent)]]=0,"",DATA[[#This Row],[Deputy manager: Previous 2020/21 Maximum hourly pay rate ADJUSTED 2]]*DATA[[#This Row],[Deputy manager: Numbers employed (Full Time Equivalent)]]),"")</f>
        <v/>
      </c>
      <c r="PB62" s="30">
        <f>IFERROR(IF(DATA[[#This Row],[Other manager 1: Numbers employed (Full Time Equivalent)]]=0,"",DATA[[#This Row],[Other manager 1: Current 2021/22 Minimum hourly pay rate ADJUSTED 2]]*DATA[[#This Row],[Other manager 1: Numbers employed (Full Time Equivalent)]]),"")</f>
        <v>22.6</v>
      </c>
      <c r="PC62" s="30">
        <f>IFERROR(IF(DATA[[#This Row],[Other manager 1: Numbers employed (Full Time Equivalent)]]=0,"",DATA[[#This Row],[Other manager 1: Current 2021/22 Maximum hourly pay rate ADJUSTED 2]]*DATA[[#This Row],[Other manager 1: Numbers employed (Full Time Equivalent)]]),"")</f>
        <v>22.6</v>
      </c>
      <c r="PD62" s="30">
        <f>IFERROR(IF(DATA[[#This Row],[Other manager 1: Numbers employed (Full Time Equivalent)]]=0,"",DATA[[#This Row],[Other manager 1: Previous 2020/21 Minimum hourly pay rate ADJUSTED 2]]*DATA[[#This Row],[Other manager 1: Numbers employed (Full Time Equivalent)]]),"")</f>
        <v>20.2</v>
      </c>
      <c r="PE62" s="30">
        <f>IFERROR(IF(DATA[[#This Row],[Other manager 1: Numbers employed (Full Time Equivalent)]]=0,"",DATA[[#This Row],[Other manager 1: Previous 2020/21 Maximum hourly pay rate ADJUSTED 2]]*DATA[[#This Row],[Other manager 1: Numbers employed (Full Time Equivalent)]]),"")</f>
        <v>20.2</v>
      </c>
      <c r="PF62" s="30">
        <f>IFERROR(IF(DATA[[#This Row],[Other manager 2: Numbers employed (Full Time Equivalent)]]=0,"",DATA[[#This Row],[Other manager 2: Current 2021/22 Minimum hourly pay rate ADJUSTED 2]]*DATA[[#This Row],[Other manager 2: Numbers employed (Full Time Equivalent)]]),"")</f>
        <v>14.42</v>
      </c>
      <c r="PG62" s="30">
        <f>IFERROR(IF(DATA[[#This Row],[Other manager 2: Numbers employed (Full Time Equivalent)]]=0,"",DATA[[#This Row],[Other manager 2: Current 2021/22 Maximum hourly pay rate ADJUSTED 2]]*DATA[[#This Row],[Other manager 2: Numbers employed (Full Time Equivalent)]]),"")</f>
        <v>14.42</v>
      </c>
      <c r="PH62" s="30">
        <f>IFERROR(IF(DATA[[#This Row],[Other manager 2: Numbers employed (Full Time Equivalent)]]=0,"",DATA[[#This Row],[Other manager 2: Previous 2020/21 Minimum hourly pay rate ADJUSTED 2]]*DATA[[#This Row],[Other manager 2: Numbers employed (Full Time Equivalent)]]),"")</f>
        <v>14.42</v>
      </c>
      <c r="PI62" s="30">
        <f>IFERROR(IF(DATA[[#This Row],[Other manager 2: Numbers employed (Full Time Equivalent)]]=0,"",DATA[[#This Row],[Other manager 2: Previous 2020/21 Maximum hourly pay rate ADJUSTED 2]]*DATA[[#This Row],[Other manager 2: Numbers employed (Full Time Equivalent)]]),"")</f>
        <v>14.42</v>
      </c>
      <c r="PJ62" s="30" t="str">
        <f>IFERROR(IF(DATA[[#This Row],[Other manager 3: Numbers employed (Full Time Equivalent)]]=0,"",DATA[[#This Row],[Other manager 3: Current 2021/22 Minimum hourly pay rate ADJUSTED 2]]*DATA[[#This Row],[Other manager 3: Numbers employed (Full Time Equivalent)]]),"")</f>
        <v/>
      </c>
      <c r="PK62" s="30" t="str">
        <f>IFERROR(IF(DATA[[#This Row],[Other manager 3: Numbers employed (Full Time Equivalent)]]=0,"",DATA[[#This Row],[Other manager 3: Current 2021/22 Maximum hourly pay rate ADJUSTED 2]]*DATA[[#This Row],[Other manager 3: Numbers employed (Full Time Equivalent)]]),"")</f>
        <v/>
      </c>
      <c r="PL62" s="30" t="str">
        <f>IFERROR(IF(DATA[[#This Row],[Other manager 3: Numbers employed (Full Time Equivalent)]]=0,"",DATA[[#This Row],[Other manager 3: Previous 2020/21 Minimum hourly pay rate ADJUSTED 2]]*DATA[[#This Row],[Other manager 3: Numbers employed (Full Time Equivalent)]]),"")</f>
        <v/>
      </c>
      <c r="PM62" s="30" t="str">
        <f>IFERROR(IF(DATA[[#This Row],[Other manager 3: Numbers employed (Full Time Equivalent)]]=0,"",DATA[[#This Row],[Other manager 3: Previous 2020/21 Maximum hourly pay rate ADJUSTED 2]]*DATA[[#This Row],[Other manager 3: Numbers employed (Full Time Equivalent)]]),"")</f>
        <v/>
      </c>
      <c r="PN62" s="30">
        <f>IFERROR(IF(DATA[[#This Row],[Care Assistant 1: Numbers employed (Full Time Equivalent)]]=0,"",DATA[[#This Row],[Care Assistant 1: Current 2021/22 Minimum hourly pay rate ADJUSTED 2]]*DATA[[#This Row],[Care Assistant 1: Numbers employed (Full Time Equivalent)]]),"")</f>
        <v>383.13</v>
      </c>
      <c r="PO62" s="30">
        <f>IFERROR(IF(DATA[[#This Row],[Care Assistant 1: Numbers employed (Full Time Equivalent)]]=0,"",DATA[[#This Row],[Care Assistant 1: Current 2021/22 Maximum hourly pay rate ADJUSTED 2]]*DATA[[#This Row],[Care Assistant 1: Numbers employed (Full Time Equivalent)]]),"")</f>
        <v>406.34999999999997</v>
      </c>
      <c r="PP62" s="30">
        <f>IFERROR(IF(DATA[[#This Row],[Care Assistant 1: Numbers employed (Full Time Equivalent)]]=0,"",DATA[[#This Row],[Care Assistant 1: Previous 2020/21 Minimum hourly pay rate ADJUSTED 2]]*DATA[[#This Row],[Care Assistant 1: Numbers employed (Full Time Equivalent)]]),"")</f>
        <v>374.96000000000004</v>
      </c>
      <c r="PQ62" s="30">
        <f>IFERROR(IF(DATA[[#This Row],[Care Assistant 1: Numbers employed (Full Time Equivalent)]]=0,"",DATA[[#This Row],[Care Assistant 1: Previous 2020/21 Maximum hourly pay rate ADJUSTED 2]]*DATA[[#This Row],[Care Assistant 1: Numbers employed (Full Time Equivalent)]]),"")</f>
        <v>395.59999999999997</v>
      </c>
      <c r="PR62" s="30" t="str">
        <f>IFERROR(IF(DATA[[#This Row],[Care Assistant 2: Numbers employed (Full Time Equivalent)]]=0,"",DATA[[#This Row],[Care Assistant 2: Current 2021/22 Minimum hourly pay rate ADJUSTED 2]]*DATA[[#This Row],[Care Assistant 2: Numbers employed (Full Time Equivalent)]]),"")</f>
        <v/>
      </c>
      <c r="PS62" s="30" t="str">
        <f>IFERROR(IF(DATA[[#This Row],[Care Assistant 2: Numbers employed (Full Time Equivalent)]]=0,"",DATA[[#This Row],[Care Assistant 2: Current 2021/22 Maximum hourly pay rate ADJUSTED 2]]*DATA[[#This Row],[Care Assistant 2: Numbers employed (Full Time Equivalent)]]),"")</f>
        <v/>
      </c>
      <c r="PT62" s="30" t="str">
        <f>IFERROR(IF(DATA[[#This Row],[Care Assistant 2: Numbers employed (Full Time Equivalent)]]=0,"",DATA[[#This Row],[Care Assistant 2: Previous 2020/21 Minimum hourly pay rate ADJUSTED 2]]*DATA[[#This Row],[Care Assistant 2: Numbers employed (Full Time Equivalent)]]),"")</f>
        <v/>
      </c>
      <c r="PU62" s="30" t="str">
        <f>IFERROR(IF(DATA[[#This Row],[Care Assistant 2: Numbers employed (Full Time Equivalent)]]=0,"",DATA[[#This Row],[Care Assistant 2: Previous 2020/21 Maximum hourly pay rate ADJUSTED 2]]*DATA[[#This Row],[Care Assistant 2: Numbers employed (Full Time Equivalent)]]),"")</f>
        <v/>
      </c>
      <c r="PV62" s="30" t="str">
        <f>IFERROR(IF(DATA[[#This Row],[Care Assistant 3: Numbers employed (Full Time Equivalent)]]=0,"",DATA[[#This Row],[Care Assistant 3: Current 2021/22 Minimum hourly pay rate ADJUSTED 2]]*DATA[[#This Row],[Care Assistant 3: Numbers employed (Full Time Equivalent)]]),"")</f>
        <v/>
      </c>
      <c r="PW62" s="30" t="str">
        <f>IFERROR(IF(DATA[[#This Row],[Care Assistant 3: Numbers employed (Full Time Equivalent)]]=0,"",DATA[[#This Row],[Care Assistant 3: Current 2021/22 Maximum hourly pay rate ADJUSTED 2]]*DATA[[#This Row],[Care Assistant 3: Numbers employed (Full Time Equivalent)]]),"")</f>
        <v/>
      </c>
      <c r="PX62" s="30" t="str">
        <f>IFERROR(IF(DATA[[#This Row],[Care Assistant 3: Numbers employed (Full Time Equivalent)]]=0,"",DATA[[#This Row],[Care Assistant 3: Previous 2020/21 Minimum hourly pay rate ADJUSTED 2]]*DATA[[#This Row],[Care Assistant 3: Numbers employed (Full Time Equivalent)]]),"")</f>
        <v/>
      </c>
      <c r="PY62" s="30" t="str">
        <f>IFERROR(IF(DATA[[#This Row],[Care Assistant 3: Numbers employed (Full Time Equivalent)]]=0,"",DATA[[#This Row],[Care Assistant 3: Previous 2020/21 Maximum hourly pay rate ADJUSTED 2]]*DATA[[#This Row],[Care Assistant 3: Numbers employed (Full Time Equivalent)]]),"")</f>
        <v/>
      </c>
      <c r="PZ62" s="30" t="str">
        <f>IFERROR(IF(DATA[[#This Row],[Care Assistant 4: Numbers employed (Full Time Equivalent)]]=0,"",DATA[[#This Row],[Care Assistant 4: Current 2021/22 Minimum hourly pay rate ADJUSTED 2]]*DATA[[#This Row],[Care Assistant 4: Numbers employed (Full Time Equivalent)]]),"")</f>
        <v/>
      </c>
      <c r="QA62" s="30" t="str">
        <f>IFERROR(IF(DATA[[#This Row],[Care Assistant 4: Numbers employed (Full Time Equivalent)]]=0,"",DATA[[#This Row],[Care Assistant 4: Current 2021/22 Maximum hourly pay rate ADJUSTED 2]]*DATA[[#This Row],[Care Assistant 4: Numbers employed (Full Time Equivalent)]]),"")</f>
        <v/>
      </c>
      <c r="QB62" s="30" t="str">
        <f>IFERROR(IF(DATA[[#This Row],[Care Assistant 4: Numbers employed (Full Time Equivalent)]]=0,"",DATA[[#This Row],[Care Assistant 4: Previous 2020/21 Minimum hourly pay rate ADJUSTED 2]]*DATA[[#This Row],[Care Assistant 4: Numbers employed (Full Time Equivalent)]]),"")</f>
        <v/>
      </c>
      <c r="QC62" s="30" t="str">
        <f>IFERROR(IF(DATA[[#This Row],[Care Assistant 4: Numbers employed (Full Time Equivalent)]]=0,"",DATA[[#This Row],[Care Assistant 4: Previous 2020/21 Maximum hourly pay rate ADJUSTED 2]]*DATA[[#This Row],[Care Assistant 4: Numbers employed (Full Time Equivalent)]]),"")</f>
        <v/>
      </c>
      <c r="QD62" s="30">
        <f>IFERROR(IF(DATA[[#This Row],[Administrative Officer 1: Numbers employed (Full Time Equivalent)]]=0,"",DATA[[#This Row],[Administrative Officer 1: Current 2021/22 Minimum hourly pay rate ADJUSTED 2]]*DATA[[#This Row],[Administrative Officer 1: Numbers employed (Full Time Equivalent)]]),"")</f>
        <v>13.22</v>
      </c>
      <c r="QE62" s="30">
        <f>IFERROR(IF(DATA[[#This Row],[Administrative Officer 1: Numbers employed (Full Time Equivalent)]]=0,"",DATA[[#This Row],[Administrative Officer 1: Current 2021/22 Maximum hourly pay rate ADJUSTED 2]]*DATA[[#This Row],[Administrative Officer 1: Numbers employed (Full Time Equivalent)]]),"")</f>
        <v>13.22</v>
      </c>
      <c r="QF62" s="30">
        <f>IFERROR(IF(DATA[[#This Row],[Administrative Officer 1: Numbers employed (Full Time Equivalent)]]=0,"",DATA[[#This Row],[Administrative Officer 1: Previous 2020/21 Minimum hourly pay rate ADJUSTED 2]]*DATA[[#This Row],[Administrative Officer 1: Numbers employed (Full Time Equivalent)]]),"")</f>
        <v>12.98</v>
      </c>
      <c r="QG62" s="30">
        <f>IFERROR(IF(DATA[[#This Row],[Administrative Officer 1: Numbers employed (Full Time Equivalent)]]=0,"",DATA[[#This Row],[Administrative Officer 1: Previous 2020/21 Maximum hourly pay rate ADJUSTED 2]]*DATA[[#This Row],[Administrative Officer 1: Numbers employed (Full Time Equivalent)]]),"")</f>
        <v>12.98</v>
      </c>
      <c r="QH62" s="30">
        <f>IFERROR(IF(DATA[[#This Row],[Administrative Officer 2: Numbers employed (Full Time Equivalent)]]=0,"",DATA[[#This Row],[Administrative Officer 2: Current 2021/22 Minimum hourly pay rate ADJUSTED 2]]*DATA[[#This Row],[Administrative Officer 2: Numbers employed (Full Time Equivalent)]]),"")</f>
        <v>11.78</v>
      </c>
      <c r="QI62" s="30">
        <f>IFERROR(IF(DATA[[#This Row],[Administrative Officer 2: Numbers employed (Full Time Equivalent)]]=0,"",DATA[[#This Row],[Administrative Officer 2: Current 2021/22 Maximum hourly pay rate ADJUSTED 2]]*DATA[[#This Row],[Administrative Officer 2: Numbers employed (Full Time Equivalent)]]),"")</f>
        <v>11.78</v>
      </c>
      <c r="QJ62" s="30">
        <f>IFERROR(IF(DATA[[#This Row],[Administrative Officer 2: Numbers employed (Full Time Equivalent)]]=0,"",DATA[[#This Row],[Administrative Officer 2: Previous 2020/21 Minimum hourly pay rate ADJUSTED 2]]*DATA[[#This Row],[Administrative Officer 2: Numbers employed (Full Time Equivalent)]]),"")</f>
        <v>9.1300000000000008</v>
      </c>
      <c r="QK62" s="30">
        <f>IFERROR(IF(DATA[[#This Row],[Administrative Officer 2: Numbers employed (Full Time Equivalent)]]=0,"",DATA[[#This Row],[Administrative Officer 2: Previous 2020/21 Maximum hourly pay rate ADJUSTED 2]]*DATA[[#This Row],[Administrative Officer 2: Numbers employed (Full Time Equivalent)]]),"")</f>
        <v>9.1300000000000008</v>
      </c>
      <c r="QL62" s="30" t="str">
        <f>IFERROR(IF(DATA[[#This Row],[Administrative Officer 3: Numbers employed (Full Time Equivalent)]]=0,"",DATA[[#This Row],[Administrative Officer 3: Current 2021/22 Minimum hourly pay rate ADJUSTED 2]]*DATA[[#This Row],[Administrative Officer 3: Numbers employed (Full Time Equivalent)]]),"")</f>
        <v/>
      </c>
      <c r="QM62" s="30" t="str">
        <f>IFERROR(IF(DATA[[#This Row],[Administrative Officer 3: Numbers employed (Full Time Equivalent)]]=0,"",DATA[[#This Row],[Administrative Officer 3: Current 2021/22 Maximum hourly pay rate ADJUSTED 2]]*DATA[[#This Row],[Administrative Officer 3: Numbers employed (Full Time Equivalent)]]),"")</f>
        <v/>
      </c>
      <c r="QN62" s="30" t="str">
        <f>IFERROR(IF(DATA[[#This Row],[Administrative Officer 3: Numbers employed (Full Time Equivalent)]]=0,"",DATA[[#This Row],[Administrative Officer 3: Previous 2020/21 Minimum hourly pay rate ADJUSTED 2]]*DATA[[#This Row],[Administrative Officer 3: Numbers employed (Full Time Equivalent)]]),"")</f>
        <v/>
      </c>
      <c r="QO62" s="30" t="str">
        <f>IFERROR(IF(DATA[[#This Row],[Administrative Officer 3: Numbers employed (Full Time Equivalent)]]=0,"",DATA[[#This Row],[Administrative Officer 3: Previous 2020/21 Maximum hourly pay rate ADJUSTED 2]]*DATA[[#This Row],[Administrative Officer 3: Numbers employed (Full Time Equivalent)]]),"")</f>
        <v/>
      </c>
      <c r="QP62" s="28">
        <f>IFERROR(IF(DATA[[#This Row],[Other staff 1: Numbers employed (Full Time Equivalent)]]=0,"",DATA[[#This Row],[Other staff 1: Current 2021/22 Minimum hourly pay rate ADJUSTED 2]]*DATA[[#This Row],[Other staff 1: Numbers employed (Full Time Equivalent)]]),"")</f>
        <v>29.17</v>
      </c>
      <c r="QQ62" s="28">
        <f>IFERROR(IF(DATA[[#This Row],[Other staff 1: Numbers employed (Full Time Equivalent)]]=0,"",DATA[[#This Row],[Other staff 1: Current 2021/22 Maximum hourly pay rate ADJUSTED 2]]*DATA[[#This Row],[Other staff 1: Numbers employed (Full Time Equivalent)]]),"")</f>
        <v>29.17</v>
      </c>
      <c r="QR62" s="28">
        <f>IFERROR(IF(DATA[[#This Row],[Other staff 1: Numbers employed (Full Time Equivalent)]]=0,"",DATA[[#This Row],[Other staff 1: Previous 2020/21 Minimum hourly pay rate ADJUSTED 2]]*DATA[[#This Row],[Other staff 1: Numbers employed (Full Time Equivalent)]]),"")</f>
        <v>20.83</v>
      </c>
      <c r="QS62" s="28">
        <f>IFERROR(IF(DATA[[#This Row],[Other staff 1: Numbers employed (Full Time Equivalent)]]=0,"",DATA[[#This Row],[Other staff 1: Previous 2020/21 Maximum hourly pay rate ADJUSTED 2]]*DATA[[#This Row],[Other staff 1: Numbers employed (Full Time Equivalent)]]),"")</f>
        <v>20.83</v>
      </c>
      <c r="QT62" s="28" t="str">
        <f>IFERROR(IF(DATA[[#This Row],[Other staff 2: Numbers employed (Full Time Equivalent)]]=0,"",DATA[[#This Row],[Other staff 2: Current 2021/22 Minimum hourly pay rate ADJUSTED 2]]*DATA[[#This Row],[Other staff 2: Numbers employed (Full Time Equivalent)]]),"")</f>
        <v/>
      </c>
      <c r="QU62" s="28" t="str">
        <f>IFERROR(IF(DATA[[#This Row],[Other staff 2: Numbers employed (Full Time Equivalent)]]=0,"",DATA[[#This Row],[Other staff 2: Current 2021/22 Maximum hourly pay rate ADJUSTED 2]]*DATA[[#This Row],[Other staff 2: Numbers employed (Full Time Equivalent)]]),"")</f>
        <v/>
      </c>
      <c r="QV62" s="28" t="str">
        <f>IFERROR(IF(DATA[[#This Row],[Other staff 2: Numbers employed (Full Time Equivalent)]]=0,"",DATA[[#This Row],[Other staff 2: Previous 2020/21 Minimum hourly pay rate ADJUSTED 2]]*DATA[[#This Row],[Other staff 2: Numbers employed (Full Time Equivalent)]]),"")</f>
        <v/>
      </c>
      <c r="QW62" s="28" t="str">
        <f>IFERROR(IF(DATA[[#This Row],[Other staff 2: Numbers employed (Full Time Equivalent)]]=0,"",DATA[[#This Row],[Other staff 2: Previous 2020/21 Maximum hourly pay rate ADJUSTED 2]]*DATA[[#This Row],[Other staff 2: Numbers employed (Full Time Equivalent)]]),"")</f>
        <v/>
      </c>
      <c r="QX62" s="28" t="str">
        <f>IFERROR(IF(DATA[[#This Row],[Other staff 3: Numbers employed (Full Time Equivalent)]]=0,"",DATA[[#This Row],[Other staff 3: Current 2021/22 Minimum hourly pay rate ADJUSTED 2]]*DATA[[#This Row],[Other staff 3: Numbers employed (Full Time Equivalent)]]),"")</f>
        <v/>
      </c>
      <c r="QY62" s="28" t="str">
        <f>IFERROR(IF(DATA[[#This Row],[Other staff 3: Numbers employed (Full Time Equivalent)]]=0,"",DATA[[#This Row],[Other staff 3: Current 2021/22 Maximum hourly pay rate ADJUSTED 2]]*DATA[[#This Row],[Other staff 3: Numbers employed (Full Time Equivalent)]]),"")</f>
        <v/>
      </c>
      <c r="QZ62" s="28" t="str">
        <f>IFERROR(IF(DATA[[#This Row],[Other staff 3: Numbers employed (Full Time Equivalent)]]=0,"",DATA[[#This Row],[Other staff 3: Previous 2020/21 Minimum hourly pay rate ADJUSTED 2]]*DATA[[#This Row],[Other staff 3: Numbers employed (Full Time Equivalent)]]),"")</f>
        <v/>
      </c>
      <c r="RA62" s="28" t="str">
        <f>IFERROR(IF(DATA[[#This Row],[Other staff 3: Numbers employed (Full Time Equivalent)]]=0,"",DATA[[#This Row],[Other staff 3: Previous 2020/21 Maximum hourly pay rate ADJUSTED 2]]*DATA[[#This Row],[Other staff 3: Numbers employed (Full Time Equivalent)]]),"")</f>
        <v/>
      </c>
      <c r="RB62"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62"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62"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2</v>
      </c>
      <c r="RE62"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62"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2"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43</v>
      </c>
      <c r="RH62"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62"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62"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2"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62"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62"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62"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62"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2"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3" spans="7:484" x14ac:dyDescent="0.25">
      <c r="G63" s="2">
        <v>57</v>
      </c>
      <c r="H63" s="2">
        <v>40</v>
      </c>
      <c r="I63" s="2">
        <v>0</v>
      </c>
      <c r="J63" s="2">
        <v>1</v>
      </c>
      <c r="K63" s="2">
        <v>0</v>
      </c>
      <c r="L63" s="2" t="s">
        <v>240</v>
      </c>
      <c r="M63" s="2" t="s">
        <v>240</v>
      </c>
      <c r="R63" s="2">
        <v>19.149999999999999</v>
      </c>
      <c r="S63" s="2">
        <v>19.149999999999999</v>
      </c>
      <c r="T63" s="2">
        <v>18.96</v>
      </c>
      <c r="U63" s="2">
        <v>18.96</v>
      </c>
      <c r="V63" s="2">
        <v>1</v>
      </c>
      <c r="W63" s="2">
        <v>11.55</v>
      </c>
      <c r="X63" s="2">
        <v>11.55</v>
      </c>
      <c r="Y63" s="2">
        <v>11.36</v>
      </c>
      <c r="Z63" s="2">
        <v>11.36</v>
      </c>
      <c r="AA63" s="2">
        <v>2</v>
      </c>
      <c r="AB63" s="2" t="s">
        <v>563</v>
      </c>
      <c r="AC63" s="2">
        <v>19.149999999999999</v>
      </c>
      <c r="AD63" s="2">
        <v>19.149999999999999</v>
      </c>
      <c r="AE63" s="2">
        <v>18.96</v>
      </c>
      <c r="AF63" s="2">
        <v>18.96</v>
      </c>
      <c r="AG63" s="2">
        <v>0.33783783783783783</v>
      </c>
      <c r="AH63" s="2" t="s">
        <v>564</v>
      </c>
      <c r="AI63" s="2">
        <v>31.1</v>
      </c>
      <c r="AJ63" s="2">
        <v>31.1</v>
      </c>
      <c r="AK63" s="2">
        <v>31.1</v>
      </c>
      <c r="AL63" s="2">
        <v>31.1</v>
      </c>
      <c r="AM63" s="2">
        <v>0.5</v>
      </c>
      <c r="AN63" s="2" t="s">
        <v>315</v>
      </c>
      <c r="AO63" s="2">
        <v>0</v>
      </c>
      <c r="AP63" s="2">
        <v>0</v>
      </c>
      <c r="AQ63" s="2">
        <v>0</v>
      </c>
      <c r="AR63" s="2">
        <v>0</v>
      </c>
      <c r="AS63" s="2">
        <v>0</v>
      </c>
      <c r="AT63" s="2" t="s">
        <v>565</v>
      </c>
      <c r="AU63" s="2">
        <v>9.11</v>
      </c>
      <c r="AV63" s="2">
        <v>10.11</v>
      </c>
      <c r="AW63" s="2">
        <v>8.92</v>
      </c>
      <c r="AX63" s="2">
        <v>9.92</v>
      </c>
      <c r="AY63" s="2">
        <v>8.8108108108108105</v>
      </c>
      <c r="AZ63" s="2" t="s">
        <v>566</v>
      </c>
      <c r="BA63" s="2">
        <v>8.91</v>
      </c>
      <c r="BB63" s="2">
        <v>9.91</v>
      </c>
      <c r="BC63" s="2">
        <v>8.7200000000000006</v>
      </c>
      <c r="BD63" s="2">
        <v>9.7200000000000006</v>
      </c>
      <c r="BE63" s="2">
        <v>6.4864864864864868</v>
      </c>
      <c r="BF63" s="2" t="s">
        <v>316</v>
      </c>
      <c r="BG63" s="2">
        <v>0</v>
      </c>
      <c r="BH63" s="2">
        <v>0</v>
      </c>
      <c r="BI63" s="2">
        <v>0</v>
      </c>
      <c r="BJ63" s="2">
        <v>0</v>
      </c>
      <c r="BK63" s="2">
        <v>0</v>
      </c>
      <c r="BL63" s="2" t="s">
        <v>316</v>
      </c>
      <c r="BM63" s="2">
        <v>0</v>
      </c>
      <c r="BN63" s="2">
        <v>0</v>
      </c>
      <c r="BO63" s="2">
        <v>0</v>
      </c>
      <c r="BP63" s="2">
        <v>0</v>
      </c>
      <c r="BQ63" s="2">
        <v>0</v>
      </c>
      <c r="BR63" s="2" t="s">
        <v>567</v>
      </c>
      <c r="BS63" s="2">
        <v>10.39</v>
      </c>
      <c r="BT63" s="2">
        <v>10.39</v>
      </c>
      <c r="BU63" s="2">
        <v>9.17</v>
      </c>
      <c r="BV63" s="2">
        <v>9.17</v>
      </c>
      <c r="BW63" s="2">
        <v>1.472972972972973</v>
      </c>
      <c r="BX63" s="2" t="s">
        <v>568</v>
      </c>
      <c r="BY63" s="2">
        <v>12.96</v>
      </c>
      <c r="BZ63" s="2">
        <v>12.96</v>
      </c>
      <c r="CA63" s="2">
        <v>12.7</v>
      </c>
      <c r="CB63" s="2">
        <v>12.7</v>
      </c>
      <c r="CC63" s="2">
        <v>0.33783783783783783</v>
      </c>
      <c r="CD63" s="2" t="s">
        <v>568</v>
      </c>
      <c r="CE63" s="2">
        <v>10.5</v>
      </c>
      <c r="CF63" s="2">
        <v>10.5</v>
      </c>
      <c r="CG63" s="2">
        <v>10.29</v>
      </c>
      <c r="CH63" s="2">
        <v>10.29</v>
      </c>
      <c r="CI63" s="2">
        <v>0.33783783783783783</v>
      </c>
      <c r="CJ63" s="2" t="s">
        <v>318</v>
      </c>
      <c r="CK63" s="2">
        <v>0</v>
      </c>
      <c r="CL63" s="2">
        <v>0</v>
      </c>
      <c r="CM63" s="2">
        <v>0</v>
      </c>
      <c r="CN63" s="2">
        <v>0</v>
      </c>
      <c r="CO63" s="2">
        <v>0</v>
      </c>
      <c r="CP63" s="2" t="s">
        <v>318</v>
      </c>
      <c r="CQ63" s="2">
        <v>0</v>
      </c>
      <c r="CR63" s="2">
        <v>0</v>
      </c>
      <c r="CS63" s="2">
        <v>0</v>
      </c>
      <c r="CT63" s="2">
        <v>0</v>
      </c>
      <c r="CU63" s="2">
        <v>0</v>
      </c>
      <c r="CV63" s="2" t="s">
        <v>318</v>
      </c>
      <c r="CW63" s="2">
        <v>0</v>
      </c>
      <c r="CX63" s="2">
        <v>0</v>
      </c>
      <c r="CY63" s="2">
        <v>0</v>
      </c>
      <c r="CZ63" s="2">
        <v>0</v>
      </c>
      <c r="DA63" s="2">
        <v>0</v>
      </c>
      <c r="DB63" s="2">
        <v>0.03</v>
      </c>
      <c r="DC63" s="2">
        <v>0</v>
      </c>
      <c r="DD63" s="2">
        <v>48</v>
      </c>
      <c r="DE63" s="2">
        <v>152</v>
      </c>
      <c r="DF63" s="2">
        <v>0</v>
      </c>
      <c r="DG63" s="2">
        <v>0</v>
      </c>
      <c r="DH63" s="2">
        <v>300</v>
      </c>
      <c r="DI63" s="2">
        <v>0</v>
      </c>
      <c r="DJ63" s="2">
        <v>0</v>
      </c>
      <c r="DK63" s="2">
        <v>0</v>
      </c>
      <c r="DL63" s="2">
        <v>0</v>
      </c>
      <c r="DM63" s="2">
        <v>0</v>
      </c>
      <c r="DN63" s="2">
        <v>0</v>
      </c>
      <c r="DO63" s="2">
        <v>18.32</v>
      </c>
      <c r="DP63" s="2">
        <v>21.87</v>
      </c>
      <c r="DQ63" s="2">
        <v>15.58</v>
      </c>
      <c r="DR63" s="18">
        <v>43922</v>
      </c>
      <c r="DS63" s="18">
        <v>44286</v>
      </c>
      <c r="DT63" s="2">
        <v>24274</v>
      </c>
      <c r="DU63" s="2">
        <v>115839</v>
      </c>
      <c r="DV63" s="2">
        <v>300723</v>
      </c>
      <c r="DW63" s="2">
        <v>0</v>
      </c>
      <c r="DX63" s="2">
        <v>0</v>
      </c>
      <c r="DY63" s="2">
        <v>0</v>
      </c>
      <c r="DZ63" s="2">
        <v>36480</v>
      </c>
      <c r="EA63" s="2">
        <v>50000</v>
      </c>
      <c r="EB63" s="2">
        <v>0</v>
      </c>
      <c r="EC63" s="2">
        <v>9802</v>
      </c>
      <c r="ED63" s="2">
        <v>1073</v>
      </c>
      <c r="EE63" s="2">
        <v>7580</v>
      </c>
      <c r="EF63" s="2">
        <v>2726</v>
      </c>
      <c r="EG63" s="2">
        <v>7088.5</v>
      </c>
      <c r="EH63" s="2" t="s">
        <v>324</v>
      </c>
      <c r="EI63" s="2">
        <v>0</v>
      </c>
      <c r="EJ63" s="2" t="s">
        <v>324</v>
      </c>
      <c r="EK63" s="2">
        <v>0</v>
      </c>
      <c r="EL63" s="2">
        <v>8413</v>
      </c>
      <c r="EM63" s="2">
        <v>6231</v>
      </c>
      <c r="EN63" s="2">
        <v>8985</v>
      </c>
      <c r="EO63" s="2">
        <v>0</v>
      </c>
      <c r="EP63" s="2">
        <v>2628</v>
      </c>
      <c r="EQ63" s="2">
        <v>1089</v>
      </c>
      <c r="ER63" s="2">
        <v>0</v>
      </c>
      <c r="ES63" s="2">
        <v>0</v>
      </c>
      <c r="ET63" s="2" t="s">
        <v>324</v>
      </c>
      <c r="EU63" s="2">
        <v>0</v>
      </c>
      <c r="EV63" s="2" t="s">
        <v>324</v>
      </c>
      <c r="EW63" s="2">
        <v>0</v>
      </c>
      <c r="EX63" s="2">
        <v>30000</v>
      </c>
      <c r="EY63" s="2">
        <v>43289.5</v>
      </c>
      <c r="EZ63" s="2" t="s">
        <v>569</v>
      </c>
      <c r="FA63" s="2">
        <v>29106.5</v>
      </c>
      <c r="FB63" s="2" t="s">
        <v>570</v>
      </c>
      <c r="FC63" s="2">
        <v>7456</v>
      </c>
      <c r="FD63" s="2"/>
      <c r="FE63" s="2">
        <v>0</v>
      </c>
      <c r="FF63" s="2">
        <v>874284</v>
      </c>
      <c r="FG63" s="2"/>
      <c r="FH63" s="19">
        <v>44480.627164351848</v>
      </c>
      <c r="FI63" s="2" t="s">
        <v>364</v>
      </c>
      <c r="FJ63" s="2">
        <f>SUM(DATA[[#This Row],[Number of Home support clients:]],DATA[[#This Row],[Number of supported living clients:]])</f>
        <v>40</v>
      </c>
      <c r="FK63"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31-40</v>
      </c>
      <c r="FL63"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19.149999999999999</v>
      </c>
      <c r="FM63"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19.149999999999999</v>
      </c>
      <c r="FN63"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18.96</v>
      </c>
      <c r="FO63"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18.96</v>
      </c>
      <c r="FP63"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11.55</v>
      </c>
      <c r="FQ63"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11.55</v>
      </c>
      <c r="FR63"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11.36</v>
      </c>
      <c r="FS63"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11.36</v>
      </c>
      <c r="FT63"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19.149999999999999</v>
      </c>
      <c r="FU63"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19.149999999999999</v>
      </c>
      <c r="FV63"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18.96</v>
      </c>
      <c r="FW63"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18.96</v>
      </c>
      <c r="FX63"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31.1</v>
      </c>
      <c r="FY63"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31.1</v>
      </c>
      <c r="FZ63"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31.1</v>
      </c>
      <c r="GA63"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31.1</v>
      </c>
      <c r="GB63"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3"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3"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3"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3"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9.11</v>
      </c>
      <c r="GG63"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10.11</v>
      </c>
      <c r="GH63"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8.92</v>
      </c>
      <c r="GI63"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9.92</v>
      </c>
      <c r="GJ63"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8.91</v>
      </c>
      <c r="GK63"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9.91</v>
      </c>
      <c r="GL63"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8.7200000000000006</v>
      </c>
      <c r="GM63"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9.7200000000000006</v>
      </c>
      <c r="GN63"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63"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63"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63"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63"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3"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3"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3"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3"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10.39</v>
      </c>
      <c r="GW63"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10.39</v>
      </c>
      <c r="GX63"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9.17</v>
      </c>
      <c r="GY63"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9.17</v>
      </c>
      <c r="GZ63"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12.96</v>
      </c>
      <c r="HA63"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12.96</v>
      </c>
      <c r="HB63"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12.7</v>
      </c>
      <c r="HC63"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12.7</v>
      </c>
      <c r="HD63"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10.5</v>
      </c>
      <c r="HE63"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10.5</v>
      </c>
      <c r="HF63" s="2">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10.29</v>
      </c>
      <c r="HG63" s="2">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10.29</v>
      </c>
      <c r="HH63"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63"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63"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63"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63"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3"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3"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3"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3"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3"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3"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3"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3"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19.149999999999999</v>
      </c>
      <c r="HU63"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19.149999999999999</v>
      </c>
      <c r="HV63"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18.96</v>
      </c>
      <c r="HW63"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18.96</v>
      </c>
      <c r="HX63"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11.55</v>
      </c>
      <c r="HY63"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11.55</v>
      </c>
      <c r="HZ63"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11.36</v>
      </c>
      <c r="IA63"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11.36</v>
      </c>
      <c r="IB63"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19.149999999999999</v>
      </c>
      <c r="IC63"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19.149999999999999</v>
      </c>
      <c r="ID63"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18.96</v>
      </c>
      <c r="IE63"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18.96</v>
      </c>
      <c r="IF63"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31.1</v>
      </c>
      <c r="IG63"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31.1</v>
      </c>
      <c r="IH63"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31.1</v>
      </c>
      <c r="II63"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31.1</v>
      </c>
      <c r="IJ63"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3"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3"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3"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3"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9.11</v>
      </c>
      <c r="IO63"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10.11</v>
      </c>
      <c r="IP63"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8.92</v>
      </c>
      <c r="IQ63"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9.92</v>
      </c>
      <c r="IR63"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8.91</v>
      </c>
      <c r="IS63"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9.91</v>
      </c>
      <c r="IT63"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8.7200000000000006</v>
      </c>
      <c r="IU63"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9.7200000000000006</v>
      </c>
      <c r="IV63"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63"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63"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63"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63"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3"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3"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3"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3"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10.39</v>
      </c>
      <c r="JE63"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10.39</v>
      </c>
      <c r="JF63"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9.17</v>
      </c>
      <c r="JG63"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9.17</v>
      </c>
      <c r="JH63"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12.96</v>
      </c>
      <c r="JI63"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12.96</v>
      </c>
      <c r="JJ63"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12.7</v>
      </c>
      <c r="JK63"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12.7</v>
      </c>
      <c r="JL63"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10.5</v>
      </c>
      <c r="JM63"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10.5</v>
      </c>
      <c r="JN63"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10.29</v>
      </c>
      <c r="JO63"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10.29</v>
      </c>
      <c r="JP63"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63"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63"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63"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63"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3"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3"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3"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3"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3"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3"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3"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3"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3.8378378378378377</v>
      </c>
      <c r="KC63" s="21">
        <f>SUM(DATA[[#This Row],[Care Assistant 1: Numbers employed (Full Time Equivalent)]],DATA[[#This Row],[Care Assistant 2: Numbers employed (Full Time Equivalent)]],DATA[[#This Row],[Care Assistant 3: Numbers employed (Full Time Equivalent)]],DATA[[#This Row],[Care Assistant 4: Numbers employed (Full Time Equivalent)]])</f>
        <v>15.297297297297298</v>
      </c>
      <c r="KD63" s="21">
        <f>SUM(DATA[[#This Row],[Administrative Officer 1: Numbers employed (Full Time Equivalent)]],DATA[[#This Row],[Administrative Officer 2: Numbers employed (Full Time Equivalent)]])</f>
        <v>1.810810810810811</v>
      </c>
      <c r="KE63" s="21">
        <f>SUM(DATA[[#This Row],[Other staff 1: Numbers employed (Full Time Equivalent)]],DATA[[#This Row],[Other staff 2: Numbers employed (Full Time Equivalent)]],DATA[[#This Row],[Other staff 3: Numbers employed (Full Time Equivalent)]])</f>
        <v>0</v>
      </c>
      <c r="KF63" s="21">
        <f>SUM(DATA[[#This Row],[Total FTE Management Employees]:[Total FTE Other Employees]])</f>
        <v>20.945945945945947</v>
      </c>
      <c r="KG63" s="21" t="str">
        <f>IF(SUM(DATA[[#This Row],[Home Support service split percentage (Expenditure):]],DATA[[#This Row],[Supported Living service split percentage (Expenditure):]])&gt;0, IF(DATA[[#This Row],[Home Support service split percentage (Expenditure):]]&gt;0.5,"Home Support","Supported Living"), "Unknown")</f>
        <v>Home Support</v>
      </c>
      <c r="KH63" s="21">
        <f>SUM(DATA[[#This Row],[Home Support: Birmingham City Council]:[Home Support: Self-funded]])</f>
        <v>500</v>
      </c>
      <c r="KI63" s="21">
        <f>SUM(DATA[[#This Row],[Supported Living: Birmingham City Council]:[Supported Living: Self-funded]])</f>
        <v>0</v>
      </c>
      <c r="KJ63"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3"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3"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3"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3" s="21" t="b">
        <f>SUM(DATA[[#This Row],[Number of hours of care charged for in last full accounting year]:[Corporate Overheads: Other  - please specify (category) 1]])&gt;0</f>
        <v>1</v>
      </c>
      <c r="KO63" s="21">
        <f>SUM(DATA[[#This Row],[Total annual expenditure: Management staff]:[Total annual expenditure: Training and development]])</f>
        <v>503042</v>
      </c>
      <c r="KP63" s="21">
        <f>SUM(DATA[[#This Row],[Recruitment &amp; advertising (including DBS checks)]:[Non-Staffing Direct Cost: Other  - please specify (amount) 2]])</f>
        <v>28269.5</v>
      </c>
      <c r="KQ63" s="21">
        <f>SUM(DATA[[#This Row],[Insurance ]:[Indirect costs: Other 2 - please specify (amount)]])</f>
        <v>27346</v>
      </c>
      <c r="KR63" s="21">
        <f>SUM(DATA[[#This Row],[Central / Regional Management]],DATA[[#This Row],[Support Services (finance / HR / Payroll / legal etc.)]],DATA[[#This Row],[Corporate Overheads: Other  - please specify (amount) 1]],DATA[[#This Row],[Corporate Overheads: Other  - please specify (amount) 2]])</f>
        <v>109852</v>
      </c>
      <c r="KS63"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4.7721430336986073</v>
      </c>
      <c r="KT63"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12.388687484551372</v>
      </c>
      <c r="KU63"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63"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63"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63" s="30">
        <f>IF(OR(NOT(DATA[[#This Row],[Total annual expenditure: Travel Cost]]&gt;0),NOT(DATA[[#This Row],[Number of hours of care charged for in last full accounting year]]&gt;0)),0,DATA[[#This Row],[Total annual expenditure: Travel Cost]]/DATA[[#This Row],[Number of hours of care charged for in last full accounting year]])</f>
        <v>1.5028425475817748</v>
      </c>
      <c r="KY63" s="30">
        <f>IF(OR(NOT(DATA[[#This Row],[Total annual expenditure: Travel Time]]&gt;0),NOT(DATA[[#This Row],[Number of hours of care charged for in last full accounting year]]&gt;0)),0,DATA[[#This Row],[Total annual expenditure: Travel Time]]/DATA[[#This Row],[Number of hours of care charged for in last full accounting year]])</f>
        <v>2.0598170882425642</v>
      </c>
      <c r="KZ63"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63"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0.40380654197907223</v>
      </c>
      <c r="LB63"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4.4203674713685422E-2</v>
      </c>
      <c r="LC63" s="30">
        <f>IF(OR(NOT(DATA[[#This Row],[Care consumables &amp; uniforms]]&gt;0),NOT(DATA[[#This Row],[Number of hours of care charged for in last full accounting year]]&gt;0)),0,DATA[[#This Row],[Care consumables &amp; uniforms]]/DATA[[#This Row],[Number of hours of care charged for in last full accounting year]])</f>
        <v>0.31226827057757273</v>
      </c>
      <c r="LD63" s="30">
        <f>IF(OR(NOT(DATA[[#This Row],[Electronic call monitoring]]&gt;0),NOT(DATA[[#This Row],[Number of hours of care charged for in last full accounting year]]&gt;0)),0,DATA[[#This Row],[Electronic call monitoring]]/DATA[[#This Row],[Number of hours of care charged for in last full accounting year]])</f>
        <v>0.11230122765098459</v>
      </c>
      <c r="LE63" s="30">
        <f>IF(OR(NOT(DATA[[#This Row],[IT Equipment &amp; Telephoney]]&gt;0),NOT(DATA[[#This Row],[Number of hours of care charged for in last full accounting year]]&gt;0)),0,DATA[[#This Row],[IT Equipment &amp; Telephoney]]/DATA[[#This Row],[Number of hours of care charged for in last full accounting year]])</f>
        <v>0.29202026860014829</v>
      </c>
      <c r="LF63"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63"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3" s="30">
        <f>IF(OR(NOT(DATA[[#This Row],[Insurance ]]&gt;0),NOT(DATA[[#This Row],[Number of hours of care charged for in last full accounting year]]&gt;0)),0,DATA[[#This Row],[Insurance ]]/DATA[[#This Row],[Number of hours of care charged for in last full accounting year]])</f>
        <v>0.34658482326769385</v>
      </c>
      <c r="LI63"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0.25669440553678835</v>
      </c>
      <c r="LJ63" s="30">
        <f>IF(OR(NOT(DATA[[#This Row],[Repairs and maintenance]]&gt;0),NOT(DATA[[#This Row],[Number of hours of care charged for in last full accounting year]]&gt;0)),0,DATA[[#This Row],[Repairs and maintenance]]/DATA[[#This Row],[Number of hours of care charged for in last full accounting year]])</f>
        <v>0.37014913075718875</v>
      </c>
      <c r="LK63"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63" s="30">
        <f>IF(OR(NOT(DATA[[#This Row],[Registration &amp; Inspection fees ]]&gt;0),NOT(DATA[[#This Row],[Number of hours of care charged for in last full accounting year]]&gt;0)),0,DATA[[#This Row],[Registration &amp; Inspection fees ]]/DATA[[#This Row],[Number of hours of care charged for in last full accounting year]])</f>
        <v>0.10826398615802917</v>
      </c>
      <c r="LM63" s="30">
        <f>IF(OR(NOT(DATA[[#This Row],[Subscriptions]]&gt;0),NOT(DATA[[#This Row],[Number of hours of care charged for in last full accounting year]]&gt;0)),0,DATA[[#This Row],[Subscriptions]]/DATA[[#This Row],[Number of hours of care charged for in last full accounting year]])</f>
        <v>4.4862816181923046E-2</v>
      </c>
      <c r="LN63" s="30">
        <f>IF(OR(NOT(DATA[[#This Row],[Cost of finance]]&gt;0),NOT(DATA[[#This Row],[Number of hours of care charged for in last full accounting year]]&gt;0)),0,DATA[[#This Row],[Cost of finance]]/DATA[[#This Row],[Number of hours of care charged for in last full accounting year]])</f>
        <v>0</v>
      </c>
      <c r="LO63" s="30">
        <f>IF(OR(NOT(DATA[[#This Row],[Other non-staff current expenses]]&gt;0),NOT(DATA[[#This Row],[Number of hours of care charged for in last full accounting year]]&gt;0)),0,DATA[[#This Row],[Other non-staff current expenses]]/DATA[[#This Row],[Number of hours of care charged for in last full accounting year]])</f>
        <v>0</v>
      </c>
      <c r="LP63"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63"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63" s="30">
        <f>IF(OR(NOT(DATA[[#This Row],[Central / Regional Management]]&gt;0),NOT(DATA[[#This Row],[Number of hours of care charged for in last full accounting year]]&gt;0)),0,DATA[[#This Row],[Central / Regional Management]]/DATA[[#This Row],[Number of hours of care charged for in last full accounting year]])</f>
        <v>1.2358902529455384</v>
      </c>
      <c r="LS63"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1.7833690368295296</v>
      </c>
      <c r="LT63"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1.1990813215786438</v>
      </c>
      <c r="LU63"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0.30715992419873117</v>
      </c>
      <c r="LV63" s="30">
        <f>SUM(DATA[[#This Row],[Management staff HOURLY RATE]:[Corporate Overheads: Other  - please specify (amount) 2 HOURLY RATE]])</f>
        <v>27.540145835049845</v>
      </c>
      <c r="LW63" s="30" t="str">
        <f>IF(OR(NOT(DATA[[#This Row],[Net Operating Profit]]&gt;0),NOT(DATA[[#This Row],[Number of hours of care charged for in last full accounting year]]&gt;0)),"",DATA[[#This Row],[Net Operating Profit]]/DATA[[#This Row],[Number of hours of care charged for in last full accounting year]])</f>
        <v/>
      </c>
      <c r="LX63" s="30">
        <f>IF(OR(NOT(DATA[[#This Row],[Return on Capital employed]]&gt;0),NOT(DATA[[#This Row],[Number of hours of care charged for in last full accounting year]]&gt;0)),0,DATA[[#This Row],[Return on Capital employed]]/DATA[[#This Row],[Number of hours of care charged for in last full accounting year]])</f>
        <v>0</v>
      </c>
      <c r="LY63" s="31">
        <v>57</v>
      </c>
      <c r="LZ63" s="30" t="s">
        <v>345</v>
      </c>
      <c r="MA63" s="30" t="b">
        <f>DATA[[#This Row],[Number of Home support clients:]]&gt;0</f>
        <v>1</v>
      </c>
      <c r="MB63" s="30" t="b">
        <f>DATA[[#This Row],[Number of supported living clients:]]&gt;0</f>
        <v>0</v>
      </c>
      <c r="MC63" s="30" t="b">
        <f>DATA[[#This Row],[Total Home Support Hours]]&gt;0</f>
        <v>1</v>
      </c>
      <c r="MD63" s="30" t="b">
        <f>DATA[[#This Row],[Total Supported Living Hours]]&gt;0</f>
        <v>0</v>
      </c>
      <c r="ME63" s="30" t="b">
        <f>DATA[[#This Row],[Home Support service split percentage (Expenditure):]]&gt;0.5</f>
        <v>1</v>
      </c>
      <c r="MF63" s="30" t="b">
        <f>DATA[[#This Row],[Agency staff HOURLY RATE]]=0</f>
        <v>1</v>
      </c>
      <c r="MG63" s="30">
        <f>IFERROR(IF(AVERAGE(DATA[[#This Row],[Registered manager: Current 2021/22 Minimum hourly pay rate ADJUSTED]],DATA[[#This Row],[Registered manager: Current 2021/22 Maximum hourly pay rate ADJUSTED]])&lt;LIVING_WAGE_22_23,DATA[[#This Row],[Registered manager: Numbers employed (Full Time Equivalent)]],0),"")</f>
        <v>0</v>
      </c>
      <c r="MH63" s="30">
        <f>IFERROR(IF(AVERAGE(DATA[[#This Row],[Deputy manager: Current 2021/22 Minimum hourly pay rate ADJUSTED]],DATA[[#This Row],[Deputy manager: Current 2021/22 Maximum hourly pay rate ADJUSTED]])&lt;LIVING_WAGE_22_23,DATA[[#This Row],[Deputy manager: Numbers employed (Full Time Equivalent)]],0),"")</f>
        <v>0</v>
      </c>
      <c r="MI63" s="30">
        <f>IFERROR(IF(AVERAGE(DATA[[#This Row],[Other manager 1: Current 2021/22 Minimum hourly pay rate ADJUSTED]],DATA[[#This Row],[Other manager 1: Current 2021/22 Maximum hourly pay rate ADJUSTED]])&lt;LIVING_WAGE_22_23,DATA[[#This Row],[Other manager 1: Numbers employed (Full Time Equivalent)]],0),"")</f>
        <v>0</v>
      </c>
      <c r="MJ63" s="30">
        <f>IFERROR(IF(AVERAGE(DATA[[#This Row],[Other manager 2: Current 2021/22 Minimum hourly pay rate ADJUSTED]],DATA[[#This Row],[Other manager 2: Current 2021/22 Maximum hourly pay rate ADJUSTED]])&lt;LIVING_WAGE_22_23,DATA[[#This Row],[Other manager 2: Numbers employed (Full Time Equivalent)]],0),"")</f>
        <v>0</v>
      </c>
      <c r="MK63" s="30" t="str">
        <f>IFERROR(IF(AVERAGE(DATA[[#This Row],[Other manager 3: Current 2021/22 Minimum hourly pay rate ADJUSTED]],DATA[[#This Row],[Other manager 3: Current 2021/22 Maximum hourly pay rate ADJUSTED]])&lt;LIVING_WAGE_22_23,DATA[[#This Row],[Other manager 3: Numbers employed (Full Time Equivalent)]],0),"")</f>
        <v/>
      </c>
      <c r="ML63" s="30">
        <f>IFERROR(IF(AVERAGE(DATA[[#This Row],[Care Assistant 1: Current 2021/22 Minimum hourly pay rate ADJUSTED]],DATA[[#This Row],[Care Assistant 1: Current 2021/22 Maximum hourly pay rate ADJUSTED]])&lt;LIVING_WAGE_22_23,DATA[[#This Row],[Care Assistant 1: Numbers employed (Full Time Equivalent)]],0),"")</f>
        <v>0</v>
      </c>
      <c r="MM63" s="30">
        <f>IFERROR(IF(AVERAGE(DATA[[#This Row],[Care Assistant 2: Current 2021/22 Minimum hourly pay rate ADJUSTED]],DATA[[#This Row],[Care Assistant 2: Current 2021/22 Maximum hourly pay rate ADJUSTED]])&lt;LIVING_WAGE_22_23,DATA[[#This Row],[Care Assistant 2: Numbers employed (Full Time Equivalent)]],0),"")</f>
        <v>6.4864864864864868</v>
      </c>
      <c r="MN63" s="30" t="str">
        <f>IFERROR(IF(AVERAGE(DATA[[#This Row],[Care Assistant 3: Current 2021/22 Minimum hourly pay rate ADJUSTED]],DATA[[#This Row],[Care Assistant 3: Current 2021/22 Maximum hourly pay rate ADJUSTED]])&lt;LIVING_WAGE_22_23,DATA[[#This Row],[Care Assistant 3: Numbers employed (Full Time Equivalent)]],0),"")</f>
        <v/>
      </c>
      <c r="MO63" s="30" t="str">
        <f>IFERROR(IF(AVERAGE(DATA[[#This Row],[Care Assistant 4: Current 2021/22 Minimum hourly pay rate ADJUSTED]],DATA[[#This Row],[Care Assistant 4: Current 2021/22 Maximum hourly pay rate ADJUSTED]])&lt;LIVING_WAGE_22_23,DATA[[#This Row],[Care Assistant 4: Numbers employed (Full Time Equivalent)]],0),"")</f>
        <v/>
      </c>
      <c r="MP63"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63"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63" s="30" t="str">
        <f>IFERROR(IF(AVERAGE(DATA[[#This Row],[Other staff 1: Current 2021/22 Minimum hourly pay rate ADJUSTED]],DATA[[#This Row],[Other staff 1: Current 2021/22 Maximum hourly pay rate ADJUSTED]])&lt;LIVING_WAGE_22_23,DATA[[#This Row],[Other staff 1: Numbers employed (Full Time Equivalent)]],0),"")</f>
        <v/>
      </c>
      <c r="MS63" s="30" t="str">
        <f>IFERROR(IF(AVERAGE(DATA[[#This Row],[Other staff 2: Current 2021/22 Minimum hourly pay rate ADJUSTED]],DATA[[#This Row],[Other staff 2: Current 2021/22 Maximum hourly pay rate ADJUSTED]])&lt;LIVING_WAGE_22_23,DATA[[#This Row],[Other staff 2: Numbers employed (Full Time Equivalent)]],0),"")</f>
        <v/>
      </c>
      <c r="MT63" s="30" t="str">
        <f>IFERROR(IF(AVERAGE(DATA[[#This Row],[Other staff 3: Current 2021/22 Minimum hourly pay rate ADJUSTED]],DATA[[#This Row],[Other staff 3: Current 2021/22 Maximum hourly pay rate ADJUSTED]])&lt;LIVING_WAGE_22_23,DATA[[#This Row],[Other staff 3: Numbers employed (Full Time Equivalent)]],0),"")</f>
        <v/>
      </c>
      <c r="MU63" s="30">
        <f>SUM(DATA[[#This Row],[Registered Manager FTE earning less than NLW 23yrs 2022/23]:[Other staff 3 FTE earning less than NLW 23yrs 2022/23]])</f>
        <v>6.4864864864864868</v>
      </c>
      <c r="MV63"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63"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63"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63"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63"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3"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63"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0.58378378378378293</v>
      </c>
      <c r="NC63"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63"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3"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63"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63"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63"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3"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3" s="30" t="b">
        <v>1</v>
      </c>
      <c r="NK63" s="30" t="b">
        <v>0</v>
      </c>
      <c r="NL63" s="30" t="s">
        <v>973</v>
      </c>
      <c r="NM63" s="30">
        <f>SUM(DATA[[#This Row],[Management staff HOURLY RATE]:[Training and development HOURLY RATE]])</f>
        <v>20.723490154074319</v>
      </c>
      <c r="NN63" s="30">
        <f>SUM(DATA[[#This Row],[Recruitment &amp; advertising (including DBS checks) HOURLY RATE]:[Non-Staffing Direct Cost: Other  - please specify (amount) 2 HOURLY RATE]])</f>
        <v>1.1645999835214633</v>
      </c>
      <c r="NO63" s="30">
        <f>SUM(DATA[[#This Row],[Insurance  HOURLY RATE]:[Indirect costs: Other  - please specify (amount) 2 HOURLY RATE]])</f>
        <v>1.1265551619016232</v>
      </c>
      <c r="NP63" s="30">
        <f>SUM(DATA[[#This Row],[Central / Regional Management HOURLY RATE]:[Corporate Overheads: Other  - please specify (amount) 2 HOURLY RATE]])</f>
        <v>4.5255005355524434</v>
      </c>
      <c r="NQ63"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63" s="30">
        <f>IFERROR(IF(AVERAGE(DATA[[#This Row],[Deputy manager: Current 2021/22 Minimum hourly pay rate ADJUSTED]],DATA[[#This Row],[Deputy manager: Current 2021/22 Maximum hourly pay rate ADJUSTED]])&lt;REAL_LIVING_WAGE_22_23,DATA[[#This Row],[Deputy manager: Numbers employed (Full Time Equivalent)]],0),"")</f>
        <v>0</v>
      </c>
      <c r="NS63" s="30">
        <f>IFERROR(IF(AVERAGE(DATA[[#This Row],[Other manager 1: Current 2021/22 Minimum hourly pay rate ADJUSTED]],DATA[[#This Row],[Other manager 1: Current 2021/22 Maximum hourly pay rate ADJUSTED]])&lt;REAL_LIVING_WAGE_22_23,DATA[[#This Row],[Other manager 1: Numbers employed (Full Time Equivalent)]],0),"")</f>
        <v>0</v>
      </c>
      <c r="NT63" s="30">
        <f>IFERROR(IF(AVERAGE(DATA[[#This Row],[Other manager 2: Current 2021/22 Minimum hourly pay rate ADJUSTED]],DATA[[#This Row],[Other manager 2: Current 2021/22 Maximum hourly pay rate ADJUSTED]])&lt;REAL_LIVING_WAGE_22_23,DATA[[#This Row],[Other manager 2: Numbers employed (Full Time Equivalent)]],0),"")</f>
        <v>0</v>
      </c>
      <c r="NU63" s="30" t="str">
        <f>IFERROR(IF(AVERAGE(DATA[[#This Row],[Other manager 3: Current 2021/22 Minimum hourly pay rate ADJUSTED]],DATA[[#This Row],[Other manager 3: Current 2021/22 Maximum hourly pay rate ADJUSTED]])&lt;REAL_LIVING_WAGE_22_23,DATA[[#This Row],[Other manager 3: Numbers employed (Full Time Equivalent)]],0),"")</f>
        <v/>
      </c>
      <c r="NV63" s="30">
        <f>IFERROR(IF(AVERAGE(DATA[[#This Row],[Care Assistant 1: Current 2021/22 Minimum hourly pay rate ADJUSTED]],DATA[[#This Row],[Care Assistant 1: Current 2021/22 Maximum hourly pay rate ADJUSTED]])&lt;REAL_LIVING_WAGE_22_23,DATA[[#This Row],[Care Assistant 1: Numbers employed (Full Time Equivalent)]],0),"")</f>
        <v>8.8108108108108105</v>
      </c>
      <c r="NW63" s="30">
        <f>IFERROR(IF(AVERAGE(DATA[[#This Row],[Care Assistant 2: Current 2021/22 Minimum hourly pay rate ADJUSTED]],DATA[[#This Row],[Care Assistant 2: Current 2021/22 Maximum hourly pay rate ADJUSTED]])&lt;REAL_LIVING_WAGE_22_23,DATA[[#This Row],[Care Assistant 2: Numbers employed (Full Time Equivalent)]],0),"")</f>
        <v>6.4864864864864868</v>
      </c>
      <c r="NX63"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63"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3"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63"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63" s="30" t="str">
        <f>IFERROR(IF(AVERAGE(DATA[[#This Row],[Other staff 1: Current 2021/22 Minimum hourly pay rate ADJUSTED]],DATA[[#This Row],[Other staff 1: Current 2021/22 Maximum hourly pay rate ADJUSTED]])&lt;REAL_LIVING_WAGE_22_23,DATA[[#This Row],[Other staff 1: Numbers employed (Full Time Equivalent)]],0),"")</f>
        <v/>
      </c>
      <c r="OC63" s="30" t="str">
        <f>IFERROR(IF(AVERAGE(DATA[[#This Row],[Other staff 2: Current 2021/22 Minimum hourly pay rate ADJUSTED]],DATA[[#This Row],[Other staff 2: Current 2021/22 Maximum hourly pay rate ADJUSTED]])&lt;REAL_LIVING_WAGE_22_23,DATA[[#This Row],[Other staff 2: Numbers employed (Full Time Equivalent)]],0),"")</f>
        <v/>
      </c>
      <c r="OD63" s="30" t="str">
        <f>IFERROR(IF(AVERAGE(DATA[[#This Row],[Other staff 3: Current 2021/22 Minimum hourly pay rate ADJUSTED]],DATA[[#This Row],[Other staff 3: Current 2021/22 Maximum hourly pay rate ADJUSTED]])&lt;REAL_LIVING_WAGE_22_23,DATA[[#This Row],[Other staff 3: Numbers employed (Full Time Equivalent)]],0),"")</f>
        <v/>
      </c>
      <c r="OE63" s="30">
        <f>SUM(DATA[[#This Row],[Registered Manager FTE earning less than RLW 23yrs 2022/23]:[Other staff 3 FTE earning less than RLW 23yrs 2022/23]])</f>
        <v>15.297297297297298</v>
      </c>
      <c r="OF63"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63"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63"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63"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63"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3"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2.555135135135143</v>
      </c>
      <c r="OL63"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3.1783783783783801</v>
      </c>
      <c r="OM63"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63"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3"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63"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63"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63"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3"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3" s="30">
        <f>IFERROR(IF(DATA[[#This Row],[Registered manager: Numbers employed (Full Time Equivalent)]]=0,"",DATA[[#This Row],[Registered manager: Current 2021/22 Minimum hourly pay rate ADJUSTED 2]]*DATA[[#This Row],[Registered manager: Numbers employed (Full Time Equivalent)]]),"")</f>
        <v>19.149999999999999</v>
      </c>
      <c r="OU63" s="30">
        <f>IFERROR(IF(DATA[[#This Row],[Registered manager: Numbers employed (Full Time Equivalent)]]=0,"",DATA[[#This Row],[Registered manager: Current 2021/22 Maximum hourly pay rate ADJUSTED 2]]*DATA[[#This Row],[Registered manager: Numbers employed (Full Time Equivalent)]]),"")</f>
        <v>19.149999999999999</v>
      </c>
      <c r="OV63" s="30">
        <f>IFERROR(IF(DATA[[#This Row],[Registered manager: Numbers employed (Full Time Equivalent)]]=0,"",DATA[[#This Row],[Registered manager: Previous 2020/21 Minimum hourly pay rate ADJUSTED 2]]*DATA[[#This Row],[Registered manager: Numbers employed (Full Time Equivalent)]]),"")</f>
        <v>18.96</v>
      </c>
      <c r="OW63" s="30">
        <f>IFERROR(IF(DATA[[#This Row],[Registered manager: Numbers employed (Full Time Equivalent)]]=0,"",DATA[[#This Row],[Registered manager: Previous 2020/21 Maximum hourly pay rate ADJUSTED 2]]*DATA[[#This Row],[Registered manager: Numbers employed (Full Time Equivalent)]]),"")</f>
        <v>18.96</v>
      </c>
      <c r="OX63" s="30">
        <f>IFERROR(IF(DATA[[#This Row],[Deputy manager: Numbers employed (Full Time Equivalent)]]=0,"",DATA[[#This Row],[Deputy manager: Current 2021/22 Minimum hourly pay rate ADJUSTED 2]]*DATA[[#This Row],[Deputy manager: Numbers employed (Full Time Equivalent)]]),"")</f>
        <v>23.1</v>
      </c>
      <c r="OY63" s="30">
        <f>IFERROR(IF(DATA[[#This Row],[Deputy manager: Numbers employed (Full Time Equivalent)]]=0,"",DATA[[#This Row],[Deputy manager: Current 2021/22 Maximum hourly pay rate ADJUSTED 2]]*DATA[[#This Row],[Deputy manager: Numbers employed (Full Time Equivalent)]]),"")</f>
        <v>23.1</v>
      </c>
      <c r="OZ63" s="30">
        <f>IFERROR(IF(DATA[[#This Row],[Deputy manager: Numbers employed (Full Time Equivalent)]]=0,"",DATA[[#This Row],[Deputy manager: Previous 2020/21 Minimum hourly pay rate ADJUSTED 2]]*DATA[[#This Row],[Deputy manager: Numbers employed (Full Time Equivalent)]]),"")</f>
        <v>22.72</v>
      </c>
      <c r="PA63" s="30">
        <f>IFERROR(IF(DATA[[#This Row],[Deputy manager: Numbers employed (Full Time Equivalent)]]=0,"",DATA[[#This Row],[Deputy manager: Previous 2020/21 Maximum hourly pay rate ADJUSTED 2]]*DATA[[#This Row],[Deputy manager: Numbers employed (Full Time Equivalent)]]),"")</f>
        <v>22.72</v>
      </c>
      <c r="PB63" s="30">
        <f>IFERROR(IF(DATA[[#This Row],[Other manager 1: Numbers employed (Full Time Equivalent)]]=0,"",DATA[[#This Row],[Other manager 1: Current 2021/22 Minimum hourly pay rate ADJUSTED 2]]*DATA[[#This Row],[Other manager 1: Numbers employed (Full Time Equivalent)]]),"")</f>
        <v>6.4695945945945939</v>
      </c>
      <c r="PC63" s="30">
        <f>IFERROR(IF(DATA[[#This Row],[Other manager 1: Numbers employed (Full Time Equivalent)]]=0,"",DATA[[#This Row],[Other manager 1: Current 2021/22 Maximum hourly pay rate ADJUSTED 2]]*DATA[[#This Row],[Other manager 1: Numbers employed (Full Time Equivalent)]]),"")</f>
        <v>6.4695945945945939</v>
      </c>
      <c r="PD63" s="30">
        <f>IFERROR(IF(DATA[[#This Row],[Other manager 1: Numbers employed (Full Time Equivalent)]]=0,"",DATA[[#This Row],[Other manager 1: Previous 2020/21 Minimum hourly pay rate ADJUSTED 2]]*DATA[[#This Row],[Other manager 1: Numbers employed (Full Time Equivalent)]]),"")</f>
        <v>6.4054054054054053</v>
      </c>
      <c r="PE63" s="30">
        <f>IFERROR(IF(DATA[[#This Row],[Other manager 1: Numbers employed (Full Time Equivalent)]]=0,"",DATA[[#This Row],[Other manager 1: Previous 2020/21 Maximum hourly pay rate ADJUSTED 2]]*DATA[[#This Row],[Other manager 1: Numbers employed (Full Time Equivalent)]]),"")</f>
        <v>6.4054054054054053</v>
      </c>
      <c r="PF63" s="30">
        <f>IFERROR(IF(DATA[[#This Row],[Other manager 2: Numbers employed (Full Time Equivalent)]]=0,"",DATA[[#This Row],[Other manager 2: Current 2021/22 Minimum hourly pay rate ADJUSTED 2]]*DATA[[#This Row],[Other manager 2: Numbers employed (Full Time Equivalent)]]),"")</f>
        <v>15.55</v>
      </c>
      <c r="PG63" s="30">
        <f>IFERROR(IF(DATA[[#This Row],[Other manager 2: Numbers employed (Full Time Equivalent)]]=0,"",DATA[[#This Row],[Other manager 2: Current 2021/22 Maximum hourly pay rate ADJUSTED 2]]*DATA[[#This Row],[Other manager 2: Numbers employed (Full Time Equivalent)]]),"")</f>
        <v>15.55</v>
      </c>
      <c r="PH63" s="30">
        <f>IFERROR(IF(DATA[[#This Row],[Other manager 2: Numbers employed (Full Time Equivalent)]]=0,"",DATA[[#This Row],[Other manager 2: Previous 2020/21 Minimum hourly pay rate ADJUSTED 2]]*DATA[[#This Row],[Other manager 2: Numbers employed (Full Time Equivalent)]]),"")</f>
        <v>15.55</v>
      </c>
      <c r="PI63" s="30">
        <f>IFERROR(IF(DATA[[#This Row],[Other manager 2: Numbers employed (Full Time Equivalent)]]=0,"",DATA[[#This Row],[Other manager 2: Previous 2020/21 Maximum hourly pay rate ADJUSTED 2]]*DATA[[#This Row],[Other manager 2: Numbers employed (Full Time Equivalent)]]),"")</f>
        <v>15.55</v>
      </c>
      <c r="PJ63" s="30" t="str">
        <f>IFERROR(IF(DATA[[#This Row],[Other manager 3: Numbers employed (Full Time Equivalent)]]=0,"",DATA[[#This Row],[Other manager 3: Current 2021/22 Minimum hourly pay rate ADJUSTED 2]]*DATA[[#This Row],[Other manager 3: Numbers employed (Full Time Equivalent)]]),"")</f>
        <v/>
      </c>
      <c r="PK63" s="30" t="str">
        <f>IFERROR(IF(DATA[[#This Row],[Other manager 3: Numbers employed (Full Time Equivalent)]]=0,"",DATA[[#This Row],[Other manager 3: Current 2021/22 Maximum hourly pay rate ADJUSTED 2]]*DATA[[#This Row],[Other manager 3: Numbers employed (Full Time Equivalent)]]),"")</f>
        <v/>
      </c>
      <c r="PL63" s="30" t="str">
        <f>IFERROR(IF(DATA[[#This Row],[Other manager 3: Numbers employed (Full Time Equivalent)]]=0,"",DATA[[#This Row],[Other manager 3: Previous 2020/21 Minimum hourly pay rate ADJUSTED 2]]*DATA[[#This Row],[Other manager 3: Numbers employed (Full Time Equivalent)]]),"")</f>
        <v/>
      </c>
      <c r="PM63" s="30" t="str">
        <f>IFERROR(IF(DATA[[#This Row],[Other manager 3: Numbers employed (Full Time Equivalent)]]=0,"",DATA[[#This Row],[Other manager 3: Previous 2020/21 Maximum hourly pay rate ADJUSTED 2]]*DATA[[#This Row],[Other manager 3: Numbers employed (Full Time Equivalent)]]),"")</f>
        <v/>
      </c>
      <c r="PN63" s="30">
        <f>IFERROR(IF(DATA[[#This Row],[Care Assistant 1: Numbers employed (Full Time Equivalent)]]=0,"",DATA[[#This Row],[Care Assistant 1: Current 2021/22 Minimum hourly pay rate ADJUSTED 2]]*DATA[[#This Row],[Care Assistant 1: Numbers employed (Full Time Equivalent)]]),"")</f>
        <v>80.266486486486485</v>
      </c>
      <c r="PO63" s="30">
        <f>IFERROR(IF(DATA[[#This Row],[Care Assistant 1: Numbers employed (Full Time Equivalent)]]=0,"",DATA[[#This Row],[Care Assistant 1: Current 2021/22 Maximum hourly pay rate ADJUSTED 2]]*DATA[[#This Row],[Care Assistant 1: Numbers employed (Full Time Equivalent)]]),"")</f>
        <v>89.077297297297292</v>
      </c>
      <c r="PP63" s="30">
        <f>IFERROR(IF(DATA[[#This Row],[Care Assistant 1: Numbers employed (Full Time Equivalent)]]=0,"",DATA[[#This Row],[Care Assistant 1: Previous 2020/21 Minimum hourly pay rate ADJUSTED 2]]*DATA[[#This Row],[Care Assistant 1: Numbers employed (Full Time Equivalent)]]),"")</f>
        <v>78.592432432432432</v>
      </c>
      <c r="PQ63" s="30">
        <f>IFERROR(IF(DATA[[#This Row],[Care Assistant 1: Numbers employed (Full Time Equivalent)]]=0,"",DATA[[#This Row],[Care Assistant 1: Previous 2020/21 Maximum hourly pay rate ADJUSTED 2]]*DATA[[#This Row],[Care Assistant 1: Numbers employed (Full Time Equivalent)]]),"")</f>
        <v>87.403243243243239</v>
      </c>
      <c r="PR63" s="30">
        <f>IFERROR(IF(DATA[[#This Row],[Care Assistant 2: Numbers employed (Full Time Equivalent)]]=0,"",DATA[[#This Row],[Care Assistant 2: Current 2021/22 Minimum hourly pay rate ADJUSTED 2]]*DATA[[#This Row],[Care Assistant 2: Numbers employed (Full Time Equivalent)]]),"")</f>
        <v>57.794594594594599</v>
      </c>
      <c r="PS63" s="30">
        <f>IFERROR(IF(DATA[[#This Row],[Care Assistant 2: Numbers employed (Full Time Equivalent)]]=0,"",DATA[[#This Row],[Care Assistant 2: Current 2021/22 Maximum hourly pay rate ADJUSTED 2]]*DATA[[#This Row],[Care Assistant 2: Numbers employed (Full Time Equivalent)]]),"")</f>
        <v>64.281081081081084</v>
      </c>
      <c r="PT63" s="30">
        <f>IFERROR(IF(DATA[[#This Row],[Care Assistant 2: Numbers employed (Full Time Equivalent)]]=0,"",DATA[[#This Row],[Care Assistant 2: Previous 2020/21 Minimum hourly pay rate ADJUSTED 2]]*DATA[[#This Row],[Care Assistant 2: Numbers employed (Full Time Equivalent)]]),"")</f>
        <v>56.562162162162167</v>
      </c>
      <c r="PU63" s="30">
        <f>IFERROR(IF(DATA[[#This Row],[Care Assistant 2: Numbers employed (Full Time Equivalent)]]=0,"",DATA[[#This Row],[Care Assistant 2: Previous 2020/21 Maximum hourly pay rate ADJUSTED 2]]*DATA[[#This Row],[Care Assistant 2: Numbers employed (Full Time Equivalent)]]),"")</f>
        <v>63.048648648648658</v>
      </c>
      <c r="PV63" s="30" t="str">
        <f>IFERROR(IF(DATA[[#This Row],[Care Assistant 3: Numbers employed (Full Time Equivalent)]]=0,"",DATA[[#This Row],[Care Assistant 3: Current 2021/22 Minimum hourly pay rate ADJUSTED 2]]*DATA[[#This Row],[Care Assistant 3: Numbers employed (Full Time Equivalent)]]),"")</f>
        <v/>
      </c>
      <c r="PW63" s="30" t="str">
        <f>IFERROR(IF(DATA[[#This Row],[Care Assistant 3: Numbers employed (Full Time Equivalent)]]=0,"",DATA[[#This Row],[Care Assistant 3: Current 2021/22 Maximum hourly pay rate ADJUSTED 2]]*DATA[[#This Row],[Care Assistant 3: Numbers employed (Full Time Equivalent)]]),"")</f>
        <v/>
      </c>
      <c r="PX63" s="30" t="str">
        <f>IFERROR(IF(DATA[[#This Row],[Care Assistant 3: Numbers employed (Full Time Equivalent)]]=0,"",DATA[[#This Row],[Care Assistant 3: Previous 2020/21 Minimum hourly pay rate ADJUSTED 2]]*DATA[[#This Row],[Care Assistant 3: Numbers employed (Full Time Equivalent)]]),"")</f>
        <v/>
      </c>
      <c r="PY63" s="30" t="str">
        <f>IFERROR(IF(DATA[[#This Row],[Care Assistant 3: Numbers employed (Full Time Equivalent)]]=0,"",DATA[[#This Row],[Care Assistant 3: Previous 2020/21 Maximum hourly pay rate ADJUSTED 2]]*DATA[[#This Row],[Care Assistant 3: Numbers employed (Full Time Equivalent)]]),"")</f>
        <v/>
      </c>
      <c r="PZ63" s="30" t="str">
        <f>IFERROR(IF(DATA[[#This Row],[Care Assistant 4: Numbers employed (Full Time Equivalent)]]=0,"",DATA[[#This Row],[Care Assistant 4: Current 2021/22 Minimum hourly pay rate ADJUSTED 2]]*DATA[[#This Row],[Care Assistant 4: Numbers employed (Full Time Equivalent)]]),"")</f>
        <v/>
      </c>
      <c r="QA63" s="30" t="str">
        <f>IFERROR(IF(DATA[[#This Row],[Care Assistant 4: Numbers employed (Full Time Equivalent)]]=0,"",DATA[[#This Row],[Care Assistant 4: Current 2021/22 Maximum hourly pay rate ADJUSTED 2]]*DATA[[#This Row],[Care Assistant 4: Numbers employed (Full Time Equivalent)]]),"")</f>
        <v/>
      </c>
      <c r="QB63" s="30" t="str">
        <f>IFERROR(IF(DATA[[#This Row],[Care Assistant 4: Numbers employed (Full Time Equivalent)]]=0,"",DATA[[#This Row],[Care Assistant 4: Previous 2020/21 Minimum hourly pay rate ADJUSTED 2]]*DATA[[#This Row],[Care Assistant 4: Numbers employed (Full Time Equivalent)]]),"")</f>
        <v/>
      </c>
      <c r="QC63" s="30" t="str">
        <f>IFERROR(IF(DATA[[#This Row],[Care Assistant 4: Numbers employed (Full Time Equivalent)]]=0,"",DATA[[#This Row],[Care Assistant 4: Previous 2020/21 Maximum hourly pay rate ADJUSTED 2]]*DATA[[#This Row],[Care Assistant 4: Numbers employed (Full Time Equivalent)]]),"")</f>
        <v/>
      </c>
      <c r="QD63" s="30">
        <f>IFERROR(IF(DATA[[#This Row],[Administrative Officer 1: Numbers employed (Full Time Equivalent)]]=0,"",DATA[[#This Row],[Administrative Officer 1: Current 2021/22 Minimum hourly pay rate ADJUSTED 2]]*DATA[[#This Row],[Administrative Officer 1: Numbers employed (Full Time Equivalent)]]),"")</f>
        <v>15.304189189189191</v>
      </c>
      <c r="QE63" s="30">
        <f>IFERROR(IF(DATA[[#This Row],[Administrative Officer 1: Numbers employed (Full Time Equivalent)]]=0,"",DATA[[#This Row],[Administrative Officer 1: Current 2021/22 Maximum hourly pay rate ADJUSTED 2]]*DATA[[#This Row],[Administrative Officer 1: Numbers employed (Full Time Equivalent)]]),"")</f>
        <v>15.304189189189191</v>
      </c>
      <c r="QF63" s="30">
        <f>IFERROR(IF(DATA[[#This Row],[Administrative Officer 1: Numbers employed (Full Time Equivalent)]]=0,"",DATA[[#This Row],[Administrative Officer 1: Previous 2020/21 Minimum hourly pay rate ADJUSTED 2]]*DATA[[#This Row],[Administrative Officer 1: Numbers employed (Full Time Equivalent)]]),"")</f>
        <v>13.507162162162162</v>
      </c>
      <c r="QG63" s="30">
        <f>IFERROR(IF(DATA[[#This Row],[Administrative Officer 1: Numbers employed (Full Time Equivalent)]]=0,"",DATA[[#This Row],[Administrative Officer 1: Previous 2020/21 Maximum hourly pay rate ADJUSTED 2]]*DATA[[#This Row],[Administrative Officer 1: Numbers employed (Full Time Equivalent)]]),"")</f>
        <v>13.507162162162162</v>
      </c>
      <c r="QH63" s="30">
        <f>IFERROR(IF(DATA[[#This Row],[Administrative Officer 2: Numbers employed (Full Time Equivalent)]]=0,"",DATA[[#This Row],[Administrative Officer 2: Current 2021/22 Minimum hourly pay rate ADJUSTED 2]]*DATA[[#This Row],[Administrative Officer 2: Numbers employed (Full Time Equivalent)]]),"")</f>
        <v>4.378378378378379</v>
      </c>
      <c r="QI63" s="30">
        <f>IFERROR(IF(DATA[[#This Row],[Administrative Officer 2: Numbers employed (Full Time Equivalent)]]=0,"",DATA[[#This Row],[Administrative Officer 2: Current 2021/22 Maximum hourly pay rate ADJUSTED 2]]*DATA[[#This Row],[Administrative Officer 2: Numbers employed (Full Time Equivalent)]]),"")</f>
        <v>4.378378378378379</v>
      </c>
      <c r="QJ63" s="30">
        <f>IFERROR(IF(DATA[[#This Row],[Administrative Officer 2: Numbers employed (Full Time Equivalent)]]=0,"",DATA[[#This Row],[Administrative Officer 2: Previous 2020/21 Minimum hourly pay rate ADJUSTED 2]]*DATA[[#This Row],[Administrative Officer 2: Numbers employed (Full Time Equivalent)]]),"")</f>
        <v>4.2905405405405403</v>
      </c>
      <c r="QK63" s="30">
        <f>IFERROR(IF(DATA[[#This Row],[Administrative Officer 2: Numbers employed (Full Time Equivalent)]]=0,"",DATA[[#This Row],[Administrative Officer 2: Previous 2020/21 Maximum hourly pay rate ADJUSTED 2]]*DATA[[#This Row],[Administrative Officer 2: Numbers employed (Full Time Equivalent)]]),"")</f>
        <v>4.2905405405405403</v>
      </c>
      <c r="QL63" s="30">
        <f>IFERROR(IF(DATA[[#This Row],[Administrative Officer 3: Numbers employed (Full Time Equivalent)]]=0,"",DATA[[#This Row],[Administrative Officer 3: Current 2021/22 Minimum hourly pay rate ADJUSTED 2]]*DATA[[#This Row],[Administrative Officer 3: Numbers employed (Full Time Equivalent)]]),"")</f>
        <v>3.5472972972972974</v>
      </c>
      <c r="QM63" s="30">
        <f>IFERROR(IF(DATA[[#This Row],[Administrative Officer 3: Numbers employed (Full Time Equivalent)]]=0,"",DATA[[#This Row],[Administrative Officer 3: Current 2021/22 Maximum hourly pay rate ADJUSTED 2]]*DATA[[#This Row],[Administrative Officer 3: Numbers employed (Full Time Equivalent)]]),"")</f>
        <v>3.5472972972972974</v>
      </c>
      <c r="QN63" s="30">
        <f>IFERROR(IF(DATA[[#This Row],[Administrative Officer 3: Numbers employed (Full Time Equivalent)]]=0,"",DATA[[#This Row],[Administrative Officer 3: Previous 2020/21 Minimum hourly pay rate ADJUSTED 2]]*DATA[[#This Row],[Administrative Officer 3: Numbers employed (Full Time Equivalent)]]),"")</f>
        <v>3.4763513513513509</v>
      </c>
      <c r="QO63" s="30">
        <f>IFERROR(IF(DATA[[#This Row],[Administrative Officer 3: Numbers employed (Full Time Equivalent)]]=0,"",DATA[[#This Row],[Administrative Officer 3: Previous 2020/21 Maximum hourly pay rate ADJUSTED 2]]*DATA[[#This Row],[Administrative Officer 3: Numbers employed (Full Time Equivalent)]]),"")</f>
        <v>3.4763513513513509</v>
      </c>
      <c r="QP63" s="28" t="str">
        <f>IFERROR(IF(DATA[[#This Row],[Other staff 1: Numbers employed (Full Time Equivalent)]]=0,"",DATA[[#This Row],[Other staff 1: Current 2021/22 Minimum hourly pay rate ADJUSTED 2]]*DATA[[#This Row],[Other staff 1: Numbers employed (Full Time Equivalent)]]),"")</f>
        <v/>
      </c>
      <c r="QQ63" s="28" t="str">
        <f>IFERROR(IF(DATA[[#This Row],[Other staff 1: Numbers employed (Full Time Equivalent)]]=0,"",DATA[[#This Row],[Other staff 1: Current 2021/22 Maximum hourly pay rate ADJUSTED 2]]*DATA[[#This Row],[Other staff 1: Numbers employed (Full Time Equivalent)]]),"")</f>
        <v/>
      </c>
      <c r="QR63" s="28" t="str">
        <f>IFERROR(IF(DATA[[#This Row],[Other staff 1: Numbers employed (Full Time Equivalent)]]=0,"",DATA[[#This Row],[Other staff 1: Previous 2020/21 Minimum hourly pay rate ADJUSTED 2]]*DATA[[#This Row],[Other staff 1: Numbers employed (Full Time Equivalent)]]),"")</f>
        <v/>
      </c>
      <c r="QS63" s="28" t="str">
        <f>IFERROR(IF(DATA[[#This Row],[Other staff 1: Numbers employed (Full Time Equivalent)]]=0,"",DATA[[#This Row],[Other staff 1: Previous 2020/21 Maximum hourly pay rate ADJUSTED 2]]*DATA[[#This Row],[Other staff 1: Numbers employed (Full Time Equivalent)]]),"")</f>
        <v/>
      </c>
      <c r="QT63" s="28" t="str">
        <f>IFERROR(IF(DATA[[#This Row],[Other staff 2: Numbers employed (Full Time Equivalent)]]=0,"",DATA[[#This Row],[Other staff 2: Current 2021/22 Minimum hourly pay rate ADJUSTED 2]]*DATA[[#This Row],[Other staff 2: Numbers employed (Full Time Equivalent)]]),"")</f>
        <v/>
      </c>
      <c r="QU63" s="28" t="str">
        <f>IFERROR(IF(DATA[[#This Row],[Other staff 2: Numbers employed (Full Time Equivalent)]]=0,"",DATA[[#This Row],[Other staff 2: Current 2021/22 Maximum hourly pay rate ADJUSTED 2]]*DATA[[#This Row],[Other staff 2: Numbers employed (Full Time Equivalent)]]),"")</f>
        <v/>
      </c>
      <c r="QV63" s="28" t="str">
        <f>IFERROR(IF(DATA[[#This Row],[Other staff 2: Numbers employed (Full Time Equivalent)]]=0,"",DATA[[#This Row],[Other staff 2: Previous 2020/21 Minimum hourly pay rate ADJUSTED 2]]*DATA[[#This Row],[Other staff 2: Numbers employed (Full Time Equivalent)]]),"")</f>
        <v/>
      </c>
      <c r="QW63" s="28" t="str">
        <f>IFERROR(IF(DATA[[#This Row],[Other staff 2: Numbers employed (Full Time Equivalent)]]=0,"",DATA[[#This Row],[Other staff 2: Previous 2020/21 Maximum hourly pay rate ADJUSTED 2]]*DATA[[#This Row],[Other staff 2: Numbers employed (Full Time Equivalent)]]),"")</f>
        <v/>
      </c>
      <c r="QX63" s="28" t="str">
        <f>IFERROR(IF(DATA[[#This Row],[Other staff 3: Numbers employed (Full Time Equivalent)]]=0,"",DATA[[#This Row],[Other staff 3: Current 2021/22 Minimum hourly pay rate ADJUSTED 2]]*DATA[[#This Row],[Other staff 3: Numbers employed (Full Time Equivalent)]]),"")</f>
        <v/>
      </c>
      <c r="QY63" s="28" t="str">
        <f>IFERROR(IF(DATA[[#This Row],[Other staff 3: Numbers employed (Full Time Equivalent)]]=0,"",DATA[[#This Row],[Other staff 3: Current 2021/22 Maximum hourly pay rate ADJUSTED 2]]*DATA[[#This Row],[Other staff 3: Numbers employed (Full Time Equivalent)]]),"")</f>
        <v/>
      </c>
      <c r="QZ63" s="28" t="str">
        <f>IFERROR(IF(DATA[[#This Row],[Other staff 3: Numbers employed (Full Time Equivalent)]]=0,"",DATA[[#This Row],[Other staff 3: Previous 2020/21 Minimum hourly pay rate ADJUSTED 2]]*DATA[[#This Row],[Other staff 3: Numbers employed (Full Time Equivalent)]]),"")</f>
        <v/>
      </c>
      <c r="RA63" s="28" t="str">
        <f>IFERROR(IF(DATA[[#This Row],[Other staff 3: Numbers employed (Full Time Equivalent)]]=0,"",DATA[[#This Row],[Other staff 3: Previous 2020/21 Maximum hourly pay rate ADJUSTED 2]]*DATA[[#This Row],[Other staff 3: Numbers employed (Full Time Equivalent)]]),"")</f>
        <v/>
      </c>
      <c r="RB63"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63"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2</v>
      </c>
      <c r="RD63"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0.33783783783783783</v>
      </c>
      <c r="RE63"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0.5</v>
      </c>
      <c r="RF63"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3"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8.8108108108108105</v>
      </c>
      <c r="RH63"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6.4864864864864868</v>
      </c>
      <c r="RI63"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63"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3"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1.472972972972973</v>
      </c>
      <c r="RL63"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0.33783783783783783</v>
      </c>
      <c r="RM63"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0.33783783783783783</v>
      </c>
      <c r="RN63"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63"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3"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4" spans="7:484" x14ac:dyDescent="0.25">
      <c r="G64" s="2">
        <v>58</v>
      </c>
      <c r="H64" s="2">
        <v>0</v>
      </c>
      <c r="I64" s="2">
        <v>21</v>
      </c>
      <c r="J64" s="2">
        <v>0</v>
      </c>
      <c r="K64" s="2">
        <v>1</v>
      </c>
      <c r="L64" s="2" t="s">
        <v>240</v>
      </c>
      <c r="M64" s="2" t="s">
        <v>240</v>
      </c>
      <c r="R64" s="2">
        <v>17.190000000000001</v>
      </c>
      <c r="S64" s="2">
        <v>17.190000000000001</v>
      </c>
      <c r="T64" s="2">
        <v>16.6935</v>
      </c>
      <c r="U64" s="2">
        <v>16.6935</v>
      </c>
      <c r="V64" s="2">
        <v>1</v>
      </c>
      <c r="W64" s="2">
        <v>11.79</v>
      </c>
      <c r="X64" s="2">
        <v>11.9</v>
      </c>
      <c r="Y64" s="2">
        <v>11.452199999999999</v>
      </c>
      <c r="Z64" s="2">
        <v>11.551</v>
      </c>
      <c r="AA64" s="2">
        <v>3</v>
      </c>
      <c r="AB64" s="2" t="s">
        <v>315</v>
      </c>
      <c r="AC64" s="2">
        <v>0</v>
      </c>
      <c r="AD64" s="2">
        <v>0</v>
      </c>
      <c r="AE64" s="2">
        <v>0</v>
      </c>
      <c r="AF64" s="2">
        <v>0</v>
      </c>
      <c r="AG64" s="2">
        <v>0</v>
      </c>
      <c r="AH64" s="2" t="s">
        <v>315</v>
      </c>
      <c r="AI64" s="2">
        <v>0</v>
      </c>
      <c r="AJ64" s="2">
        <v>0</v>
      </c>
      <c r="AK64" s="2">
        <v>0</v>
      </c>
      <c r="AL64" s="2">
        <v>0</v>
      </c>
      <c r="AM64" s="2">
        <v>0</v>
      </c>
      <c r="AN64" s="2" t="s">
        <v>315</v>
      </c>
      <c r="AO64" s="2">
        <v>0</v>
      </c>
      <c r="AP64" s="2">
        <v>0</v>
      </c>
      <c r="AQ64" s="2">
        <v>0</v>
      </c>
      <c r="AR64" s="2">
        <v>0</v>
      </c>
      <c r="AS64" s="2">
        <v>0</v>
      </c>
      <c r="AT64" s="2" t="s">
        <v>571</v>
      </c>
      <c r="AU64" s="2">
        <v>9.4216999999999995</v>
      </c>
      <c r="AV64" s="2">
        <v>9.4216999999999995</v>
      </c>
      <c r="AW64" s="2">
        <v>9.1440000000000001</v>
      </c>
      <c r="AX64" s="2">
        <v>9.1440000000000001</v>
      </c>
      <c r="AY64" s="2">
        <v>37.306666666666665</v>
      </c>
      <c r="AZ64" s="2" t="s">
        <v>572</v>
      </c>
      <c r="BA64" s="2">
        <v>9.6994000000000007</v>
      </c>
      <c r="BB64" s="2">
        <v>9.6994000000000007</v>
      </c>
      <c r="BC64" s="2">
        <v>9.4216999999999995</v>
      </c>
      <c r="BD64" s="2">
        <v>9.4216999999999995</v>
      </c>
      <c r="BE64" s="2">
        <v>7.4666666666666668</v>
      </c>
      <c r="BF64" s="2" t="s">
        <v>573</v>
      </c>
      <c r="BG64" s="2">
        <v>10.2651</v>
      </c>
      <c r="BH64" s="2">
        <v>10.2651</v>
      </c>
      <c r="BI64" s="2">
        <v>9.9669000000000008</v>
      </c>
      <c r="BJ64" s="2">
        <v>9.9669000000000008</v>
      </c>
      <c r="BK64" s="2">
        <v>3</v>
      </c>
      <c r="BL64" s="2" t="s">
        <v>316</v>
      </c>
      <c r="BM64" s="2">
        <v>0</v>
      </c>
      <c r="BN64" s="2">
        <v>0</v>
      </c>
      <c r="BO64" s="2">
        <v>0</v>
      </c>
      <c r="BP64" s="2">
        <v>0</v>
      </c>
      <c r="BQ64" s="2">
        <v>0</v>
      </c>
      <c r="BR64" s="2" t="s">
        <v>317</v>
      </c>
      <c r="BS64" s="2">
        <v>0</v>
      </c>
      <c r="BT64" s="2">
        <v>0</v>
      </c>
      <c r="BU64" s="2">
        <v>0</v>
      </c>
      <c r="BV64" s="2">
        <v>0</v>
      </c>
      <c r="BW64" s="2">
        <v>0</v>
      </c>
      <c r="BX64" s="2" t="s">
        <v>317</v>
      </c>
      <c r="BY64" s="2">
        <v>0</v>
      </c>
      <c r="BZ64" s="2">
        <v>0</v>
      </c>
      <c r="CA64" s="2">
        <v>0</v>
      </c>
      <c r="CB64" s="2">
        <v>0</v>
      </c>
      <c r="CC64" s="2">
        <v>0</v>
      </c>
      <c r="CD64" s="2" t="s">
        <v>317</v>
      </c>
      <c r="CE64" s="2">
        <v>0</v>
      </c>
      <c r="CF64" s="2">
        <v>0</v>
      </c>
      <c r="CG64" s="2">
        <v>0</v>
      </c>
      <c r="CH64" s="2">
        <v>0</v>
      </c>
      <c r="CI64" s="2">
        <v>0</v>
      </c>
      <c r="CJ64" s="2" t="s">
        <v>318</v>
      </c>
      <c r="CK64" s="2">
        <v>0</v>
      </c>
      <c r="CL64" s="2">
        <v>0</v>
      </c>
      <c r="CM64" s="2">
        <v>0</v>
      </c>
      <c r="CN64" s="2">
        <v>0</v>
      </c>
      <c r="CO64" s="2">
        <v>0</v>
      </c>
      <c r="CP64" s="2" t="s">
        <v>318</v>
      </c>
      <c r="CQ64" s="2">
        <v>0</v>
      </c>
      <c r="CR64" s="2">
        <v>0</v>
      </c>
      <c r="CS64" s="2">
        <v>0</v>
      </c>
      <c r="CT64" s="2">
        <v>0</v>
      </c>
      <c r="CU64" s="2">
        <v>0</v>
      </c>
      <c r="CV64" s="2" t="s">
        <v>318</v>
      </c>
      <c r="CW64" s="2">
        <v>0</v>
      </c>
      <c r="CX64" s="2">
        <v>0</v>
      </c>
      <c r="CY64" s="2">
        <v>0</v>
      </c>
      <c r="CZ64" s="2">
        <v>0</v>
      </c>
      <c r="DA64" s="2">
        <v>0</v>
      </c>
      <c r="DB64" s="2">
        <v>0.03</v>
      </c>
      <c r="DC64" s="2">
        <v>0</v>
      </c>
      <c r="DD64" s="2">
        <v>0</v>
      </c>
      <c r="DE64" s="2">
        <v>0</v>
      </c>
      <c r="DF64" s="2">
        <v>0</v>
      </c>
      <c r="DG64" s="2">
        <v>0</v>
      </c>
      <c r="DH64" s="2">
        <v>0</v>
      </c>
      <c r="DI64" s="2">
        <v>1099.8699999999999</v>
      </c>
      <c r="DJ64" s="2">
        <v>382.75</v>
      </c>
      <c r="DK64" s="2">
        <v>309.38</v>
      </c>
      <c r="DL64" s="2">
        <v>0</v>
      </c>
      <c r="DM64" s="2">
        <v>0</v>
      </c>
      <c r="DN64" s="2">
        <v>0</v>
      </c>
      <c r="DO64" s="2">
        <v>16.59</v>
      </c>
      <c r="DP64" s="2">
        <v>0</v>
      </c>
      <c r="DQ64" s="2">
        <v>15.91</v>
      </c>
      <c r="DR64" s="18">
        <v>43922</v>
      </c>
      <c r="DS64" s="18">
        <v>44286</v>
      </c>
      <c r="DT64" s="2">
        <v>93434.880000000005</v>
      </c>
      <c r="DU64" s="2">
        <v>108924</v>
      </c>
      <c r="DV64" s="2">
        <v>1143562.44</v>
      </c>
      <c r="DW64" s="2">
        <v>0</v>
      </c>
      <c r="DX64" s="2">
        <v>0</v>
      </c>
      <c r="DY64" s="2">
        <v>0</v>
      </c>
      <c r="DZ64" s="2">
        <v>0</v>
      </c>
      <c r="EA64" s="2">
        <v>0</v>
      </c>
      <c r="EB64" s="2">
        <v>31003.68</v>
      </c>
      <c r="EC64" s="2">
        <v>0</v>
      </c>
      <c r="ED64" s="2">
        <v>0</v>
      </c>
      <c r="EE64" s="2">
        <v>13240.06</v>
      </c>
      <c r="EF64" s="2">
        <v>0</v>
      </c>
      <c r="EG64" s="2">
        <v>3835.17</v>
      </c>
      <c r="EH64" s="2" t="s">
        <v>324</v>
      </c>
      <c r="EI64" s="2">
        <v>0</v>
      </c>
      <c r="EJ64" s="2" t="s">
        <v>324</v>
      </c>
      <c r="EK64" s="2">
        <v>0</v>
      </c>
      <c r="EL64" s="2">
        <v>11402.92</v>
      </c>
      <c r="EM64" s="2">
        <v>0</v>
      </c>
      <c r="EN64" s="2">
        <v>0</v>
      </c>
      <c r="EO64" s="2">
        <v>0</v>
      </c>
      <c r="EP64" s="2">
        <v>1325.04</v>
      </c>
      <c r="EQ64" s="2">
        <v>0</v>
      </c>
      <c r="ER64" s="2">
        <v>0</v>
      </c>
      <c r="ES64" s="2">
        <v>3541.12</v>
      </c>
      <c r="ET64" s="2" t="s">
        <v>324</v>
      </c>
      <c r="EU64" s="2">
        <v>0</v>
      </c>
      <c r="EV64" s="2" t="s">
        <v>324</v>
      </c>
      <c r="EW64" s="2">
        <v>0</v>
      </c>
      <c r="EX64" s="2">
        <v>145090.07999999999</v>
      </c>
      <c r="EY64" s="2">
        <v>0</v>
      </c>
      <c r="EZ64" s="2" t="s">
        <v>326</v>
      </c>
      <c r="FA64" s="2">
        <v>0</v>
      </c>
      <c r="FB64" s="2" t="s">
        <v>326</v>
      </c>
      <c r="FC64" s="2">
        <v>0</v>
      </c>
      <c r="FD64" s="2">
        <v>44465</v>
      </c>
      <c r="FE64" s="2">
        <v>20329.32</v>
      </c>
      <c r="FF64" s="2">
        <v>1290930</v>
      </c>
      <c r="FG64" s="2"/>
      <c r="FH64" s="19">
        <v>44480.627187500002</v>
      </c>
      <c r="FI64" s="2" t="s">
        <v>345</v>
      </c>
      <c r="FJ64" s="2">
        <f>SUM(DATA[[#This Row],[Number of Home support clients:]],DATA[[#This Row],[Number of supported living clients:]])</f>
        <v>21</v>
      </c>
      <c r="FK64"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64"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17.190000000000001</v>
      </c>
      <c r="FM64"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17.190000000000001</v>
      </c>
      <c r="FN64"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16.6935</v>
      </c>
      <c r="FO64"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16.6935</v>
      </c>
      <c r="FP64"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11.79</v>
      </c>
      <c r="FQ64"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11.9</v>
      </c>
      <c r="FR64"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11.452199999999999</v>
      </c>
      <c r="FS64"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11.551</v>
      </c>
      <c r="FT64"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64"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64"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64"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64"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64"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64"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64"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64"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4"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4"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4"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4"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9.4216999999999995</v>
      </c>
      <c r="GG64"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9.4216999999999995</v>
      </c>
      <c r="GH64"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9.1440000000000001</v>
      </c>
      <c r="GI64"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9.1440000000000001</v>
      </c>
      <c r="GJ64"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9.6994000000000007</v>
      </c>
      <c r="GK64"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9.6994000000000007</v>
      </c>
      <c r="GL64"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9.4216999999999995</v>
      </c>
      <c r="GM64"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9.4216999999999995</v>
      </c>
      <c r="GN64"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10.2651</v>
      </c>
      <c r="GO64"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10.2651</v>
      </c>
      <c r="GP64"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9.9669000000000008</v>
      </c>
      <c r="GQ64"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9.9669000000000008</v>
      </c>
      <c r="GR64"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4"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4"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4"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4"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64"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64"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64"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64"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64"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64"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64"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64"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64"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64"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64"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64"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64"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64"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64"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64"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4"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4"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4"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4"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4"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4"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4"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4"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17.190000000000001</v>
      </c>
      <c r="HU64"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17.190000000000001</v>
      </c>
      <c r="HV64"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16.6935</v>
      </c>
      <c r="HW64"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16.6935</v>
      </c>
      <c r="HX64"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11.79</v>
      </c>
      <c r="HY64"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11.9</v>
      </c>
      <c r="HZ64"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11.452199999999999</v>
      </c>
      <c r="IA64"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11.551</v>
      </c>
      <c r="IB64"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64"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64"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64"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64"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64"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64"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64"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64"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4"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4"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4"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4"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9.4216999999999995</v>
      </c>
      <c r="IO64"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9.4216999999999995</v>
      </c>
      <c r="IP64"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9.1440000000000001</v>
      </c>
      <c r="IQ64"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9.1440000000000001</v>
      </c>
      <c r="IR64"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9.6994000000000007</v>
      </c>
      <c r="IS64"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9.6994000000000007</v>
      </c>
      <c r="IT64"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9.4216999999999995</v>
      </c>
      <c r="IU64"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9.4216999999999995</v>
      </c>
      <c r="IV64"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10.2651</v>
      </c>
      <c r="IW64"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10.2651</v>
      </c>
      <c r="IX64"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9.9669000000000008</v>
      </c>
      <c r="IY64"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9.9669000000000008</v>
      </c>
      <c r="IZ64"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4"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4"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4"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4"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64"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64"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64"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64"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64"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64"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64"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64"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64"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64"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64"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64"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64"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64"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64"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64"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4"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4"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4"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4"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4"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4"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4"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4"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v>
      </c>
      <c r="KC64" s="21">
        <f>SUM(DATA[[#This Row],[Care Assistant 1: Numbers employed (Full Time Equivalent)]],DATA[[#This Row],[Care Assistant 2: Numbers employed (Full Time Equivalent)]],DATA[[#This Row],[Care Assistant 3: Numbers employed (Full Time Equivalent)]],DATA[[#This Row],[Care Assistant 4: Numbers employed (Full Time Equivalent)]])</f>
        <v>47.773333333333333</v>
      </c>
      <c r="KD64" s="21">
        <f>SUM(DATA[[#This Row],[Administrative Officer 1: Numbers employed (Full Time Equivalent)]],DATA[[#This Row],[Administrative Officer 2: Numbers employed (Full Time Equivalent)]])</f>
        <v>0</v>
      </c>
      <c r="KE64" s="21">
        <f>SUM(DATA[[#This Row],[Other staff 1: Numbers employed (Full Time Equivalent)]],DATA[[#This Row],[Other staff 2: Numbers employed (Full Time Equivalent)]],DATA[[#This Row],[Other staff 3: Numbers employed (Full Time Equivalent)]])</f>
        <v>0</v>
      </c>
      <c r="KF64" s="21">
        <f>SUM(DATA[[#This Row],[Total FTE Management Employees]:[Total FTE Other Employees]])</f>
        <v>51.773333333333333</v>
      </c>
      <c r="KG64" s="21" t="str">
        <f>IF(SUM(DATA[[#This Row],[Home Support service split percentage (Expenditure):]],DATA[[#This Row],[Supported Living service split percentage (Expenditure):]])&gt;0, IF(DATA[[#This Row],[Home Support service split percentage (Expenditure):]]&gt;0.5,"Home Support","Supported Living"), "Unknown")</f>
        <v>Supported Living</v>
      </c>
      <c r="KH64" s="21">
        <f>SUM(DATA[[#This Row],[Home Support: Birmingham City Council]:[Home Support: Self-funded]])</f>
        <v>0</v>
      </c>
      <c r="KI64" s="21">
        <f>SUM(DATA[[#This Row],[Supported Living: Birmingham City Council]:[Supported Living: Self-funded]])</f>
        <v>1792</v>
      </c>
      <c r="KJ64"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4"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4"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4"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4" s="21" t="b">
        <f>SUM(DATA[[#This Row],[Number of hours of care charged for in last full accounting year]:[Corporate Overheads: Other  - please specify (category) 1]])&gt;0</f>
        <v>1</v>
      </c>
      <c r="KO64" s="21">
        <f>SUM(DATA[[#This Row],[Total annual expenditure: Management staff]:[Total annual expenditure: Training and development]])</f>
        <v>1283490.1199999999</v>
      </c>
      <c r="KP64" s="21">
        <f>SUM(DATA[[#This Row],[Recruitment &amp; advertising (including DBS checks)]:[Non-Staffing Direct Cost: Other  - please specify (amount) 2]])</f>
        <v>17075.23</v>
      </c>
      <c r="KQ64" s="21">
        <f>SUM(DATA[[#This Row],[Insurance ]:[Indirect costs: Other 2 - please specify (amount)]])</f>
        <v>16269.079999999998</v>
      </c>
      <c r="KR64" s="21">
        <f>SUM(DATA[[#This Row],[Central / Regional Management]],DATA[[#This Row],[Support Services (finance / HR / Payroll / legal etc.)]],DATA[[#This Row],[Corporate Overheads: Other  - please specify (amount) 1]],DATA[[#This Row],[Corporate Overheads: Other  - please specify (amount) 2]])</f>
        <v>145090.07999999999</v>
      </c>
      <c r="KS64"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1.1657744944928488</v>
      </c>
      <c r="KT64"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12.239138531563372</v>
      </c>
      <c r="KU64"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64"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64"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64"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64"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64"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0.3318212641788591</v>
      </c>
      <c r="LA64"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64"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64" s="30">
        <f>IF(OR(NOT(DATA[[#This Row],[Care consumables &amp; uniforms]]&gt;0),NOT(DATA[[#This Row],[Number of hours of care charged for in last full accounting year]]&gt;0)),0,DATA[[#This Row],[Care consumables &amp; uniforms]]/DATA[[#This Row],[Number of hours of care charged for in last full accounting year]])</f>
        <v>0.14170361218422925</v>
      </c>
      <c r="LD64" s="30">
        <f>IF(OR(NOT(DATA[[#This Row],[Electronic call monitoring]]&gt;0),NOT(DATA[[#This Row],[Number of hours of care charged for in last full accounting year]]&gt;0)),0,DATA[[#This Row],[Electronic call monitoring]]/DATA[[#This Row],[Number of hours of care charged for in last full accounting year]])</f>
        <v>0</v>
      </c>
      <c r="LE64" s="30">
        <f>IF(OR(NOT(DATA[[#This Row],[IT Equipment &amp; Telephoney]]&gt;0),NOT(DATA[[#This Row],[Number of hours of care charged for in last full accounting year]]&gt;0)),0,DATA[[#This Row],[IT Equipment &amp; Telephoney]]/DATA[[#This Row],[Number of hours of care charged for in last full accounting year]])</f>
        <v>4.1046448606772971E-2</v>
      </c>
      <c r="LF64"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64"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4" s="30">
        <f>IF(OR(NOT(DATA[[#This Row],[Insurance ]]&gt;0),NOT(DATA[[#This Row],[Number of hours of care charged for in last full accounting year]]&gt;0)),0,DATA[[#This Row],[Insurance ]]/DATA[[#This Row],[Number of hours of care charged for in last full accounting year]])</f>
        <v>0.12204136185544413</v>
      </c>
      <c r="LI64"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64" s="30">
        <f>IF(OR(NOT(DATA[[#This Row],[Repairs and maintenance]]&gt;0),NOT(DATA[[#This Row],[Number of hours of care charged for in last full accounting year]]&gt;0)),0,DATA[[#This Row],[Repairs and maintenance]]/DATA[[#This Row],[Number of hours of care charged for in last full accounting year]])</f>
        <v>0</v>
      </c>
      <c r="LK64"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64" s="30">
        <f>IF(OR(NOT(DATA[[#This Row],[Registration &amp; Inspection fees ]]&gt;0),NOT(DATA[[#This Row],[Number of hours of care charged for in last full accounting year]]&gt;0)),0,DATA[[#This Row],[Registration &amp; Inspection fees ]]/DATA[[#This Row],[Number of hours of care charged for in last full accounting year]])</f>
        <v>1.4181427749465724E-2</v>
      </c>
      <c r="LM64" s="30">
        <f>IF(OR(NOT(DATA[[#This Row],[Subscriptions]]&gt;0),NOT(DATA[[#This Row],[Number of hours of care charged for in last full accounting year]]&gt;0)),0,DATA[[#This Row],[Subscriptions]]/DATA[[#This Row],[Number of hours of care charged for in last full accounting year]])</f>
        <v>0</v>
      </c>
      <c r="LN64" s="30">
        <f>IF(OR(NOT(DATA[[#This Row],[Cost of finance]]&gt;0),NOT(DATA[[#This Row],[Number of hours of care charged for in last full accounting year]]&gt;0)),0,DATA[[#This Row],[Cost of finance]]/DATA[[#This Row],[Number of hours of care charged for in last full accounting year]])</f>
        <v>0</v>
      </c>
      <c r="LO64" s="30">
        <f>IF(OR(NOT(DATA[[#This Row],[Other non-staff current expenses]]&gt;0),NOT(DATA[[#This Row],[Number of hours of care charged for in last full accounting year]]&gt;0)),0,DATA[[#This Row],[Other non-staff current expenses]]/DATA[[#This Row],[Number of hours of care charged for in last full accounting year]])</f>
        <v>3.7899336949969858E-2</v>
      </c>
      <c r="LP64"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64"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64" s="30">
        <f>IF(OR(NOT(DATA[[#This Row],[Central / Regional Management]]&gt;0),NOT(DATA[[#This Row],[Number of hours of care charged for in last full accounting year]]&gt;0)),0,DATA[[#This Row],[Central / Regional Management]]/DATA[[#This Row],[Number of hours of care charged for in last full accounting year]])</f>
        <v>1.5528470738122635</v>
      </c>
      <c r="LS64"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64"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64"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64" s="30">
        <f>SUM(DATA[[#This Row],[Management staff HOURLY RATE]:[Corporate Overheads: Other  - please specify (amount) 2 HOURLY RATE]])</f>
        <v>15.646453551393225</v>
      </c>
      <c r="LW64" s="30">
        <f>IF(OR(NOT(DATA[[#This Row],[Net Operating Profit]]&gt;0),NOT(DATA[[#This Row],[Number of hours of care charged for in last full accounting year]]&gt;0)),"",DATA[[#This Row],[Net Operating Profit]]/DATA[[#This Row],[Number of hours of care charged for in last full accounting year]])</f>
        <v>0.47589294276398703</v>
      </c>
      <c r="LX64" s="30">
        <f>IF(OR(NOT(DATA[[#This Row],[Return on Capital employed]]&gt;0),NOT(DATA[[#This Row],[Number of hours of care charged for in last full accounting year]]&gt;0)),0,DATA[[#This Row],[Return on Capital employed]]/DATA[[#This Row],[Number of hours of care charged for in last full accounting year]])</f>
        <v>0.21757741862567812</v>
      </c>
      <c r="LY64" s="31">
        <v>58</v>
      </c>
      <c r="LZ64" s="30" t="s">
        <v>345</v>
      </c>
      <c r="MA64" s="30" t="b">
        <f>DATA[[#This Row],[Number of Home support clients:]]&gt;0</f>
        <v>0</v>
      </c>
      <c r="MB64" s="30" t="b">
        <f>DATA[[#This Row],[Number of supported living clients:]]&gt;0</f>
        <v>1</v>
      </c>
      <c r="MC64" s="30" t="b">
        <f>DATA[[#This Row],[Total Home Support Hours]]&gt;0</f>
        <v>0</v>
      </c>
      <c r="MD64" s="30" t="b">
        <f>DATA[[#This Row],[Total Supported Living Hours]]&gt;0</f>
        <v>1</v>
      </c>
      <c r="ME64" s="30" t="b">
        <f>DATA[[#This Row],[Home Support service split percentage (Expenditure):]]&gt;0.5</f>
        <v>0</v>
      </c>
      <c r="MF64" s="30" t="b">
        <f>DATA[[#This Row],[Agency staff HOURLY RATE]]=0</f>
        <v>1</v>
      </c>
      <c r="MG64" s="30">
        <f>IFERROR(IF(AVERAGE(DATA[[#This Row],[Registered manager: Current 2021/22 Minimum hourly pay rate ADJUSTED]],DATA[[#This Row],[Registered manager: Current 2021/22 Maximum hourly pay rate ADJUSTED]])&lt;LIVING_WAGE_22_23,DATA[[#This Row],[Registered manager: Numbers employed (Full Time Equivalent)]],0),"")</f>
        <v>0</v>
      </c>
      <c r="MH64" s="30">
        <f>IFERROR(IF(AVERAGE(DATA[[#This Row],[Deputy manager: Current 2021/22 Minimum hourly pay rate ADJUSTED]],DATA[[#This Row],[Deputy manager: Current 2021/22 Maximum hourly pay rate ADJUSTED]])&lt;LIVING_WAGE_22_23,DATA[[#This Row],[Deputy manager: Numbers employed (Full Time Equivalent)]],0),"")</f>
        <v>0</v>
      </c>
      <c r="MI64" s="30" t="str">
        <f>IFERROR(IF(AVERAGE(DATA[[#This Row],[Other manager 1: Current 2021/22 Minimum hourly pay rate ADJUSTED]],DATA[[#This Row],[Other manager 1: Current 2021/22 Maximum hourly pay rate ADJUSTED]])&lt;LIVING_WAGE_22_23,DATA[[#This Row],[Other manager 1: Numbers employed (Full Time Equivalent)]],0),"")</f>
        <v/>
      </c>
      <c r="MJ64" s="30" t="str">
        <f>IFERROR(IF(AVERAGE(DATA[[#This Row],[Other manager 2: Current 2021/22 Minimum hourly pay rate ADJUSTED]],DATA[[#This Row],[Other manager 2: Current 2021/22 Maximum hourly pay rate ADJUSTED]])&lt;LIVING_WAGE_22_23,DATA[[#This Row],[Other manager 2: Numbers employed (Full Time Equivalent)]],0),"")</f>
        <v/>
      </c>
      <c r="MK64" s="30" t="str">
        <f>IFERROR(IF(AVERAGE(DATA[[#This Row],[Other manager 3: Current 2021/22 Minimum hourly pay rate ADJUSTED]],DATA[[#This Row],[Other manager 3: Current 2021/22 Maximum hourly pay rate ADJUSTED]])&lt;LIVING_WAGE_22_23,DATA[[#This Row],[Other manager 3: Numbers employed (Full Time Equivalent)]],0),"")</f>
        <v/>
      </c>
      <c r="ML64" s="30">
        <f>IFERROR(IF(AVERAGE(DATA[[#This Row],[Care Assistant 1: Current 2021/22 Minimum hourly pay rate ADJUSTED]],DATA[[#This Row],[Care Assistant 1: Current 2021/22 Maximum hourly pay rate ADJUSTED]])&lt;LIVING_WAGE_22_23,DATA[[#This Row],[Care Assistant 1: Numbers employed (Full Time Equivalent)]],0),"")</f>
        <v>37.306666666666665</v>
      </c>
      <c r="MM64" s="30">
        <f>IFERROR(IF(AVERAGE(DATA[[#This Row],[Care Assistant 2: Current 2021/22 Minimum hourly pay rate ADJUSTED]],DATA[[#This Row],[Care Assistant 2: Current 2021/22 Maximum hourly pay rate ADJUSTED]])&lt;LIVING_WAGE_22_23,DATA[[#This Row],[Care Assistant 2: Numbers employed (Full Time Equivalent)]],0),"")</f>
        <v>0</v>
      </c>
      <c r="MN64" s="30">
        <f>IFERROR(IF(AVERAGE(DATA[[#This Row],[Care Assistant 3: Current 2021/22 Minimum hourly pay rate ADJUSTED]],DATA[[#This Row],[Care Assistant 3: Current 2021/22 Maximum hourly pay rate ADJUSTED]])&lt;LIVING_WAGE_22_23,DATA[[#This Row],[Care Assistant 3: Numbers employed (Full Time Equivalent)]],0),"")</f>
        <v>0</v>
      </c>
      <c r="MO64" s="30" t="str">
        <f>IFERROR(IF(AVERAGE(DATA[[#This Row],[Care Assistant 4: Current 2021/22 Minimum hourly pay rate ADJUSTED]],DATA[[#This Row],[Care Assistant 4: Current 2021/22 Maximum hourly pay rate ADJUSTED]])&lt;LIVING_WAGE_22_23,DATA[[#This Row],[Care Assistant 4: Numbers employed (Full Time Equivalent)]],0),"")</f>
        <v/>
      </c>
      <c r="MP64"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64"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64" s="30" t="str">
        <f>IFERROR(IF(AVERAGE(DATA[[#This Row],[Other staff 1: Current 2021/22 Minimum hourly pay rate ADJUSTED]],DATA[[#This Row],[Other staff 1: Current 2021/22 Maximum hourly pay rate ADJUSTED]])&lt;LIVING_WAGE_22_23,DATA[[#This Row],[Other staff 1: Numbers employed (Full Time Equivalent)]],0),"")</f>
        <v/>
      </c>
      <c r="MS64" s="30" t="str">
        <f>IFERROR(IF(AVERAGE(DATA[[#This Row],[Other staff 2: Current 2021/22 Minimum hourly pay rate ADJUSTED]],DATA[[#This Row],[Other staff 2: Current 2021/22 Maximum hourly pay rate ADJUSTED]])&lt;LIVING_WAGE_22_23,DATA[[#This Row],[Other staff 2: Numbers employed (Full Time Equivalent)]],0),"")</f>
        <v/>
      </c>
      <c r="MT64" s="30" t="str">
        <f>IFERROR(IF(AVERAGE(DATA[[#This Row],[Other staff 3: Current 2021/22 Minimum hourly pay rate ADJUSTED]],DATA[[#This Row],[Other staff 3: Current 2021/22 Maximum hourly pay rate ADJUSTED]])&lt;LIVING_WAGE_22_23,DATA[[#This Row],[Other staff 3: Numbers employed (Full Time Equivalent)]],0),"")</f>
        <v/>
      </c>
      <c r="MU64" s="30">
        <f>SUM(DATA[[#This Row],[Registered Manager FTE earning less than NLW 23yrs 2022/23]:[Other staff 3 FTE earning less than NLW 23yrs 2022/23]])</f>
        <v>37.306666666666665</v>
      </c>
      <c r="MV64"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64"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64"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64"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64"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4"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2.9211120000000177</v>
      </c>
      <c r="NB64"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64"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64"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4"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64"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64"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64"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4"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4" s="30" t="b">
        <v>1</v>
      </c>
      <c r="NK64" s="30" t="b">
        <v>1</v>
      </c>
      <c r="NL64" s="30" t="s">
        <v>505</v>
      </c>
      <c r="NM64" s="30">
        <f>SUM(DATA[[#This Row],[Management staff HOURLY RATE]:[Training and development HOURLY RATE]])</f>
        <v>13.736734290235081</v>
      </c>
      <c r="NN64" s="30">
        <f>SUM(DATA[[#This Row],[Recruitment &amp; advertising (including DBS checks) HOURLY RATE]:[Non-Staffing Direct Cost: Other  - please specify (amount) 2 HOURLY RATE]])</f>
        <v>0.18275006079100223</v>
      </c>
      <c r="NO64" s="30">
        <f>SUM(DATA[[#This Row],[Insurance  HOURLY RATE]:[Indirect costs: Other  - please specify (amount) 2 HOURLY RATE]])</f>
        <v>0.17412212655487971</v>
      </c>
      <c r="NP64" s="30">
        <f>SUM(DATA[[#This Row],[Central / Regional Management HOURLY RATE]:[Corporate Overheads: Other  - please specify (amount) 2 HOURLY RATE]])</f>
        <v>1.5528470738122635</v>
      </c>
      <c r="NQ64"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64" s="30">
        <f>IFERROR(IF(AVERAGE(DATA[[#This Row],[Deputy manager: Current 2021/22 Minimum hourly pay rate ADJUSTED]],DATA[[#This Row],[Deputy manager: Current 2021/22 Maximum hourly pay rate ADJUSTED]])&lt;REAL_LIVING_WAGE_22_23,DATA[[#This Row],[Deputy manager: Numbers employed (Full Time Equivalent)]],0),"")</f>
        <v>0</v>
      </c>
      <c r="NS64" s="30" t="str">
        <f>IFERROR(IF(AVERAGE(DATA[[#This Row],[Other manager 1: Current 2021/22 Minimum hourly pay rate ADJUSTED]],DATA[[#This Row],[Other manager 1: Current 2021/22 Maximum hourly pay rate ADJUSTED]])&lt;REAL_LIVING_WAGE_22_23,DATA[[#This Row],[Other manager 1: Numbers employed (Full Time Equivalent)]],0),"")</f>
        <v/>
      </c>
      <c r="NT64" s="30" t="str">
        <f>IFERROR(IF(AVERAGE(DATA[[#This Row],[Other manager 2: Current 2021/22 Minimum hourly pay rate ADJUSTED]],DATA[[#This Row],[Other manager 2: Current 2021/22 Maximum hourly pay rate ADJUSTED]])&lt;REAL_LIVING_WAGE_22_23,DATA[[#This Row],[Other manager 2: Numbers employed (Full Time Equivalent)]],0),"")</f>
        <v/>
      </c>
      <c r="NU64" s="30" t="str">
        <f>IFERROR(IF(AVERAGE(DATA[[#This Row],[Other manager 3: Current 2021/22 Minimum hourly pay rate ADJUSTED]],DATA[[#This Row],[Other manager 3: Current 2021/22 Maximum hourly pay rate ADJUSTED]])&lt;REAL_LIVING_WAGE_22_23,DATA[[#This Row],[Other manager 3: Numbers employed (Full Time Equivalent)]],0),"")</f>
        <v/>
      </c>
      <c r="NV64" s="30">
        <f>IFERROR(IF(AVERAGE(DATA[[#This Row],[Care Assistant 1: Current 2021/22 Minimum hourly pay rate ADJUSTED]],DATA[[#This Row],[Care Assistant 1: Current 2021/22 Maximum hourly pay rate ADJUSTED]])&lt;REAL_LIVING_WAGE_22_23,DATA[[#This Row],[Care Assistant 1: Numbers employed (Full Time Equivalent)]],0),"")</f>
        <v>37.306666666666665</v>
      </c>
      <c r="NW64" s="30">
        <f>IFERROR(IF(AVERAGE(DATA[[#This Row],[Care Assistant 2: Current 2021/22 Minimum hourly pay rate ADJUSTED]],DATA[[#This Row],[Care Assistant 2: Current 2021/22 Maximum hourly pay rate ADJUSTED]])&lt;REAL_LIVING_WAGE_22_23,DATA[[#This Row],[Care Assistant 2: Numbers employed (Full Time Equivalent)]],0),"")</f>
        <v>7.4666666666666668</v>
      </c>
      <c r="NX64" s="30">
        <f>IFERROR(IF(AVERAGE(DATA[[#This Row],[Care Assistant 3: Current 2021/22 Minimum hourly pay rate ADJUSTED]],DATA[[#This Row],[Care Assistant 3: Current 2021/22 Maximum hourly pay rate ADJUSTED]])&lt;REAL_LIVING_WAGE_22_23,DATA[[#This Row],[Care Assistant 3: Numbers employed (Full Time Equivalent)]],0),"")</f>
        <v>0</v>
      </c>
      <c r="NY64"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4"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64"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64" s="30" t="str">
        <f>IFERROR(IF(AVERAGE(DATA[[#This Row],[Other staff 1: Current 2021/22 Minimum hourly pay rate ADJUSTED]],DATA[[#This Row],[Other staff 1: Current 2021/22 Maximum hourly pay rate ADJUSTED]])&lt;REAL_LIVING_WAGE_22_23,DATA[[#This Row],[Other staff 1: Numbers employed (Full Time Equivalent)]],0),"")</f>
        <v/>
      </c>
      <c r="OC64" s="30" t="str">
        <f>IFERROR(IF(AVERAGE(DATA[[#This Row],[Other staff 2: Current 2021/22 Minimum hourly pay rate ADJUSTED]],DATA[[#This Row],[Other staff 2: Current 2021/22 Maximum hourly pay rate ADJUSTED]])&lt;REAL_LIVING_WAGE_22_23,DATA[[#This Row],[Other staff 2: Numbers employed (Full Time Equivalent)]],0),"")</f>
        <v/>
      </c>
      <c r="OD64" s="30" t="str">
        <f>IFERROR(IF(AVERAGE(DATA[[#This Row],[Other staff 3: Current 2021/22 Minimum hourly pay rate ADJUSTED]],DATA[[#This Row],[Other staff 3: Current 2021/22 Maximum hourly pay rate ADJUSTED]])&lt;REAL_LIVING_WAGE_22_23,DATA[[#This Row],[Other staff 3: Numbers employed (Full Time Equivalent)]],0),"")</f>
        <v/>
      </c>
      <c r="OE64" s="30">
        <f>SUM(DATA[[#This Row],[Registered Manager FTE earning less than RLW 23yrs 2022/23]:[Other staff 3 FTE earning less than RLW 23yrs 2022/23]])</f>
        <v>44.773333333333333</v>
      </c>
      <c r="OF64"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64"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64"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64"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64"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4"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17.843778666666697</v>
      </c>
      <c r="OL64"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1.4978133333333308</v>
      </c>
      <c r="OM64"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v>
      </c>
      <c r="ON64"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4"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64"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64"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64"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4"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4" s="30">
        <f>IFERROR(IF(DATA[[#This Row],[Registered manager: Numbers employed (Full Time Equivalent)]]=0,"",DATA[[#This Row],[Registered manager: Current 2021/22 Minimum hourly pay rate ADJUSTED 2]]*DATA[[#This Row],[Registered manager: Numbers employed (Full Time Equivalent)]]),"")</f>
        <v>17.190000000000001</v>
      </c>
      <c r="OU64" s="30">
        <f>IFERROR(IF(DATA[[#This Row],[Registered manager: Numbers employed (Full Time Equivalent)]]=0,"",DATA[[#This Row],[Registered manager: Current 2021/22 Maximum hourly pay rate ADJUSTED 2]]*DATA[[#This Row],[Registered manager: Numbers employed (Full Time Equivalent)]]),"")</f>
        <v>17.190000000000001</v>
      </c>
      <c r="OV64" s="30">
        <f>IFERROR(IF(DATA[[#This Row],[Registered manager: Numbers employed (Full Time Equivalent)]]=0,"",DATA[[#This Row],[Registered manager: Previous 2020/21 Minimum hourly pay rate ADJUSTED 2]]*DATA[[#This Row],[Registered manager: Numbers employed (Full Time Equivalent)]]),"")</f>
        <v>16.6935</v>
      </c>
      <c r="OW64" s="30">
        <f>IFERROR(IF(DATA[[#This Row],[Registered manager: Numbers employed (Full Time Equivalent)]]=0,"",DATA[[#This Row],[Registered manager: Previous 2020/21 Maximum hourly pay rate ADJUSTED 2]]*DATA[[#This Row],[Registered manager: Numbers employed (Full Time Equivalent)]]),"")</f>
        <v>16.6935</v>
      </c>
      <c r="OX64" s="30">
        <f>IFERROR(IF(DATA[[#This Row],[Deputy manager: Numbers employed (Full Time Equivalent)]]=0,"",DATA[[#This Row],[Deputy manager: Current 2021/22 Minimum hourly pay rate ADJUSTED 2]]*DATA[[#This Row],[Deputy manager: Numbers employed (Full Time Equivalent)]]),"")</f>
        <v>35.369999999999997</v>
      </c>
      <c r="OY64" s="30">
        <f>IFERROR(IF(DATA[[#This Row],[Deputy manager: Numbers employed (Full Time Equivalent)]]=0,"",DATA[[#This Row],[Deputy manager: Current 2021/22 Maximum hourly pay rate ADJUSTED 2]]*DATA[[#This Row],[Deputy manager: Numbers employed (Full Time Equivalent)]]),"")</f>
        <v>35.700000000000003</v>
      </c>
      <c r="OZ64" s="30">
        <f>IFERROR(IF(DATA[[#This Row],[Deputy manager: Numbers employed (Full Time Equivalent)]]=0,"",DATA[[#This Row],[Deputy manager: Previous 2020/21 Minimum hourly pay rate ADJUSTED 2]]*DATA[[#This Row],[Deputy manager: Numbers employed (Full Time Equivalent)]]),"")</f>
        <v>34.3566</v>
      </c>
      <c r="PA64" s="30">
        <f>IFERROR(IF(DATA[[#This Row],[Deputy manager: Numbers employed (Full Time Equivalent)]]=0,"",DATA[[#This Row],[Deputy manager: Previous 2020/21 Maximum hourly pay rate ADJUSTED 2]]*DATA[[#This Row],[Deputy manager: Numbers employed (Full Time Equivalent)]]),"")</f>
        <v>34.652999999999999</v>
      </c>
      <c r="PB64" s="30" t="str">
        <f>IFERROR(IF(DATA[[#This Row],[Other manager 1: Numbers employed (Full Time Equivalent)]]=0,"",DATA[[#This Row],[Other manager 1: Current 2021/22 Minimum hourly pay rate ADJUSTED 2]]*DATA[[#This Row],[Other manager 1: Numbers employed (Full Time Equivalent)]]),"")</f>
        <v/>
      </c>
      <c r="PC64" s="30" t="str">
        <f>IFERROR(IF(DATA[[#This Row],[Other manager 1: Numbers employed (Full Time Equivalent)]]=0,"",DATA[[#This Row],[Other manager 1: Current 2021/22 Maximum hourly pay rate ADJUSTED 2]]*DATA[[#This Row],[Other manager 1: Numbers employed (Full Time Equivalent)]]),"")</f>
        <v/>
      </c>
      <c r="PD64" s="30" t="str">
        <f>IFERROR(IF(DATA[[#This Row],[Other manager 1: Numbers employed (Full Time Equivalent)]]=0,"",DATA[[#This Row],[Other manager 1: Previous 2020/21 Minimum hourly pay rate ADJUSTED 2]]*DATA[[#This Row],[Other manager 1: Numbers employed (Full Time Equivalent)]]),"")</f>
        <v/>
      </c>
      <c r="PE64" s="30" t="str">
        <f>IFERROR(IF(DATA[[#This Row],[Other manager 1: Numbers employed (Full Time Equivalent)]]=0,"",DATA[[#This Row],[Other manager 1: Previous 2020/21 Maximum hourly pay rate ADJUSTED 2]]*DATA[[#This Row],[Other manager 1: Numbers employed (Full Time Equivalent)]]),"")</f>
        <v/>
      </c>
      <c r="PF64" s="30" t="str">
        <f>IFERROR(IF(DATA[[#This Row],[Other manager 2: Numbers employed (Full Time Equivalent)]]=0,"",DATA[[#This Row],[Other manager 2: Current 2021/22 Minimum hourly pay rate ADJUSTED 2]]*DATA[[#This Row],[Other manager 2: Numbers employed (Full Time Equivalent)]]),"")</f>
        <v/>
      </c>
      <c r="PG64" s="30" t="str">
        <f>IFERROR(IF(DATA[[#This Row],[Other manager 2: Numbers employed (Full Time Equivalent)]]=0,"",DATA[[#This Row],[Other manager 2: Current 2021/22 Maximum hourly pay rate ADJUSTED 2]]*DATA[[#This Row],[Other manager 2: Numbers employed (Full Time Equivalent)]]),"")</f>
        <v/>
      </c>
      <c r="PH64" s="30" t="str">
        <f>IFERROR(IF(DATA[[#This Row],[Other manager 2: Numbers employed (Full Time Equivalent)]]=0,"",DATA[[#This Row],[Other manager 2: Previous 2020/21 Minimum hourly pay rate ADJUSTED 2]]*DATA[[#This Row],[Other manager 2: Numbers employed (Full Time Equivalent)]]),"")</f>
        <v/>
      </c>
      <c r="PI64" s="30" t="str">
        <f>IFERROR(IF(DATA[[#This Row],[Other manager 2: Numbers employed (Full Time Equivalent)]]=0,"",DATA[[#This Row],[Other manager 2: Previous 2020/21 Maximum hourly pay rate ADJUSTED 2]]*DATA[[#This Row],[Other manager 2: Numbers employed (Full Time Equivalent)]]),"")</f>
        <v/>
      </c>
      <c r="PJ64" s="30" t="str">
        <f>IFERROR(IF(DATA[[#This Row],[Other manager 3: Numbers employed (Full Time Equivalent)]]=0,"",DATA[[#This Row],[Other manager 3: Current 2021/22 Minimum hourly pay rate ADJUSTED 2]]*DATA[[#This Row],[Other manager 3: Numbers employed (Full Time Equivalent)]]),"")</f>
        <v/>
      </c>
      <c r="PK64" s="30" t="str">
        <f>IFERROR(IF(DATA[[#This Row],[Other manager 3: Numbers employed (Full Time Equivalent)]]=0,"",DATA[[#This Row],[Other manager 3: Current 2021/22 Maximum hourly pay rate ADJUSTED 2]]*DATA[[#This Row],[Other manager 3: Numbers employed (Full Time Equivalent)]]),"")</f>
        <v/>
      </c>
      <c r="PL64" s="30" t="str">
        <f>IFERROR(IF(DATA[[#This Row],[Other manager 3: Numbers employed (Full Time Equivalent)]]=0,"",DATA[[#This Row],[Other manager 3: Previous 2020/21 Minimum hourly pay rate ADJUSTED 2]]*DATA[[#This Row],[Other manager 3: Numbers employed (Full Time Equivalent)]]),"")</f>
        <v/>
      </c>
      <c r="PM64" s="30" t="str">
        <f>IFERROR(IF(DATA[[#This Row],[Other manager 3: Numbers employed (Full Time Equivalent)]]=0,"",DATA[[#This Row],[Other manager 3: Previous 2020/21 Maximum hourly pay rate ADJUSTED 2]]*DATA[[#This Row],[Other manager 3: Numbers employed (Full Time Equivalent)]]),"")</f>
        <v/>
      </c>
      <c r="PN64" s="30">
        <f>IFERROR(IF(DATA[[#This Row],[Care Assistant 1: Numbers employed (Full Time Equivalent)]]=0,"",DATA[[#This Row],[Care Assistant 1: Current 2021/22 Minimum hourly pay rate ADJUSTED 2]]*DATA[[#This Row],[Care Assistant 1: Numbers employed (Full Time Equivalent)]]),"")</f>
        <v>351.4922213333333</v>
      </c>
      <c r="PO64" s="30">
        <f>IFERROR(IF(DATA[[#This Row],[Care Assistant 1: Numbers employed (Full Time Equivalent)]]=0,"",DATA[[#This Row],[Care Assistant 1: Current 2021/22 Maximum hourly pay rate ADJUSTED 2]]*DATA[[#This Row],[Care Assistant 1: Numbers employed (Full Time Equivalent)]]),"")</f>
        <v>351.4922213333333</v>
      </c>
      <c r="PP64" s="30">
        <f>IFERROR(IF(DATA[[#This Row],[Care Assistant 1: Numbers employed (Full Time Equivalent)]]=0,"",DATA[[#This Row],[Care Assistant 1: Previous 2020/21 Minimum hourly pay rate ADJUSTED 2]]*DATA[[#This Row],[Care Assistant 1: Numbers employed (Full Time Equivalent)]]),"")</f>
        <v>341.13216</v>
      </c>
      <c r="PQ64" s="30">
        <f>IFERROR(IF(DATA[[#This Row],[Care Assistant 1: Numbers employed (Full Time Equivalent)]]=0,"",DATA[[#This Row],[Care Assistant 1: Previous 2020/21 Maximum hourly pay rate ADJUSTED 2]]*DATA[[#This Row],[Care Assistant 1: Numbers employed (Full Time Equivalent)]]),"")</f>
        <v>341.13216</v>
      </c>
      <c r="PR64" s="30">
        <f>IFERROR(IF(DATA[[#This Row],[Care Assistant 2: Numbers employed (Full Time Equivalent)]]=0,"",DATA[[#This Row],[Care Assistant 2: Current 2021/22 Minimum hourly pay rate ADJUSTED 2]]*DATA[[#This Row],[Care Assistant 2: Numbers employed (Full Time Equivalent)]]),"")</f>
        <v>72.422186666666676</v>
      </c>
      <c r="PS64" s="30">
        <f>IFERROR(IF(DATA[[#This Row],[Care Assistant 2: Numbers employed (Full Time Equivalent)]]=0,"",DATA[[#This Row],[Care Assistant 2: Current 2021/22 Maximum hourly pay rate ADJUSTED 2]]*DATA[[#This Row],[Care Assistant 2: Numbers employed (Full Time Equivalent)]]),"")</f>
        <v>72.422186666666676</v>
      </c>
      <c r="PT64" s="30">
        <f>IFERROR(IF(DATA[[#This Row],[Care Assistant 2: Numbers employed (Full Time Equivalent)]]=0,"",DATA[[#This Row],[Care Assistant 2: Previous 2020/21 Minimum hourly pay rate ADJUSTED 2]]*DATA[[#This Row],[Care Assistant 2: Numbers employed (Full Time Equivalent)]]),"")</f>
        <v>70.34869333333333</v>
      </c>
      <c r="PU64" s="30">
        <f>IFERROR(IF(DATA[[#This Row],[Care Assistant 2: Numbers employed (Full Time Equivalent)]]=0,"",DATA[[#This Row],[Care Assistant 2: Previous 2020/21 Maximum hourly pay rate ADJUSTED 2]]*DATA[[#This Row],[Care Assistant 2: Numbers employed (Full Time Equivalent)]]),"")</f>
        <v>70.34869333333333</v>
      </c>
      <c r="PV64" s="30">
        <f>IFERROR(IF(DATA[[#This Row],[Care Assistant 3: Numbers employed (Full Time Equivalent)]]=0,"",DATA[[#This Row],[Care Assistant 3: Current 2021/22 Minimum hourly pay rate ADJUSTED 2]]*DATA[[#This Row],[Care Assistant 3: Numbers employed (Full Time Equivalent)]]),"")</f>
        <v>30.795300000000001</v>
      </c>
      <c r="PW64" s="30">
        <f>IFERROR(IF(DATA[[#This Row],[Care Assistant 3: Numbers employed (Full Time Equivalent)]]=0,"",DATA[[#This Row],[Care Assistant 3: Current 2021/22 Maximum hourly pay rate ADJUSTED 2]]*DATA[[#This Row],[Care Assistant 3: Numbers employed (Full Time Equivalent)]]),"")</f>
        <v>30.795300000000001</v>
      </c>
      <c r="PX64" s="30">
        <f>IFERROR(IF(DATA[[#This Row],[Care Assistant 3: Numbers employed (Full Time Equivalent)]]=0,"",DATA[[#This Row],[Care Assistant 3: Previous 2020/21 Minimum hourly pay rate ADJUSTED 2]]*DATA[[#This Row],[Care Assistant 3: Numbers employed (Full Time Equivalent)]]),"")</f>
        <v>29.900700000000001</v>
      </c>
      <c r="PY64" s="30">
        <f>IFERROR(IF(DATA[[#This Row],[Care Assistant 3: Numbers employed (Full Time Equivalent)]]=0,"",DATA[[#This Row],[Care Assistant 3: Previous 2020/21 Maximum hourly pay rate ADJUSTED 2]]*DATA[[#This Row],[Care Assistant 3: Numbers employed (Full Time Equivalent)]]),"")</f>
        <v>29.900700000000001</v>
      </c>
      <c r="PZ64" s="30" t="str">
        <f>IFERROR(IF(DATA[[#This Row],[Care Assistant 4: Numbers employed (Full Time Equivalent)]]=0,"",DATA[[#This Row],[Care Assistant 4: Current 2021/22 Minimum hourly pay rate ADJUSTED 2]]*DATA[[#This Row],[Care Assistant 4: Numbers employed (Full Time Equivalent)]]),"")</f>
        <v/>
      </c>
      <c r="QA64" s="30" t="str">
        <f>IFERROR(IF(DATA[[#This Row],[Care Assistant 4: Numbers employed (Full Time Equivalent)]]=0,"",DATA[[#This Row],[Care Assistant 4: Current 2021/22 Maximum hourly pay rate ADJUSTED 2]]*DATA[[#This Row],[Care Assistant 4: Numbers employed (Full Time Equivalent)]]),"")</f>
        <v/>
      </c>
      <c r="QB64" s="30" t="str">
        <f>IFERROR(IF(DATA[[#This Row],[Care Assistant 4: Numbers employed (Full Time Equivalent)]]=0,"",DATA[[#This Row],[Care Assistant 4: Previous 2020/21 Minimum hourly pay rate ADJUSTED 2]]*DATA[[#This Row],[Care Assistant 4: Numbers employed (Full Time Equivalent)]]),"")</f>
        <v/>
      </c>
      <c r="QC64" s="30" t="str">
        <f>IFERROR(IF(DATA[[#This Row],[Care Assistant 4: Numbers employed (Full Time Equivalent)]]=0,"",DATA[[#This Row],[Care Assistant 4: Previous 2020/21 Maximum hourly pay rate ADJUSTED 2]]*DATA[[#This Row],[Care Assistant 4: Numbers employed (Full Time Equivalent)]]),"")</f>
        <v/>
      </c>
      <c r="QD64" s="30" t="str">
        <f>IFERROR(IF(DATA[[#This Row],[Administrative Officer 1: Numbers employed (Full Time Equivalent)]]=0,"",DATA[[#This Row],[Administrative Officer 1: Current 2021/22 Minimum hourly pay rate ADJUSTED 2]]*DATA[[#This Row],[Administrative Officer 1: Numbers employed (Full Time Equivalent)]]),"")</f>
        <v/>
      </c>
      <c r="QE64" s="30" t="str">
        <f>IFERROR(IF(DATA[[#This Row],[Administrative Officer 1: Numbers employed (Full Time Equivalent)]]=0,"",DATA[[#This Row],[Administrative Officer 1: Current 2021/22 Maximum hourly pay rate ADJUSTED 2]]*DATA[[#This Row],[Administrative Officer 1: Numbers employed (Full Time Equivalent)]]),"")</f>
        <v/>
      </c>
      <c r="QF64" s="30" t="str">
        <f>IFERROR(IF(DATA[[#This Row],[Administrative Officer 1: Numbers employed (Full Time Equivalent)]]=0,"",DATA[[#This Row],[Administrative Officer 1: Previous 2020/21 Minimum hourly pay rate ADJUSTED 2]]*DATA[[#This Row],[Administrative Officer 1: Numbers employed (Full Time Equivalent)]]),"")</f>
        <v/>
      </c>
      <c r="QG64" s="30" t="str">
        <f>IFERROR(IF(DATA[[#This Row],[Administrative Officer 1: Numbers employed (Full Time Equivalent)]]=0,"",DATA[[#This Row],[Administrative Officer 1: Previous 2020/21 Maximum hourly pay rate ADJUSTED 2]]*DATA[[#This Row],[Administrative Officer 1: Numbers employed (Full Time Equivalent)]]),"")</f>
        <v/>
      </c>
      <c r="QH64" s="30" t="str">
        <f>IFERROR(IF(DATA[[#This Row],[Administrative Officer 2: Numbers employed (Full Time Equivalent)]]=0,"",DATA[[#This Row],[Administrative Officer 2: Current 2021/22 Minimum hourly pay rate ADJUSTED 2]]*DATA[[#This Row],[Administrative Officer 2: Numbers employed (Full Time Equivalent)]]),"")</f>
        <v/>
      </c>
      <c r="QI64" s="30" t="str">
        <f>IFERROR(IF(DATA[[#This Row],[Administrative Officer 2: Numbers employed (Full Time Equivalent)]]=0,"",DATA[[#This Row],[Administrative Officer 2: Current 2021/22 Maximum hourly pay rate ADJUSTED 2]]*DATA[[#This Row],[Administrative Officer 2: Numbers employed (Full Time Equivalent)]]),"")</f>
        <v/>
      </c>
      <c r="QJ64" s="30" t="str">
        <f>IFERROR(IF(DATA[[#This Row],[Administrative Officer 2: Numbers employed (Full Time Equivalent)]]=0,"",DATA[[#This Row],[Administrative Officer 2: Previous 2020/21 Minimum hourly pay rate ADJUSTED 2]]*DATA[[#This Row],[Administrative Officer 2: Numbers employed (Full Time Equivalent)]]),"")</f>
        <v/>
      </c>
      <c r="QK64" s="30" t="str">
        <f>IFERROR(IF(DATA[[#This Row],[Administrative Officer 2: Numbers employed (Full Time Equivalent)]]=0,"",DATA[[#This Row],[Administrative Officer 2: Previous 2020/21 Maximum hourly pay rate ADJUSTED 2]]*DATA[[#This Row],[Administrative Officer 2: Numbers employed (Full Time Equivalent)]]),"")</f>
        <v/>
      </c>
      <c r="QL64" s="30" t="str">
        <f>IFERROR(IF(DATA[[#This Row],[Administrative Officer 3: Numbers employed (Full Time Equivalent)]]=0,"",DATA[[#This Row],[Administrative Officer 3: Current 2021/22 Minimum hourly pay rate ADJUSTED 2]]*DATA[[#This Row],[Administrative Officer 3: Numbers employed (Full Time Equivalent)]]),"")</f>
        <v/>
      </c>
      <c r="QM64" s="30" t="str">
        <f>IFERROR(IF(DATA[[#This Row],[Administrative Officer 3: Numbers employed (Full Time Equivalent)]]=0,"",DATA[[#This Row],[Administrative Officer 3: Current 2021/22 Maximum hourly pay rate ADJUSTED 2]]*DATA[[#This Row],[Administrative Officer 3: Numbers employed (Full Time Equivalent)]]),"")</f>
        <v/>
      </c>
      <c r="QN64" s="30" t="str">
        <f>IFERROR(IF(DATA[[#This Row],[Administrative Officer 3: Numbers employed (Full Time Equivalent)]]=0,"",DATA[[#This Row],[Administrative Officer 3: Previous 2020/21 Minimum hourly pay rate ADJUSTED 2]]*DATA[[#This Row],[Administrative Officer 3: Numbers employed (Full Time Equivalent)]]),"")</f>
        <v/>
      </c>
      <c r="QO64" s="30" t="str">
        <f>IFERROR(IF(DATA[[#This Row],[Administrative Officer 3: Numbers employed (Full Time Equivalent)]]=0,"",DATA[[#This Row],[Administrative Officer 3: Previous 2020/21 Maximum hourly pay rate ADJUSTED 2]]*DATA[[#This Row],[Administrative Officer 3: Numbers employed (Full Time Equivalent)]]),"")</f>
        <v/>
      </c>
      <c r="QP64" s="28" t="str">
        <f>IFERROR(IF(DATA[[#This Row],[Other staff 1: Numbers employed (Full Time Equivalent)]]=0,"",DATA[[#This Row],[Other staff 1: Current 2021/22 Minimum hourly pay rate ADJUSTED 2]]*DATA[[#This Row],[Other staff 1: Numbers employed (Full Time Equivalent)]]),"")</f>
        <v/>
      </c>
      <c r="QQ64" s="28" t="str">
        <f>IFERROR(IF(DATA[[#This Row],[Other staff 1: Numbers employed (Full Time Equivalent)]]=0,"",DATA[[#This Row],[Other staff 1: Current 2021/22 Maximum hourly pay rate ADJUSTED 2]]*DATA[[#This Row],[Other staff 1: Numbers employed (Full Time Equivalent)]]),"")</f>
        <v/>
      </c>
      <c r="QR64" s="28" t="str">
        <f>IFERROR(IF(DATA[[#This Row],[Other staff 1: Numbers employed (Full Time Equivalent)]]=0,"",DATA[[#This Row],[Other staff 1: Previous 2020/21 Minimum hourly pay rate ADJUSTED 2]]*DATA[[#This Row],[Other staff 1: Numbers employed (Full Time Equivalent)]]),"")</f>
        <v/>
      </c>
      <c r="QS64" s="28" t="str">
        <f>IFERROR(IF(DATA[[#This Row],[Other staff 1: Numbers employed (Full Time Equivalent)]]=0,"",DATA[[#This Row],[Other staff 1: Previous 2020/21 Maximum hourly pay rate ADJUSTED 2]]*DATA[[#This Row],[Other staff 1: Numbers employed (Full Time Equivalent)]]),"")</f>
        <v/>
      </c>
      <c r="QT64" s="28" t="str">
        <f>IFERROR(IF(DATA[[#This Row],[Other staff 2: Numbers employed (Full Time Equivalent)]]=0,"",DATA[[#This Row],[Other staff 2: Current 2021/22 Minimum hourly pay rate ADJUSTED 2]]*DATA[[#This Row],[Other staff 2: Numbers employed (Full Time Equivalent)]]),"")</f>
        <v/>
      </c>
      <c r="QU64" s="28" t="str">
        <f>IFERROR(IF(DATA[[#This Row],[Other staff 2: Numbers employed (Full Time Equivalent)]]=0,"",DATA[[#This Row],[Other staff 2: Current 2021/22 Maximum hourly pay rate ADJUSTED 2]]*DATA[[#This Row],[Other staff 2: Numbers employed (Full Time Equivalent)]]),"")</f>
        <v/>
      </c>
      <c r="QV64" s="28" t="str">
        <f>IFERROR(IF(DATA[[#This Row],[Other staff 2: Numbers employed (Full Time Equivalent)]]=0,"",DATA[[#This Row],[Other staff 2: Previous 2020/21 Minimum hourly pay rate ADJUSTED 2]]*DATA[[#This Row],[Other staff 2: Numbers employed (Full Time Equivalent)]]),"")</f>
        <v/>
      </c>
      <c r="QW64" s="28" t="str">
        <f>IFERROR(IF(DATA[[#This Row],[Other staff 2: Numbers employed (Full Time Equivalent)]]=0,"",DATA[[#This Row],[Other staff 2: Previous 2020/21 Maximum hourly pay rate ADJUSTED 2]]*DATA[[#This Row],[Other staff 2: Numbers employed (Full Time Equivalent)]]),"")</f>
        <v/>
      </c>
      <c r="QX64" s="28" t="str">
        <f>IFERROR(IF(DATA[[#This Row],[Other staff 3: Numbers employed (Full Time Equivalent)]]=0,"",DATA[[#This Row],[Other staff 3: Current 2021/22 Minimum hourly pay rate ADJUSTED 2]]*DATA[[#This Row],[Other staff 3: Numbers employed (Full Time Equivalent)]]),"")</f>
        <v/>
      </c>
      <c r="QY64" s="28" t="str">
        <f>IFERROR(IF(DATA[[#This Row],[Other staff 3: Numbers employed (Full Time Equivalent)]]=0,"",DATA[[#This Row],[Other staff 3: Current 2021/22 Maximum hourly pay rate ADJUSTED 2]]*DATA[[#This Row],[Other staff 3: Numbers employed (Full Time Equivalent)]]),"")</f>
        <v/>
      </c>
      <c r="QZ64" s="28" t="str">
        <f>IFERROR(IF(DATA[[#This Row],[Other staff 3: Numbers employed (Full Time Equivalent)]]=0,"",DATA[[#This Row],[Other staff 3: Previous 2020/21 Minimum hourly pay rate ADJUSTED 2]]*DATA[[#This Row],[Other staff 3: Numbers employed (Full Time Equivalent)]]),"")</f>
        <v/>
      </c>
      <c r="RA64" s="28" t="str">
        <f>IFERROR(IF(DATA[[#This Row],[Other staff 3: Numbers employed (Full Time Equivalent)]]=0,"",DATA[[#This Row],[Other staff 3: Previous 2020/21 Maximum hourly pay rate ADJUSTED 2]]*DATA[[#This Row],[Other staff 3: Numbers employed (Full Time Equivalent)]]),"")</f>
        <v/>
      </c>
      <c r="RB64"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64"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3</v>
      </c>
      <c r="RD64"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64"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64"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4"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37.306666666666665</v>
      </c>
      <c r="RH64"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7.4666666666666668</v>
      </c>
      <c r="RI64"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3</v>
      </c>
      <c r="RJ64"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4"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64"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64"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64"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64"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4"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5" spans="7:484" x14ac:dyDescent="0.25">
      <c r="G65" s="2">
        <v>59</v>
      </c>
      <c r="H65" s="2">
        <v>32</v>
      </c>
      <c r="I65" s="2">
        <v>0</v>
      </c>
      <c r="J65" s="2">
        <v>1</v>
      </c>
      <c r="K65" s="2">
        <v>0</v>
      </c>
      <c r="L65" s="2" t="s">
        <v>328</v>
      </c>
      <c r="M65" s="2" t="s">
        <v>328</v>
      </c>
      <c r="R65" s="2">
        <v>35</v>
      </c>
      <c r="S65" s="2">
        <v>40</v>
      </c>
      <c r="T65" s="2">
        <v>34</v>
      </c>
      <c r="U65" s="2">
        <v>39</v>
      </c>
      <c r="V65" s="2">
        <v>5</v>
      </c>
      <c r="W65" s="2">
        <v>28</v>
      </c>
      <c r="X65" s="2">
        <v>35</v>
      </c>
      <c r="Y65" s="2">
        <v>27</v>
      </c>
      <c r="Z65" s="2">
        <v>34</v>
      </c>
      <c r="AA65" s="2">
        <v>4</v>
      </c>
      <c r="AB65" s="2" t="s">
        <v>315</v>
      </c>
      <c r="AC65" s="2">
        <v>0</v>
      </c>
      <c r="AD65" s="2">
        <v>0</v>
      </c>
      <c r="AE65" s="2">
        <v>0</v>
      </c>
      <c r="AF65" s="2">
        <v>0</v>
      </c>
      <c r="AG65" s="2">
        <v>0</v>
      </c>
      <c r="AH65" s="2" t="s">
        <v>315</v>
      </c>
      <c r="AI65" s="2">
        <v>0</v>
      </c>
      <c r="AJ65" s="2">
        <v>0</v>
      </c>
      <c r="AK65" s="2">
        <v>0</v>
      </c>
      <c r="AL65" s="2">
        <v>0</v>
      </c>
      <c r="AM65" s="2">
        <v>0</v>
      </c>
      <c r="AN65" s="2" t="s">
        <v>315</v>
      </c>
      <c r="AO65" s="2">
        <v>0</v>
      </c>
      <c r="AP65" s="2">
        <v>0</v>
      </c>
      <c r="AQ65" s="2">
        <v>0</v>
      </c>
      <c r="AR65" s="2">
        <v>0</v>
      </c>
      <c r="AS65" s="2">
        <v>0</v>
      </c>
      <c r="AT65" s="2" t="s">
        <v>574</v>
      </c>
      <c r="AU65" s="2">
        <v>14.55</v>
      </c>
      <c r="AV65" s="2">
        <v>16.55</v>
      </c>
      <c r="AW65" s="2">
        <v>13.85</v>
      </c>
      <c r="AX65" s="2">
        <v>15.95</v>
      </c>
      <c r="AY65" s="2">
        <v>245</v>
      </c>
      <c r="AZ65" s="2" t="s">
        <v>575</v>
      </c>
      <c r="BA65" s="2">
        <v>15.55</v>
      </c>
      <c r="BB65" s="2">
        <v>17.55</v>
      </c>
      <c r="BC65" s="2">
        <v>14.85</v>
      </c>
      <c r="BD65" s="2">
        <v>14.95</v>
      </c>
      <c r="BE65" s="2">
        <v>110</v>
      </c>
      <c r="BF65" s="2" t="s">
        <v>316</v>
      </c>
      <c r="BG65" s="2">
        <v>0</v>
      </c>
      <c r="BH65" s="2">
        <v>0</v>
      </c>
      <c r="BI65" s="2">
        <v>0</v>
      </c>
      <c r="BJ65" s="2">
        <v>0</v>
      </c>
      <c r="BK65" s="2">
        <v>0</v>
      </c>
      <c r="BL65" s="2" t="s">
        <v>316</v>
      </c>
      <c r="BM65" s="2">
        <v>0</v>
      </c>
      <c r="BN65" s="2">
        <v>0</v>
      </c>
      <c r="BO65" s="2">
        <v>0</v>
      </c>
      <c r="BP65" s="2">
        <v>0</v>
      </c>
      <c r="BQ65" s="2">
        <v>0</v>
      </c>
      <c r="BR65" s="2" t="s">
        <v>317</v>
      </c>
      <c r="BS65" s="2">
        <v>17.5</v>
      </c>
      <c r="BT65" s="2">
        <v>19.5</v>
      </c>
      <c r="BU65" s="2">
        <v>16.5</v>
      </c>
      <c r="BV65" s="2">
        <v>18.5</v>
      </c>
      <c r="BW65" s="2">
        <v>25</v>
      </c>
      <c r="BX65" s="2" t="s">
        <v>317</v>
      </c>
      <c r="BY65" s="2">
        <v>0</v>
      </c>
      <c r="BZ65" s="2">
        <v>0</v>
      </c>
      <c r="CA65" s="2">
        <v>0</v>
      </c>
      <c r="CB65" s="2">
        <v>0</v>
      </c>
      <c r="CC65" s="2">
        <v>0</v>
      </c>
      <c r="CD65" s="2" t="s">
        <v>317</v>
      </c>
      <c r="CE65" s="2">
        <v>0</v>
      </c>
      <c r="CF65" s="2">
        <v>0</v>
      </c>
      <c r="CG65" s="2">
        <v>0</v>
      </c>
      <c r="CH65" s="2">
        <v>0</v>
      </c>
      <c r="CI65" s="2">
        <v>0</v>
      </c>
      <c r="CJ65" s="2" t="s">
        <v>318</v>
      </c>
      <c r="CK65" s="2">
        <v>0</v>
      </c>
      <c r="CL65" s="2">
        <v>0</v>
      </c>
      <c r="CM65" s="2">
        <v>0</v>
      </c>
      <c r="CN65" s="2">
        <v>0</v>
      </c>
      <c r="CO65" s="2">
        <v>0</v>
      </c>
      <c r="CP65" s="2" t="s">
        <v>318</v>
      </c>
      <c r="CQ65" s="2">
        <v>0</v>
      </c>
      <c r="CR65" s="2">
        <v>0</v>
      </c>
      <c r="CS65" s="2">
        <v>0</v>
      </c>
      <c r="CT65" s="2">
        <v>0</v>
      </c>
      <c r="CU65" s="2">
        <v>0</v>
      </c>
      <c r="CV65" s="2" t="s">
        <v>318</v>
      </c>
      <c r="CW65" s="2">
        <v>0</v>
      </c>
      <c r="CX65" s="2">
        <v>0</v>
      </c>
      <c r="CY65" s="2">
        <v>0</v>
      </c>
      <c r="CZ65" s="2">
        <v>0</v>
      </c>
      <c r="DA65" s="2">
        <v>0</v>
      </c>
      <c r="DB65" s="2">
        <v>0.03</v>
      </c>
      <c r="DC65" s="2">
        <v>0</v>
      </c>
      <c r="DD65" s="2">
        <v>0</v>
      </c>
      <c r="DE65" s="2">
        <v>187</v>
      </c>
      <c r="DF65" s="2">
        <v>0</v>
      </c>
      <c r="DG65" s="2">
        <v>435</v>
      </c>
      <c r="DH65" s="2">
        <v>0</v>
      </c>
      <c r="DI65" s="2">
        <v>0</v>
      </c>
      <c r="DJ65" s="2">
        <v>0</v>
      </c>
      <c r="DK65" s="2">
        <v>0</v>
      </c>
      <c r="DL65" s="2">
        <v>0</v>
      </c>
      <c r="DM65" s="2">
        <v>0</v>
      </c>
      <c r="DN65" s="2">
        <v>0</v>
      </c>
      <c r="DO65" s="2">
        <v>15.5</v>
      </c>
      <c r="DP65" s="2">
        <v>19</v>
      </c>
      <c r="DQ65" s="2">
        <v>14.5</v>
      </c>
      <c r="DR65" s="18">
        <v>44075</v>
      </c>
      <c r="DS65" s="18">
        <v>44439</v>
      </c>
      <c r="DT65" s="2">
        <v>32500</v>
      </c>
      <c r="DU65" s="2">
        <v>35000</v>
      </c>
      <c r="DV65" s="2">
        <v>314600</v>
      </c>
      <c r="DW65" s="2">
        <v>22000</v>
      </c>
      <c r="DX65" s="2">
        <v>0</v>
      </c>
      <c r="DY65" s="2">
        <v>0</v>
      </c>
      <c r="DZ65" s="2">
        <v>14820</v>
      </c>
      <c r="EA65" s="2">
        <v>0</v>
      </c>
      <c r="EB65" s="2">
        <v>15000</v>
      </c>
      <c r="EC65" s="2">
        <v>3200</v>
      </c>
      <c r="ED65" s="2">
        <v>4500</v>
      </c>
      <c r="EE65" s="2">
        <v>2900</v>
      </c>
      <c r="EF65" s="2">
        <v>1820</v>
      </c>
      <c r="EG65" s="2">
        <v>0</v>
      </c>
      <c r="EH65" s="2" t="s">
        <v>324</v>
      </c>
      <c r="EI65" s="2">
        <v>0</v>
      </c>
      <c r="EJ65" s="2" t="s">
        <v>324</v>
      </c>
      <c r="EK65" s="2">
        <v>0</v>
      </c>
      <c r="EL65" s="2">
        <v>3000</v>
      </c>
      <c r="EM65" s="2">
        <v>450</v>
      </c>
      <c r="EN65" s="2">
        <v>0</v>
      </c>
      <c r="EO65" s="2">
        <v>0</v>
      </c>
      <c r="EP65" s="2">
        <v>0</v>
      </c>
      <c r="EQ65" s="2">
        <v>0</v>
      </c>
      <c r="ER65" s="2">
        <v>0</v>
      </c>
      <c r="ES65" s="2">
        <v>0</v>
      </c>
      <c r="ET65" s="2" t="s">
        <v>324</v>
      </c>
      <c r="EU65" s="2">
        <v>0</v>
      </c>
      <c r="EV65" s="2" t="s">
        <v>324</v>
      </c>
      <c r="EW65" s="2">
        <v>0</v>
      </c>
      <c r="EX65" s="2">
        <v>0</v>
      </c>
      <c r="EY65" s="2">
        <v>10000</v>
      </c>
      <c r="EZ65" s="2" t="s">
        <v>326</v>
      </c>
      <c r="FA65" s="2">
        <v>0</v>
      </c>
      <c r="FB65" s="2" t="s">
        <v>326</v>
      </c>
      <c r="FC65" s="2">
        <v>0</v>
      </c>
      <c r="FD65" s="2">
        <v>60210</v>
      </c>
      <c r="FE65" s="2">
        <v>0</v>
      </c>
      <c r="FF65" s="2">
        <v>0</v>
      </c>
      <c r="FG65" s="2"/>
      <c r="FH65" s="19">
        <v>44480.627233796295</v>
      </c>
      <c r="FI65" s="2" t="s">
        <v>345</v>
      </c>
      <c r="FJ65" s="2">
        <f>SUM(DATA[[#This Row],[Number of Home support clients:]],DATA[[#This Row],[Number of supported living clients:]])</f>
        <v>32</v>
      </c>
      <c r="FK65"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31-40</v>
      </c>
      <c r="FL65"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35</v>
      </c>
      <c r="FM65"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40</v>
      </c>
      <c r="FN65"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34</v>
      </c>
      <c r="FO65"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39</v>
      </c>
      <c r="FP65"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28</v>
      </c>
      <c r="FQ65"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35</v>
      </c>
      <c r="FR65"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27</v>
      </c>
      <c r="FS65"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34</v>
      </c>
      <c r="FT65"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65"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65"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65"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65"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65"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65"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65"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65"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5"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5"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5"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5"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14.55</v>
      </c>
      <c r="GG65"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16.55</v>
      </c>
      <c r="GH65"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13.85</v>
      </c>
      <c r="GI65"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15.95</v>
      </c>
      <c r="GJ65"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15.55</v>
      </c>
      <c r="GK65"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17.55</v>
      </c>
      <c r="GL65"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14.85</v>
      </c>
      <c r="GM65"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14.95</v>
      </c>
      <c r="GN65"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65"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65"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65"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65"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5"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5"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5"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5"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17.5</v>
      </c>
      <c r="GW65"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19.5</v>
      </c>
      <c r="GX65"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16.5</v>
      </c>
      <c r="GY65"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18.5</v>
      </c>
      <c r="GZ65"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65"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65"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65"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65"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65"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65"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65"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65"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65"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65"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65"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65"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5"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5"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5"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5"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5"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5"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5"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5"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35</v>
      </c>
      <c r="HU65"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40</v>
      </c>
      <c r="HV65"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34</v>
      </c>
      <c r="HW65"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39</v>
      </c>
      <c r="HX65"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28</v>
      </c>
      <c r="HY65"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35</v>
      </c>
      <c r="HZ65"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27</v>
      </c>
      <c r="IA65"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34</v>
      </c>
      <c r="IB65"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65"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65"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65"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65"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65"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65"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65"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65"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5"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5"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5"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5"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14.55</v>
      </c>
      <c r="IO65"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16.55</v>
      </c>
      <c r="IP65"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13.85</v>
      </c>
      <c r="IQ65"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15.95</v>
      </c>
      <c r="IR65"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15.55</v>
      </c>
      <c r="IS65"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17.55</v>
      </c>
      <c r="IT65"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14.85</v>
      </c>
      <c r="IU65"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14.95</v>
      </c>
      <c r="IV65"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65"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65"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65"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65"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5"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5"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5"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5"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17.5</v>
      </c>
      <c r="JE65"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19.5</v>
      </c>
      <c r="JF65"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16.5</v>
      </c>
      <c r="JG65"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18.5</v>
      </c>
      <c r="JH65"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65"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65"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65"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65"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65"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65"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65"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65"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65"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65"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65"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65"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5"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5"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5"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5"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5"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5"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5"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5"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9</v>
      </c>
      <c r="KC65" s="21">
        <f>SUM(DATA[[#This Row],[Care Assistant 1: Numbers employed (Full Time Equivalent)]],DATA[[#This Row],[Care Assistant 2: Numbers employed (Full Time Equivalent)]],DATA[[#This Row],[Care Assistant 3: Numbers employed (Full Time Equivalent)]],DATA[[#This Row],[Care Assistant 4: Numbers employed (Full Time Equivalent)]])</f>
        <v>355</v>
      </c>
      <c r="KD65" s="21">
        <f>SUM(DATA[[#This Row],[Administrative Officer 1: Numbers employed (Full Time Equivalent)]],DATA[[#This Row],[Administrative Officer 2: Numbers employed (Full Time Equivalent)]])</f>
        <v>25</v>
      </c>
      <c r="KE65" s="21">
        <f>SUM(DATA[[#This Row],[Other staff 1: Numbers employed (Full Time Equivalent)]],DATA[[#This Row],[Other staff 2: Numbers employed (Full Time Equivalent)]],DATA[[#This Row],[Other staff 3: Numbers employed (Full Time Equivalent)]])</f>
        <v>0</v>
      </c>
      <c r="KF65" s="21">
        <f>SUM(DATA[[#This Row],[Total FTE Management Employees]:[Total FTE Other Employees]])</f>
        <v>389</v>
      </c>
      <c r="KG65" s="21" t="str">
        <f>IF(SUM(DATA[[#This Row],[Home Support service split percentage (Expenditure):]],DATA[[#This Row],[Supported Living service split percentage (Expenditure):]])&gt;0, IF(DATA[[#This Row],[Home Support service split percentage (Expenditure):]]&gt;0.5,"Home Support","Supported Living"), "Unknown")</f>
        <v>Home Support</v>
      </c>
      <c r="KH65" s="21">
        <f>SUM(DATA[[#This Row],[Home Support: Birmingham City Council]:[Home Support: Self-funded]])</f>
        <v>622</v>
      </c>
      <c r="KI65" s="21">
        <f>SUM(DATA[[#This Row],[Supported Living: Birmingham City Council]:[Supported Living: Self-funded]])</f>
        <v>0</v>
      </c>
      <c r="KJ65"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5"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5"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5"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5" s="21" t="b">
        <f>SUM(DATA[[#This Row],[Number of hours of care charged for in last full accounting year]:[Corporate Overheads: Other  - please specify (category) 1]])&gt;0</f>
        <v>1</v>
      </c>
      <c r="KO65" s="21">
        <f>SUM(DATA[[#This Row],[Total annual expenditure: Management staff]:[Total annual expenditure: Training and development]])</f>
        <v>401420</v>
      </c>
      <c r="KP65" s="21">
        <f>SUM(DATA[[#This Row],[Recruitment &amp; advertising (including DBS checks)]:[Non-Staffing Direct Cost: Other  - please specify (amount) 2]])</f>
        <v>12420</v>
      </c>
      <c r="KQ65" s="21">
        <f>SUM(DATA[[#This Row],[Insurance ]:[Indirect costs: Other 2 - please specify (amount)]])</f>
        <v>3450</v>
      </c>
      <c r="KR65" s="21">
        <f>SUM(DATA[[#This Row],[Central / Regional Management]],DATA[[#This Row],[Support Services (finance / HR / Payroll / legal etc.)]],DATA[[#This Row],[Corporate Overheads: Other  - please specify (amount) 1]],DATA[[#This Row],[Corporate Overheads: Other  - please specify (amount) 2]])</f>
        <v>10000</v>
      </c>
      <c r="KS65"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1.0769230769230769</v>
      </c>
      <c r="KT65"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9.68</v>
      </c>
      <c r="KU65"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0.67692307692307696</v>
      </c>
      <c r="KV65"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65"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65" s="30">
        <f>IF(OR(NOT(DATA[[#This Row],[Total annual expenditure: Travel Cost]]&gt;0),NOT(DATA[[#This Row],[Number of hours of care charged for in last full accounting year]]&gt;0)),0,DATA[[#This Row],[Total annual expenditure: Travel Cost]]/DATA[[#This Row],[Number of hours of care charged for in last full accounting year]])</f>
        <v>0.45600000000000002</v>
      </c>
      <c r="KY65"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65"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0.46153846153846156</v>
      </c>
      <c r="LA65"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9.8461538461538461E-2</v>
      </c>
      <c r="LB65"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0.13846153846153847</v>
      </c>
      <c r="LC65" s="30">
        <f>IF(OR(NOT(DATA[[#This Row],[Care consumables &amp; uniforms]]&gt;0),NOT(DATA[[#This Row],[Number of hours of care charged for in last full accounting year]]&gt;0)),0,DATA[[#This Row],[Care consumables &amp; uniforms]]/DATA[[#This Row],[Number of hours of care charged for in last full accounting year]])</f>
        <v>8.9230769230769225E-2</v>
      </c>
      <c r="LD65" s="30">
        <f>IF(OR(NOT(DATA[[#This Row],[Electronic call monitoring]]&gt;0),NOT(DATA[[#This Row],[Number of hours of care charged for in last full accounting year]]&gt;0)),0,DATA[[#This Row],[Electronic call monitoring]]/DATA[[#This Row],[Number of hours of care charged for in last full accounting year]])</f>
        <v>5.6000000000000001E-2</v>
      </c>
      <c r="LE65" s="30">
        <f>IF(OR(NOT(DATA[[#This Row],[IT Equipment &amp; Telephoney]]&gt;0),NOT(DATA[[#This Row],[Number of hours of care charged for in last full accounting year]]&gt;0)),0,DATA[[#This Row],[IT Equipment &amp; Telephoney]]/DATA[[#This Row],[Number of hours of care charged for in last full accounting year]])</f>
        <v>0</v>
      </c>
      <c r="LF65"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65"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5" s="30">
        <f>IF(OR(NOT(DATA[[#This Row],[Insurance ]]&gt;0),NOT(DATA[[#This Row],[Number of hours of care charged for in last full accounting year]]&gt;0)),0,DATA[[#This Row],[Insurance ]]/DATA[[#This Row],[Number of hours of care charged for in last full accounting year]])</f>
        <v>9.2307692307692313E-2</v>
      </c>
      <c r="LI65"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1.3846153846153847E-2</v>
      </c>
      <c r="LJ65" s="30">
        <f>IF(OR(NOT(DATA[[#This Row],[Repairs and maintenance]]&gt;0),NOT(DATA[[#This Row],[Number of hours of care charged for in last full accounting year]]&gt;0)),0,DATA[[#This Row],[Repairs and maintenance]]/DATA[[#This Row],[Number of hours of care charged for in last full accounting year]])</f>
        <v>0</v>
      </c>
      <c r="LK65"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65" s="30">
        <f>IF(OR(NOT(DATA[[#This Row],[Registration &amp; Inspection fees ]]&gt;0),NOT(DATA[[#This Row],[Number of hours of care charged for in last full accounting year]]&gt;0)),0,DATA[[#This Row],[Registration &amp; Inspection fees ]]/DATA[[#This Row],[Number of hours of care charged for in last full accounting year]])</f>
        <v>0</v>
      </c>
      <c r="LM65" s="30">
        <f>IF(OR(NOT(DATA[[#This Row],[Subscriptions]]&gt;0),NOT(DATA[[#This Row],[Number of hours of care charged for in last full accounting year]]&gt;0)),0,DATA[[#This Row],[Subscriptions]]/DATA[[#This Row],[Number of hours of care charged for in last full accounting year]])</f>
        <v>0</v>
      </c>
      <c r="LN65" s="30">
        <f>IF(OR(NOT(DATA[[#This Row],[Cost of finance]]&gt;0),NOT(DATA[[#This Row],[Number of hours of care charged for in last full accounting year]]&gt;0)),0,DATA[[#This Row],[Cost of finance]]/DATA[[#This Row],[Number of hours of care charged for in last full accounting year]])</f>
        <v>0</v>
      </c>
      <c r="LO65" s="30">
        <f>IF(OR(NOT(DATA[[#This Row],[Other non-staff current expenses]]&gt;0),NOT(DATA[[#This Row],[Number of hours of care charged for in last full accounting year]]&gt;0)),0,DATA[[#This Row],[Other non-staff current expenses]]/DATA[[#This Row],[Number of hours of care charged for in last full accounting year]])</f>
        <v>0</v>
      </c>
      <c r="LP65"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65"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65" s="30">
        <f>IF(OR(NOT(DATA[[#This Row],[Central / Regional Management]]&gt;0),NOT(DATA[[#This Row],[Number of hours of care charged for in last full accounting year]]&gt;0)),0,DATA[[#This Row],[Central / Regional Management]]/DATA[[#This Row],[Number of hours of care charged for in last full accounting year]])</f>
        <v>0</v>
      </c>
      <c r="LS65"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0.30769230769230771</v>
      </c>
      <c r="LT65"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65"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65" s="30">
        <f>SUM(DATA[[#This Row],[Management staff HOURLY RATE]:[Corporate Overheads: Other  - please specify (amount) 2 HOURLY RATE]])</f>
        <v>13.147384615384613</v>
      </c>
      <c r="LW65" s="30">
        <f>IF(OR(NOT(DATA[[#This Row],[Net Operating Profit]]&gt;0),NOT(DATA[[#This Row],[Number of hours of care charged for in last full accounting year]]&gt;0)),"",DATA[[#This Row],[Net Operating Profit]]/DATA[[#This Row],[Number of hours of care charged for in last full accounting year]])</f>
        <v>1.8526153846153846</v>
      </c>
      <c r="LX65" s="30">
        <f>IF(OR(NOT(DATA[[#This Row],[Return on Capital employed]]&gt;0),NOT(DATA[[#This Row],[Number of hours of care charged for in last full accounting year]]&gt;0)),0,DATA[[#This Row],[Return on Capital employed]]/DATA[[#This Row],[Number of hours of care charged for in last full accounting year]])</f>
        <v>0</v>
      </c>
      <c r="LY65" s="31">
        <v>59</v>
      </c>
      <c r="LZ65" s="30" t="s">
        <v>358</v>
      </c>
      <c r="MA65" s="30" t="b">
        <f>DATA[[#This Row],[Number of Home support clients:]]&gt;0</f>
        <v>1</v>
      </c>
      <c r="MB65" s="30" t="b">
        <f>DATA[[#This Row],[Number of supported living clients:]]&gt;0</f>
        <v>0</v>
      </c>
      <c r="MC65" s="30" t="b">
        <f>DATA[[#This Row],[Total Home Support Hours]]&gt;0</f>
        <v>1</v>
      </c>
      <c r="MD65" s="30" t="b">
        <f>DATA[[#This Row],[Total Supported Living Hours]]&gt;0</f>
        <v>0</v>
      </c>
      <c r="ME65" s="30" t="b">
        <f>DATA[[#This Row],[Home Support service split percentage (Expenditure):]]&gt;0.5</f>
        <v>1</v>
      </c>
      <c r="MF65" s="30" t="b">
        <f>DATA[[#This Row],[Agency staff HOURLY RATE]]=0</f>
        <v>1</v>
      </c>
      <c r="MG65" s="30">
        <f>IFERROR(IF(AVERAGE(DATA[[#This Row],[Registered manager: Current 2021/22 Minimum hourly pay rate ADJUSTED]],DATA[[#This Row],[Registered manager: Current 2021/22 Maximum hourly pay rate ADJUSTED]])&lt;LIVING_WAGE_22_23,DATA[[#This Row],[Registered manager: Numbers employed (Full Time Equivalent)]],0),"")</f>
        <v>0</v>
      </c>
      <c r="MH65" s="30">
        <f>IFERROR(IF(AVERAGE(DATA[[#This Row],[Deputy manager: Current 2021/22 Minimum hourly pay rate ADJUSTED]],DATA[[#This Row],[Deputy manager: Current 2021/22 Maximum hourly pay rate ADJUSTED]])&lt;LIVING_WAGE_22_23,DATA[[#This Row],[Deputy manager: Numbers employed (Full Time Equivalent)]],0),"")</f>
        <v>0</v>
      </c>
      <c r="MI65" s="30" t="str">
        <f>IFERROR(IF(AVERAGE(DATA[[#This Row],[Other manager 1: Current 2021/22 Minimum hourly pay rate ADJUSTED]],DATA[[#This Row],[Other manager 1: Current 2021/22 Maximum hourly pay rate ADJUSTED]])&lt;LIVING_WAGE_22_23,DATA[[#This Row],[Other manager 1: Numbers employed (Full Time Equivalent)]],0),"")</f>
        <v/>
      </c>
      <c r="MJ65" s="30" t="str">
        <f>IFERROR(IF(AVERAGE(DATA[[#This Row],[Other manager 2: Current 2021/22 Minimum hourly pay rate ADJUSTED]],DATA[[#This Row],[Other manager 2: Current 2021/22 Maximum hourly pay rate ADJUSTED]])&lt;LIVING_WAGE_22_23,DATA[[#This Row],[Other manager 2: Numbers employed (Full Time Equivalent)]],0),"")</f>
        <v/>
      </c>
      <c r="MK65" s="30" t="str">
        <f>IFERROR(IF(AVERAGE(DATA[[#This Row],[Other manager 3: Current 2021/22 Minimum hourly pay rate ADJUSTED]],DATA[[#This Row],[Other manager 3: Current 2021/22 Maximum hourly pay rate ADJUSTED]])&lt;LIVING_WAGE_22_23,DATA[[#This Row],[Other manager 3: Numbers employed (Full Time Equivalent)]],0),"")</f>
        <v/>
      </c>
      <c r="ML65" s="30">
        <f>IFERROR(IF(AVERAGE(DATA[[#This Row],[Care Assistant 1: Current 2021/22 Minimum hourly pay rate ADJUSTED]],DATA[[#This Row],[Care Assistant 1: Current 2021/22 Maximum hourly pay rate ADJUSTED]])&lt;LIVING_WAGE_22_23,DATA[[#This Row],[Care Assistant 1: Numbers employed (Full Time Equivalent)]],0),"")</f>
        <v>0</v>
      </c>
      <c r="MM65" s="30">
        <f>IFERROR(IF(AVERAGE(DATA[[#This Row],[Care Assistant 2: Current 2021/22 Minimum hourly pay rate ADJUSTED]],DATA[[#This Row],[Care Assistant 2: Current 2021/22 Maximum hourly pay rate ADJUSTED]])&lt;LIVING_WAGE_22_23,DATA[[#This Row],[Care Assistant 2: Numbers employed (Full Time Equivalent)]],0),"")</f>
        <v>0</v>
      </c>
      <c r="MN65" s="30" t="str">
        <f>IFERROR(IF(AVERAGE(DATA[[#This Row],[Care Assistant 3: Current 2021/22 Minimum hourly pay rate ADJUSTED]],DATA[[#This Row],[Care Assistant 3: Current 2021/22 Maximum hourly pay rate ADJUSTED]])&lt;LIVING_WAGE_22_23,DATA[[#This Row],[Care Assistant 3: Numbers employed (Full Time Equivalent)]],0),"")</f>
        <v/>
      </c>
      <c r="MO65" s="30" t="str">
        <f>IFERROR(IF(AVERAGE(DATA[[#This Row],[Care Assistant 4: Current 2021/22 Minimum hourly pay rate ADJUSTED]],DATA[[#This Row],[Care Assistant 4: Current 2021/22 Maximum hourly pay rate ADJUSTED]])&lt;LIVING_WAGE_22_23,DATA[[#This Row],[Care Assistant 4: Numbers employed (Full Time Equivalent)]],0),"")</f>
        <v/>
      </c>
      <c r="MP65"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65"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65" s="30" t="str">
        <f>IFERROR(IF(AVERAGE(DATA[[#This Row],[Other staff 1: Current 2021/22 Minimum hourly pay rate ADJUSTED]],DATA[[#This Row],[Other staff 1: Current 2021/22 Maximum hourly pay rate ADJUSTED]])&lt;LIVING_WAGE_22_23,DATA[[#This Row],[Other staff 1: Numbers employed (Full Time Equivalent)]],0),"")</f>
        <v/>
      </c>
      <c r="MS65" s="30" t="str">
        <f>IFERROR(IF(AVERAGE(DATA[[#This Row],[Other staff 2: Current 2021/22 Minimum hourly pay rate ADJUSTED]],DATA[[#This Row],[Other staff 2: Current 2021/22 Maximum hourly pay rate ADJUSTED]])&lt;LIVING_WAGE_22_23,DATA[[#This Row],[Other staff 2: Numbers employed (Full Time Equivalent)]],0),"")</f>
        <v/>
      </c>
      <c r="MT65" s="30" t="str">
        <f>IFERROR(IF(AVERAGE(DATA[[#This Row],[Other staff 3: Current 2021/22 Minimum hourly pay rate ADJUSTED]],DATA[[#This Row],[Other staff 3: Current 2021/22 Maximum hourly pay rate ADJUSTED]])&lt;LIVING_WAGE_22_23,DATA[[#This Row],[Other staff 3: Numbers employed (Full Time Equivalent)]],0),"")</f>
        <v/>
      </c>
      <c r="MU65" s="30">
        <f>SUM(DATA[[#This Row],[Registered Manager FTE earning less than NLW 23yrs 2022/23]:[Other staff 3 FTE earning less than NLW 23yrs 2022/23]])</f>
        <v>0</v>
      </c>
      <c r="MV65"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65"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65"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65"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65"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5"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65"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65"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65"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5"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65"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65"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65"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5"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5" s="30" t="b">
        <v>1</v>
      </c>
      <c r="NK65" s="30" t="b">
        <v>0</v>
      </c>
      <c r="NL65" s="30" t="s">
        <v>973</v>
      </c>
      <c r="NM65" s="30">
        <f>SUM(DATA[[#This Row],[Management staff HOURLY RATE]:[Training and development HOURLY RATE]])</f>
        <v>12.351384615384614</v>
      </c>
      <c r="NN65" s="30">
        <f>SUM(DATA[[#This Row],[Recruitment &amp; advertising (including DBS checks) HOURLY RATE]:[Non-Staffing Direct Cost: Other  - please specify (amount) 2 HOURLY RATE]])</f>
        <v>0.38215384615384612</v>
      </c>
      <c r="NO65" s="30">
        <f>SUM(DATA[[#This Row],[Insurance  HOURLY RATE]:[Indirect costs: Other  - please specify (amount) 2 HOURLY RATE]])</f>
        <v>0.10615384615384615</v>
      </c>
      <c r="NP65" s="30">
        <f>SUM(DATA[[#This Row],[Central / Regional Management HOURLY RATE]:[Corporate Overheads: Other  - please specify (amount) 2 HOURLY RATE]])</f>
        <v>0.30769230769230771</v>
      </c>
      <c r="NQ65"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65" s="30">
        <f>IFERROR(IF(AVERAGE(DATA[[#This Row],[Deputy manager: Current 2021/22 Minimum hourly pay rate ADJUSTED]],DATA[[#This Row],[Deputy manager: Current 2021/22 Maximum hourly pay rate ADJUSTED]])&lt;REAL_LIVING_WAGE_22_23,DATA[[#This Row],[Deputy manager: Numbers employed (Full Time Equivalent)]],0),"")</f>
        <v>0</v>
      </c>
      <c r="NS65" s="30" t="str">
        <f>IFERROR(IF(AVERAGE(DATA[[#This Row],[Other manager 1: Current 2021/22 Minimum hourly pay rate ADJUSTED]],DATA[[#This Row],[Other manager 1: Current 2021/22 Maximum hourly pay rate ADJUSTED]])&lt;REAL_LIVING_WAGE_22_23,DATA[[#This Row],[Other manager 1: Numbers employed (Full Time Equivalent)]],0),"")</f>
        <v/>
      </c>
      <c r="NT65" s="30" t="str">
        <f>IFERROR(IF(AVERAGE(DATA[[#This Row],[Other manager 2: Current 2021/22 Minimum hourly pay rate ADJUSTED]],DATA[[#This Row],[Other manager 2: Current 2021/22 Maximum hourly pay rate ADJUSTED]])&lt;REAL_LIVING_WAGE_22_23,DATA[[#This Row],[Other manager 2: Numbers employed (Full Time Equivalent)]],0),"")</f>
        <v/>
      </c>
      <c r="NU65" s="30" t="str">
        <f>IFERROR(IF(AVERAGE(DATA[[#This Row],[Other manager 3: Current 2021/22 Minimum hourly pay rate ADJUSTED]],DATA[[#This Row],[Other manager 3: Current 2021/22 Maximum hourly pay rate ADJUSTED]])&lt;REAL_LIVING_WAGE_22_23,DATA[[#This Row],[Other manager 3: Numbers employed (Full Time Equivalent)]],0),"")</f>
        <v/>
      </c>
      <c r="NV65" s="30">
        <f>IFERROR(IF(AVERAGE(DATA[[#This Row],[Care Assistant 1: Current 2021/22 Minimum hourly pay rate ADJUSTED]],DATA[[#This Row],[Care Assistant 1: Current 2021/22 Maximum hourly pay rate ADJUSTED]])&lt;REAL_LIVING_WAGE_22_23,DATA[[#This Row],[Care Assistant 1: Numbers employed (Full Time Equivalent)]],0),"")</f>
        <v>0</v>
      </c>
      <c r="NW65" s="30">
        <f>IFERROR(IF(AVERAGE(DATA[[#This Row],[Care Assistant 2: Current 2021/22 Minimum hourly pay rate ADJUSTED]],DATA[[#This Row],[Care Assistant 2: Current 2021/22 Maximum hourly pay rate ADJUSTED]])&lt;REAL_LIVING_WAGE_22_23,DATA[[#This Row],[Care Assistant 2: Numbers employed (Full Time Equivalent)]],0),"")</f>
        <v>0</v>
      </c>
      <c r="NX65"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65"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5"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65"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65" s="30" t="str">
        <f>IFERROR(IF(AVERAGE(DATA[[#This Row],[Other staff 1: Current 2021/22 Minimum hourly pay rate ADJUSTED]],DATA[[#This Row],[Other staff 1: Current 2021/22 Maximum hourly pay rate ADJUSTED]])&lt;REAL_LIVING_WAGE_22_23,DATA[[#This Row],[Other staff 1: Numbers employed (Full Time Equivalent)]],0),"")</f>
        <v/>
      </c>
      <c r="OC65" s="30" t="str">
        <f>IFERROR(IF(AVERAGE(DATA[[#This Row],[Other staff 2: Current 2021/22 Minimum hourly pay rate ADJUSTED]],DATA[[#This Row],[Other staff 2: Current 2021/22 Maximum hourly pay rate ADJUSTED]])&lt;REAL_LIVING_WAGE_22_23,DATA[[#This Row],[Other staff 2: Numbers employed (Full Time Equivalent)]],0),"")</f>
        <v/>
      </c>
      <c r="OD65" s="30" t="str">
        <f>IFERROR(IF(AVERAGE(DATA[[#This Row],[Other staff 3: Current 2021/22 Minimum hourly pay rate ADJUSTED]],DATA[[#This Row],[Other staff 3: Current 2021/22 Maximum hourly pay rate ADJUSTED]])&lt;REAL_LIVING_WAGE_22_23,DATA[[#This Row],[Other staff 3: Numbers employed (Full Time Equivalent)]],0),"")</f>
        <v/>
      </c>
      <c r="OE65" s="30">
        <f>SUM(DATA[[#This Row],[Registered Manager FTE earning less than RLW 23yrs 2022/23]:[Other staff 3 FTE earning less than RLW 23yrs 2022/23]])</f>
        <v>0</v>
      </c>
      <c r="OF65"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65"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65"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65"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65"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5"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65"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65"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65"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5"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65"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65"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65"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5"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5" s="30">
        <f>IFERROR(IF(DATA[[#This Row],[Registered manager: Numbers employed (Full Time Equivalent)]]=0,"",DATA[[#This Row],[Registered manager: Current 2021/22 Minimum hourly pay rate ADJUSTED 2]]*DATA[[#This Row],[Registered manager: Numbers employed (Full Time Equivalent)]]),"")</f>
        <v>175</v>
      </c>
      <c r="OU65" s="30">
        <f>IFERROR(IF(DATA[[#This Row],[Registered manager: Numbers employed (Full Time Equivalent)]]=0,"",DATA[[#This Row],[Registered manager: Current 2021/22 Maximum hourly pay rate ADJUSTED 2]]*DATA[[#This Row],[Registered manager: Numbers employed (Full Time Equivalent)]]),"")</f>
        <v>200</v>
      </c>
      <c r="OV65" s="30">
        <f>IFERROR(IF(DATA[[#This Row],[Registered manager: Numbers employed (Full Time Equivalent)]]=0,"",DATA[[#This Row],[Registered manager: Previous 2020/21 Minimum hourly pay rate ADJUSTED 2]]*DATA[[#This Row],[Registered manager: Numbers employed (Full Time Equivalent)]]),"")</f>
        <v>170</v>
      </c>
      <c r="OW65" s="30">
        <f>IFERROR(IF(DATA[[#This Row],[Registered manager: Numbers employed (Full Time Equivalent)]]=0,"",DATA[[#This Row],[Registered manager: Previous 2020/21 Maximum hourly pay rate ADJUSTED 2]]*DATA[[#This Row],[Registered manager: Numbers employed (Full Time Equivalent)]]),"")</f>
        <v>195</v>
      </c>
      <c r="OX65" s="30">
        <f>IFERROR(IF(DATA[[#This Row],[Deputy manager: Numbers employed (Full Time Equivalent)]]=0,"",DATA[[#This Row],[Deputy manager: Current 2021/22 Minimum hourly pay rate ADJUSTED 2]]*DATA[[#This Row],[Deputy manager: Numbers employed (Full Time Equivalent)]]),"")</f>
        <v>112</v>
      </c>
      <c r="OY65" s="30">
        <f>IFERROR(IF(DATA[[#This Row],[Deputy manager: Numbers employed (Full Time Equivalent)]]=0,"",DATA[[#This Row],[Deputy manager: Current 2021/22 Maximum hourly pay rate ADJUSTED 2]]*DATA[[#This Row],[Deputy manager: Numbers employed (Full Time Equivalent)]]),"")</f>
        <v>140</v>
      </c>
      <c r="OZ65" s="30">
        <f>IFERROR(IF(DATA[[#This Row],[Deputy manager: Numbers employed (Full Time Equivalent)]]=0,"",DATA[[#This Row],[Deputy manager: Previous 2020/21 Minimum hourly pay rate ADJUSTED 2]]*DATA[[#This Row],[Deputy manager: Numbers employed (Full Time Equivalent)]]),"")</f>
        <v>108</v>
      </c>
      <c r="PA65" s="30">
        <f>IFERROR(IF(DATA[[#This Row],[Deputy manager: Numbers employed (Full Time Equivalent)]]=0,"",DATA[[#This Row],[Deputy manager: Previous 2020/21 Maximum hourly pay rate ADJUSTED 2]]*DATA[[#This Row],[Deputy manager: Numbers employed (Full Time Equivalent)]]),"")</f>
        <v>136</v>
      </c>
      <c r="PB65" s="30" t="str">
        <f>IFERROR(IF(DATA[[#This Row],[Other manager 1: Numbers employed (Full Time Equivalent)]]=0,"",DATA[[#This Row],[Other manager 1: Current 2021/22 Minimum hourly pay rate ADJUSTED 2]]*DATA[[#This Row],[Other manager 1: Numbers employed (Full Time Equivalent)]]),"")</f>
        <v/>
      </c>
      <c r="PC65" s="30" t="str">
        <f>IFERROR(IF(DATA[[#This Row],[Other manager 1: Numbers employed (Full Time Equivalent)]]=0,"",DATA[[#This Row],[Other manager 1: Current 2021/22 Maximum hourly pay rate ADJUSTED 2]]*DATA[[#This Row],[Other manager 1: Numbers employed (Full Time Equivalent)]]),"")</f>
        <v/>
      </c>
      <c r="PD65" s="30" t="str">
        <f>IFERROR(IF(DATA[[#This Row],[Other manager 1: Numbers employed (Full Time Equivalent)]]=0,"",DATA[[#This Row],[Other manager 1: Previous 2020/21 Minimum hourly pay rate ADJUSTED 2]]*DATA[[#This Row],[Other manager 1: Numbers employed (Full Time Equivalent)]]),"")</f>
        <v/>
      </c>
      <c r="PE65" s="30" t="str">
        <f>IFERROR(IF(DATA[[#This Row],[Other manager 1: Numbers employed (Full Time Equivalent)]]=0,"",DATA[[#This Row],[Other manager 1: Previous 2020/21 Maximum hourly pay rate ADJUSTED 2]]*DATA[[#This Row],[Other manager 1: Numbers employed (Full Time Equivalent)]]),"")</f>
        <v/>
      </c>
      <c r="PF65" s="30" t="str">
        <f>IFERROR(IF(DATA[[#This Row],[Other manager 2: Numbers employed (Full Time Equivalent)]]=0,"",DATA[[#This Row],[Other manager 2: Current 2021/22 Minimum hourly pay rate ADJUSTED 2]]*DATA[[#This Row],[Other manager 2: Numbers employed (Full Time Equivalent)]]),"")</f>
        <v/>
      </c>
      <c r="PG65" s="30" t="str">
        <f>IFERROR(IF(DATA[[#This Row],[Other manager 2: Numbers employed (Full Time Equivalent)]]=0,"",DATA[[#This Row],[Other manager 2: Current 2021/22 Maximum hourly pay rate ADJUSTED 2]]*DATA[[#This Row],[Other manager 2: Numbers employed (Full Time Equivalent)]]),"")</f>
        <v/>
      </c>
      <c r="PH65" s="30" t="str">
        <f>IFERROR(IF(DATA[[#This Row],[Other manager 2: Numbers employed (Full Time Equivalent)]]=0,"",DATA[[#This Row],[Other manager 2: Previous 2020/21 Minimum hourly pay rate ADJUSTED 2]]*DATA[[#This Row],[Other manager 2: Numbers employed (Full Time Equivalent)]]),"")</f>
        <v/>
      </c>
      <c r="PI65" s="30" t="str">
        <f>IFERROR(IF(DATA[[#This Row],[Other manager 2: Numbers employed (Full Time Equivalent)]]=0,"",DATA[[#This Row],[Other manager 2: Previous 2020/21 Maximum hourly pay rate ADJUSTED 2]]*DATA[[#This Row],[Other manager 2: Numbers employed (Full Time Equivalent)]]),"")</f>
        <v/>
      </c>
      <c r="PJ65" s="30" t="str">
        <f>IFERROR(IF(DATA[[#This Row],[Other manager 3: Numbers employed (Full Time Equivalent)]]=0,"",DATA[[#This Row],[Other manager 3: Current 2021/22 Minimum hourly pay rate ADJUSTED 2]]*DATA[[#This Row],[Other manager 3: Numbers employed (Full Time Equivalent)]]),"")</f>
        <v/>
      </c>
      <c r="PK65" s="30" t="str">
        <f>IFERROR(IF(DATA[[#This Row],[Other manager 3: Numbers employed (Full Time Equivalent)]]=0,"",DATA[[#This Row],[Other manager 3: Current 2021/22 Maximum hourly pay rate ADJUSTED 2]]*DATA[[#This Row],[Other manager 3: Numbers employed (Full Time Equivalent)]]),"")</f>
        <v/>
      </c>
      <c r="PL65" s="30" t="str">
        <f>IFERROR(IF(DATA[[#This Row],[Other manager 3: Numbers employed (Full Time Equivalent)]]=0,"",DATA[[#This Row],[Other manager 3: Previous 2020/21 Minimum hourly pay rate ADJUSTED 2]]*DATA[[#This Row],[Other manager 3: Numbers employed (Full Time Equivalent)]]),"")</f>
        <v/>
      </c>
      <c r="PM65" s="30" t="str">
        <f>IFERROR(IF(DATA[[#This Row],[Other manager 3: Numbers employed (Full Time Equivalent)]]=0,"",DATA[[#This Row],[Other manager 3: Previous 2020/21 Maximum hourly pay rate ADJUSTED 2]]*DATA[[#This Row],[Other manager 3: Numbers employed (Full Time Equivalent)]]),"")</f>
        <v/>
      </c>
      <c r="PN65" s="30">
        <f>IFERROR(IF(DATA[[#This Row],[Care Assistant 1: Numbers employed (Full Time Equivalent)]]=0,"",DATA[[#This Row],[Care Assistant 1: Current 2021/22 Minimum hourly pay rate ADJUSTED 2]]*DATA[[#This Row],[Care Assistant 1: Numbers employed (Full Time Equivalent)]]),"")</f>
        <v>3564.75</v>
      </c>
      <c r="PO65" s="30">
        <f>IFERROR(IF(DATA[[#This Row],[Care Assistant 1: Numbers employed (Full Time Equivalent)]]=0,"",DATA[[#This Row],[Care Assistant 1: Current 2021/22 Maximum hourly pay rate ADJUSTED 2]]*DATA[[#This Row],[Care Assistant 1: Numbers employed (Full Time Equivalent)]]),"")</f>
        <v>4054.75</v>
      </c>
      <c r="PP65" s="30">
        <f>IFERROR(IF(DATA[[#This Row],[Care Assistant 1: Numbers employed (Full Time Equivalent)]]=0,"",DATA[[#This Row],[Care Assistant 1: Previous 2020/21 Minimum hourly pay rate ADJUSTED 2]]*DATA[[#This Row],[Care Assistant 1: Numbers employed (Full Time Equivalent)]]),"")</f>
        <v>3393.25</v>
      </c>
      <c r="PQ65" s="30">
        <f>IFERROR(IF(DATA[[#This Row],[Care Assistant 1: Numbers employed (Full Time Equivalent)]]=0,"",DATA[[#This Row],[Care Assistant 1: Previous 2020/21 Maximum hourly pay rate ADJUSTED 2]]*DATA[[#This Row],[Care Assistant 1: Numbers employed (Full Time Equivalent)]]),"")</f>
        <v>3907.75</v>
      </c>
      <c r="PR65" s="30">
        <f>IFERROR(IF(DATA[[#This Row],[Care Assistant 2: Numbers employed (Full Time Equivalent)]]=0,"",DATA[[#This Row],[Care Assistant 2: Current 2021/22 Minimum hourly pay rate ADJUSTED 2]]*DATA[[#This Row],[Care Assistant 2: Numbers employed (Full Time Equivalent)]]),"")</f>
        <v>1710.5</v>
      </c>
      <c r="PS65" s="30">
        <f>IFERROR(IF(DATA[[#This Row],[Care Assistant 2: Numbers employed (Full Time Equivalent)]]=0,"",DATA[[#This Row],[Care Assistant 2: Current 2021/22 Maximum hourly pay rate ADJUSTED 2]]*DATA[[#This Row],[Care Assistant 2: Numbers employed (Full Time Equivalent)]]),"")</f>
        <v>1930.5</v>
      </c>
      <c r="PT65" s="30">
        <f>IFERROR(IF(DATA[[#This Row],[Care Assistant 2: Numbers employed (Full Time Equivalent)]]=0,"",DATA[[#This Row],[Care Assistant 2: Previous 2020/21 Minimum hourly pay rate ADJUSTED 2]]*DATA[[#This Row],[Care Assistant 2: Numbers employed (Full Time Equivalent)]]),"")</f>
        <v>1633.5</v>
      </c>
      <c r="PU65" s="30">
        <f>IFERROR(IF(DATA[[#This Row],[Care Assistant 2: Numbers employed (Full Time Equivalent)]]=0,"",DATA[[#This Row],[Care Assistant 2: Previous 2020/21 Maximum hourly pay rate ADJUSTED 2]]*DATA[[#This Row],[Care Assistant 2: Numbers employed (Full Time Equivalent)]]),"")</f>
        <v>1644.5</v>
      </c>
      <c r="PV65" s="30" t="str">
        <f>IFERROR(IF(DATA[[#This Row],[Care Assistant 3: Numbers employed (Full Time Equivalent)]]=0,"",DATA[[#This Row],[Care Assistant 3: Current 2021/22 Minimum hourly pay rate ADJUSTED 2]]*DATA[[#This Row],[Care Assistant 3: Numbers employed (Full Time Equivalent)]]),"")</f>
        <v/>
      </c>
      <c r="PW65" s="30" t="str">
        <f>IFERROR(IF(DATA[[#This Row],[Care Assistant 3: Numbers employed (Full Time Equivalent)]]=0,"",DATA[[#This Row],[Care Assistant 3: Current 2021/22 Maximum hourly pay rate ADJUSTED 2]]*DATA[[#This Row],[Care Assistant 3: Numbers employed (Full Time Equivalent)]]),"")</f>
        <v/>
      </c>
      <c r="PX65" s="30" t="str">
        <f>IFERROR(IF(DATA[[#This Row],[Care Assistant 3: Numbers employed (Full Time Equivalent)]]=0,"",DATA[[#This Row],[Care Assistant 3: Previous 2020/21 Minimum hourly pay rate ADJUSTED 2]]*DATA[[#This Row],[Care Assistant 3: Numbers employed (Full Time Equivalent)]]),"")</f>
        <v/>
      </c>
      <c r="PY65" s="30" t="str">
        <f>IFERROR(IF(DATA[[#This Row],[Care Assistant 3: Numbers employed (Full Time Equivalent)]]=0,"",DATA[[#This Row],[Care Assistant 3: Previous 2020/21 Maximum hourly pay rate ADJUSTED 2]]*DATA[[#This Row],[Care Assistant 3: Numbers employed (Full Time Equivalent)]]),"")</f>
        <v/>
      </c>
      <c r="PZ65" s="30" t="str">
        <f>IFERROR(IF(DATA[[#This Row],[Care Assistant 4: Numbers employed (Full Time Equivalent)]]=0,"",DATA[[#This Row],[Care Assistant 4: Current 2021/22 Minimum hourly pay rate ADJUSTED 2]]*DATA[[#This Row],[Care Assistant 4: Numbers employed (Full Time Equivalent)]]),"")</f>
        <v/>
      </c>
      <c r="QA65" s="30" t="str">
        <f>IFERROR(IF(DATA[[#This Row],[Care Assistant 4: Numbers employed (Full Time Equivalent)]]=0,"",DATA[[#This Row],[Care Assistant 4: Current 2021/22 Maximum hourly pay rate ADJUSTED 2]]*DATA[[#This Row],[Care Assistant 4: Numbers employed (Full Time Equivalent)]]),"")</f>
        <v/>
      </c>
      <c r="QB65" s="30" t="str">
        <f>IFERROR(IF(DATA[[#This Row],[Care Assistant 4: Numbers employed (Full Time Equivalent)]]=0,"",DATA[[#This Row],[Care Assistant 4: Previous 2020/21 Minimum hourly pay rate ADJUSTED 2]]*DATA[[#This Row],[Care Assistant 4: Numbers employed (Full Time Equivalent)]]),"")</f>
        <v/>
      </c>
      <c r="QC65" s="30" t="str">
        <f>IFERROR(IF(DATA[[#This Row],[Care Assistant 4: Numbers employed (Full Time Equivalent)]]=0,"",DATA[[#This Row],[Care Assistant 4: Previous 2020/21 Maximum hourly pay rate ADJUSTED 2]]*DATA[[#This Row],[Care Assistant 4: Numbers employed (Full Time Equivalent)]]),"")</f>
        <v/>
      </c>
      <c r="QD65" s="30">
        <f>IFERROR(IF(DATA[[#This Row],[Administrative Officer 1: Numbers employed (Full Time Equivalent)]]=0,"",DATA[[#This Row],[Administrative Officer 1: Current 2021/22 Minimum hourly pay rate ADJUSTED 2]]*DATA[[#This Row],[Administrative Officer 1: Numbers employed (Full Time Equivalent)]]),"")</f>
        <v>437.5</v>
      </c>
      <c r="QE65" s="30">
        <f>IFERROR(IF(DATA[[#This Row],[Administrative Officer 1: Numbers employed (Full Time Equivalent)]]=0,"",DATA[[#This Row],[Administrative Officer 1: Current 2021/22 Maximum hourly pay rate ADJUSTED 2]]*DATA[[#This Row],[Administrative Officer 1: Numbers employed (Full Time Equivalent)]]),"")</f>
        <v>487.5</v>
      </c>
      <c r="QF65" s="30">
        <f>IFERROR(IF(DATA[[#This Row],[Administrative Officer 1: Numbers employed (Full Time Equivalent)]]=0,"",DATA[[#This Row],[Administrative Officer 1: Previous 2020/21 Minimum hourly pay rate ADJUSTED 2]]*DATA[[#This Row],[Administrative Officer 1: Numbers employed (Full Time Equivalent)]]),"")</f>
        <v>412.5</v>
      </c>
      <c r="QG65" s="30">
        <f>IFERROR(IF(DATA[[#This Row],[Administrative Officer 1: Numbers employed (Full Time Equivalent)]]=0,"",DATA[[#This Row],[Administrative Officer 1: Previous 2020/21 Maximum hourly pay rate ADJUSTED 2]]*DATA[[#This Row],[Administrative Officer 1: Numbers employed (Full Time Equivalent)]]),"")</f>
        <v>462.5</v>
      </c>
      <c r="QH65" s="30" t="str">
        <f>IFERROR(IF(DATA[[#This Row],[Administrative Officer 2: Numbers employed (Full Time Equivalent)]]=0,"",DATA[[#This Row],[Administrative Officer 2: Current 2021/22 Minimum hourly pay rate ADJUSTED 2]]*DATA[[#This Row],[Administrative Officer 2: Numbers employed (Full Time Equivalent)]]),"")</f>
        <v/>
      </c>
      <c r="QI65" s="30" t="str">
        <f>IFERROR(IF(DATA[[#This Row],[Administrative Officer 2: Numbers employed (Full Time Equivalent)]]=0,"",DATA[[#This Row],[Administrative Officer 2: Current 2021/22 Maximum hourly pay rate ADJUSTED 2]]*DATA[[#This Row],[Administrative Officer 2: Numbers employed (Full Time Equivalent)]]),"")</f>
        <v/>
      </c>
      <c r="QJ65" s="30" t="str">
        <f>IFERROR(IF(DATA[[#This Row],[Administrative Officer 2: Numbers employed (Full Time Equivalent)]]=0,"",DATA[[#This Row],[Administrative Officer 2: Previous 2020/21 Minimum hourly pay rate ADJUSTED 2]]*DATA[[#This Row],[Administrative Officer 2: Numbers employed (Full Time Equivalent)]]),"")</f>
        <v/>
      </c>
      <c r="QK65" s="30" t="str">
        <f>IFERROR(IF(DATA[[#This Row],[Administrative Officer 2: Numbers employed (Full Time Equivalent)]]=0,"",DATA[[#This Row],[Administrative Officer 2: Previous 2020/21 Maximum hourly pay rate ADJUSTED 2]]*DATA[[#This Row],[Administrative Officer 2: Numbers employed (Full Time Equivalent)]]),"")</f>
        <v/>
      </c>
      <c r="QL65" s="30" t="str">
        <f>IFERROR(IF(DATA[[#This Row],[Administrative Officer 3: Numbers employed (Full Time Equivalent)]]=0,"",DATA[[#This Row],[Administrative Officer 3: Current 2021/22 Minimum hourly pay rate ADJUSTED 2]]*DATA[[#This Row],[Administrative Officer 3: Numbers employed (Full Time Equivalent)]]),"")</f>
        <v/>
      </c>
      <c r="QM65" s="30" t="str">
        <f>IFERROR(IF(DATA[[#This Row],[Administrative Officer 3: Numbers employed (Full Time Equivalent)]]=0,"",DATA[[#This Row],[Administrative Officer 3: Current 2021/22 Maximum hourly pay rate ADJUSTED 2]]*DATA[[#This Row],[Administrative Officer 3: Numbers employed (Full Time Equivalent)]]),"")</f>
        <v/>
      </c>
      <c r="QN65" s="30" t="str">
        <f>IFERROR(IF(DATA[[#This Row],[Administrative Officer 3: Numbers employed (Full Time Equivalent)]]=0,"",DATA[[#This Row],[Administrative Officer 3: Previous 2020/21 Minimum hourly pay rate ADJUSTED 2]]*DATA[[#This Row],[Administrative Officer 3: Numbers employed (Full Time Equivalent)]]),"")</f>
        <v/>
      </c>
      <c r="QO65" s="30" t="str">
        <f>IFERROR(IF(DATA[[#This Row],[Administrative Officer 3: Numbers employed (Full Time Equivalent)]]=0,"",DATA[[#This Row],[Administrative Officer 3: Previous 2020/21 Maximum hourly pay rate ADJUSTED 2]]*DATA[[#This Row],[Administrative Officer 3: Numbers employed (Full Time Equivalent)]]),"")</f>
        <v/>
      </c>
      <c r="QP65" s="28" t="str">
        <f>IFERROR(IF(DATA[[#This Row],[Other staff 1: Numbers employed (Full Time Equivalent)]]=0,"",DATA[[#This Row],[Other staff 1: Current 2021/22 Minimum hourly pay rate ADJUSTED 2]]*DATA[[#This Row],[Other staff 1: Numbers employed (Full Time Equivalent)]]),"")</f>
        <v/>
      </c>
      <c r="QQ65" s="28" t="str">
        <f>IFERROR(IF(DATA[[#This Row],[Other staff 1: Numbers employed (Full Time Equivalent)]]=0,"",DATA[[#This Row],[Other staff 1: Current 2021/22 Maximum hourly pay rate ADJUSTED 2]]*DATA[[#This Row],[Other staff 1: Numbers employed (Full Time Equivalent)]]),"")</f>
        <v/>
      </c>
      <c r="QR65" s="28" t="str">
        <f>IFERROR(IF(DATA[[#This Row],[Other staff 1: Numbers employed (Full Time Equivalent)]]=0,"",DATA[[#This Row],[Other staff 1: Previous 2020/21 Minimum hourly pay rate ADJUSTED 2]]*DATA[[#This Row],[Other staff 1: Numbers employed (Full Time Equivalent)]]),"")</f>
        <v/>
      </c>
      <c r="QS65" s="28" t="str">
        <f>IFERROR(IF(DATA[[#This Row],[Other staff 1: Numbers employed (Full Time Equivalent)]]=0,"",DATA[[#This Row],[Other staff 1: Previous 2020/21 Maximum hourly pay rate ADJUSTED 2]]*DATA[[#This Row],[Other staff 1: Numbers employed (Full Time Equivalent)]]),"")</f>
        <v/>
      </c>
      <c r="QT65" s="28" t="str">
        <f>IFERROR(IF(DATA[[#This Row],[Other staff 2: Numbers employed (Full Time Equivalent)]]=0,"",DATA[[#This Row],[Other staff 2: Current 2021/22 Minimum hourly pay rate ADJUSTED 2]]*DATA[[#This Row],[Other staff 2: Numbers employed (Full Time Equivalent)]]),"")</f>
        <v/>
      </c>
      <c r="QU65" s="28" t="str">
        <f>IFERROR(IF(DATA[[#This Row],[Other staff 2: Numbers employed (Full Time Equivalent)]]=0,"",DATA[[#This Row],[Other staff 2: Current 2021/22 Maximum hourly pay rate ADJUSTED 2]]*DATA[[#This Row],[Other staff 2: Numbers employed (Full Time Equivalent)]]),"")</f>
        <v/>
      </c>
      <c r="QV65" s="28" t="str">
        <f>IFERROR(IF(DATA[[#This Row],[Other staff 2: Numbers employed (Full Time Equivalent)]]=0,"",DATA[[#This Row],[Other staff 2: Previous 2020/21 Minimum hourly pay rate ADJUSTED 2]]*DATA[[#This Row],[Other staff 2: Numbers employed (Full Time Equivalent)]]),"")</f>
        <v/>
      </c>
      <c r="QW65" s="28" t="str">
        <f>IFERROR(IF(DATA[[#This Row],[Other staff 2: Numbers employed (Full Time Equivalent)]]=0,"",DATA[[#This Row],[Other staff 2: Previous 2020/21 Maximum hourly pay rate ADJUSTED 2]]*DATA[[#This Row],[Other staff 2: Numbers employed (Full Time Equivalent)]]),"")</f>
        <v/>
      </c>
      <c r="QX65" s="28" t="str">
        <f>IFERROR(IF(DATA[[#This Row],[Other staff 3: Numbers employed (Full Time Equivalent)]]=0,"",DATA[[#This Row],[Other staff 3: Current 2021/22 Minimum hourly pay rate ADJUSTED 2]]*DATA[[#This Row],[Other staff 3: Numbers employed (Full Time Equivalent)]]),"")</f>
        <v/>
      </c>
      <c r="QY65" s="28" t="str">
        <f>IFERROR(IF(DATA[[#This Row],[Other staff 3: Numbers employed (Full Time Equivalent)]]=0,"",DATA[[#This Row],[Other staff 3: Current 2021/22 Maximum hourly pay rate ADJUSTED 2]]*DATA[[#This Row],[Other staff 3: Numbers employed (Full Time Equivalent)]]),"")</f>
        <v/>
      </c>
      <c r="QZ65" s="28" t="str">
        <f>IFERROR(IF(DATA[[#This Row],[Other staff 3: Numbers employed (Full Time Equivalent)]]=0,"",DATA[[#This Row],[Other staff 3: Previous 2020/21 Minimum hourly pay rate ADJUSTED 2]]*DATA[[#This Row],[Other staff 3: Numbers employed (Full Time Equivalent)]]),"")</f>
        <v/>
      </c>
      <c r="RA65" s="28" t="str">
        <f>IFERROR(IF(DATA[[#This Row],[Other staff 3: Numbers employed (Full Time Equivalent)]]=0,"",DATA[[#This Row],[Other staff 3: Previous 2020/21 Maximum hourly pay rate ADJUSTED 2]]*DATA[[#This Row],[Other staff 3: Numbers employed (Full Time Equivalent)]]),"")</f>
        <v/>
      </c>
      <c r="RB65"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5</v>
      </c>
      <c r="RC65"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4</v>
      </c>
      <c r="RD65"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65"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65"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5"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245</v>
      </c>
      <c r="RH65"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110</v>
      </c>
      <c r="RI65"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65"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5"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25</v>
      </c>
      <c r="RL65"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65"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65"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65"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5"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6" spans="7:484" x14ac:dyDescent="0.25">
      <c r="G66" s="2">
        <v>60</v>
      </c>
      <c r="H66" s="2">
        <v>29</v>
      </c>
      <c r="I66" s="2">
        <v>0</v>
      </c>
      <c r="J66" s="2">
        <v>1</v>
      </c>
      <c r="K66" s="2">
        <v>0</v>
      </c>
      <c r="L66" s="2" t="s">
        <v>328</v>
      </c>
      <c r="M66" s="2" t="s">
        <v>365</v>
      </c>
      <c r="R66" s="2">
        <v>16</v>
      </c>
      <c r="S66" s="2">
        <v>16</v>
      </c>
      <c r="T66" s="2">
        <v>16</v>
      </c>
      <c r="U66" s="2">
        <v>16</v>
      </c>
      <c r="V66" s="2">
        <v>1</v>
      </c>
      <c r="W66" s="2">
        <v>0</v>
      </c>
      <c r="X66" s="2">
        <v>0</v>
      </c>
      <c r="Y66" s="2">
        <v>0</v>
      </c>
      <c r="Z66" s="2">
        <v>0</v>
      </c>
      <c r="AA66" s="2">
        <v>0</v>
      </c>
      <c r="AB66" s="2" t="s">
        <v>576</v>
      </c>
      <c r="AC66" s="2">
        <v>16</v>
      </c>
      <c r="AD66" s="2">
        <v>16</v>
      </c>
      <c r="AE66" s="2">
        <v>16</v>
      </c>
      <c r="AF66" s="2">
        <v>16</v>
      </c>
      <c r="AG66" s="2">
        <v>1</v>
      </c>
      <c r="AH66" s="2" t="s">
        <v>315</v>
      </c>
      <c r="AI66" s="2">
        <v>0</v>
      </c>
      <c r="AJ66" s="2">
        <v>0</v>
      </c>
      <c r="AK66" s="2">
        <v>0</v>
      </c>
      <c r="AL66" s="2">
        <v>0</v>
      </c>
      <c r="AM66" s="2">
        <v>0</v>
      </c>
      <c r="AN66" s="2" t="s">
        <v>315</v>
      </c>
      <c r="AO66" s="2">
        <v>0</v>
      </c>
      <c r="AP66" s="2">
        <v>0</v>
      </c>
      <c r="AQ66" s="2">
        <v>0</v>
      </c>
      <c r="AR66" s="2">
        <v>0</v>
      </c>
      <c r="AS66" s="2">
        <v>0</v>
      </c>
      <c r="AT66" s="2" t="s">
        <v>316</v>
      </c>
      <c r="AU66" s="2">
        <v>8.91</v>
      </c>
      <c r="AV66" s="2">
        <v>17.82</v>
      </c>
      <c r="AW66" s="2">
        <v>8.7200000000000006</v>
      </c>
      <c r="AX66" s="2">
        <v>17.440000000000001</v>
      </c>
      <c r="AY66" s="2">
        <v>19.5</v>
      </c>
      <c r="AZ66" s="2" t="s">
        <v>577</v>
      </c>
      <c r="BA66" s="2">
        <v>9.31</v>
      </c>
      <c r="BB66" s="2">
        <v>18.62</v>
      </c>
      <c r="BC66" s="2">
        <v>9.1199999999999992</v>
      </c>
      <c r="BD66" s="2">
        <v>18.239999999999998</v>
      </c>
      <c r="BE66" s="2">
        <v>1</v>
      </c>
      <c r="BF66" s="2" t="s">
        <v>316</v>
      </c>
      <c r="BG66" s="2">
        <v>0</v>
      </c>
      <c r="BH66" s="2">
        <v>0</v>
      </c>
      <c r="BI66" s="2">
        <v>0</v>
      </c>
      <c r="BJ66" s="2">
        <v>0</v>
      </c>
      <c r="BK66" s="2">
        <v>0</v>
      </c>
      <c r="BL66" s="2" t="s">
        <v>316</v>
      </c>
      <c r="BM66" s="2">
        <v>0</v>
      </c>
      <c r="BN66" s="2">
        <v>0</v>
      </c>
      <c r="BO66" s="2">
        <v>0</v>
      </c>
      <c r="BP66" s="2">
        <v>0</v>
      </c>
      <c r="BQ66" s="2">
        <v>0</v>
      </c>
      <c r="BR66" s="2" t="s">
        <v>578</v>
      </c>
      <c r="BS66" s="2">
        <v>13.3</v>
      </c>
      <c r="BT66" s="2">
        <v>13.3</v>
      </c>
      <c r="BU66" s="2">
        <v>13</v>
      </c>
      <c r="BV66" s="2">
        <v>13</v>
      </c>
      <c r="BW66" s="2">
        <v>1</v>
      </c>
      <c r="BX66" s="2" t="s">
        <v>579</v>
      </c>
      <c r="BY66" s="2">
        <v>13.3</v>
      </c>
      <c r="BZ66" s="2">
        <v>13.3</v>
      </c>
      <c r="CA66" s="2">
        <v>13</v>
      </c>
      <c r="CB66" s="2">
        <v>13</v>
      </c>
      <c r="CC66" s="2">
        <v>1</v>
      </c>
      <c r="CD66" s="2" t="s">
        <v>317</v>
      </c>
      <c r="CE66" s="2">
        <v>0</v>
      </c>
      <c r="CF66" s="2">
        <v>0</v>
      </c>
      <c r="CG66" s="2">
        <v>0</v>
      </c>
      <c r="CH66" s="2">
        <v>0</v>
      </c>
      <c r="CI66" s="2">
        <v>0</v>
      </c>
      <c r="CJ66" s="2" t="s">
        <v>318</v>
      </c>
      <c r="CK66" s="2">
        <v>0</v>
      </c>
      <c r="CL66" s="2">
        <v>0</v>
      </c>
      <c r="CM66" s="2">
        <v>0</v>
      </c>
      <c r="CN66" s="2">
        <v>0</v>
      </c>
      <c r="CO66" s="2">
        <v>0</v>
      </c>
      <c r="CP66" s="2" t="s">
        <v>318</v>
      </c>
      <c r="CQ66" s="2">
        <v>0</v>
      </c>
      <c r="CR66" s="2">
        <v>0</v>
      </c>
      <c r="CS66" s="2">
        <v>0</v>
      </c>
      <c r="CT66" s="2">
        <v>0</v>
      </c>
      <c r="CU66" s="2">
        <v>0</v>
      </c>
      <c r="CV66" s="2" t="s">
        <v>318</v>
      </c>
      <c r="CW66" s="2">
        <v>0</v>
      </c>
      <c r="CX66" s="2">
        <v>0</v>
      </c>
      <c r="CY66" s="2">
        <v>0</v>
      </c>
      <c r="CZ66" s="2">
        <v>0</v>
      </c>
      <c r="DA66" s="2">
        <v>0</v>
      </c>
      <c r="DB66" s="2">
        <v>0.03</v>
      </c>
      <c r="DC66" s="2">
        <v>493.25</v>
      </c>
      <c r="DD66" s="2">
        <v>0</v>
      </c>
      <c r="DE66" s="2">
        <v>0</v>
      </c>
      <c r="DF66" s="2">
        <v>0</v>
      </c>
      <c r="DG66" s="2">
        <v>120.5</v>
      </c>
      <c r="DH66" s="2">
        <v>41.75</v>
      </c>
      <c r="DI66" s="2">
        <v>0</v>
      </c>
      <c r="DJ66" s="2">
        <v>0</v>
      </c>
      <c r="DK66" s="2">
        <v>0</v>
      </c>
      <c r="DL66" s="2">
        <v>0</v>
      </c>
      <c r="DM66" s="2">
        <v>0</v>
      </c>
      <c r="DN66" s="2">
        <v>0</v>
      </c>
      <c r="DO66" s="2">
        <v>0</v>
      </c>
      <c r="DP66" s="2">
        <v>15.94</v>
      </c>
      <c r="DQ66" s="2">
        <v>0</v>
      </c>
      <c r="DR66" s="18">
        <v>43647</v>
      </c>
      <c r="DS66" s="18">
        <v>44012</v>
      </c>
      <c r="DT66" s="2">
        <v>34525</v>
      </c>
      <c r="DU66" s="2">
        <v>102730</v>
      </c>
      <c r="DV66" s="2">
        <v>317932</v>
      </c>
      <c r="DW66" s="2">
        <v>20008</v>
      </c>
      <c r="DX66" s="2">
        <v>0</v>
      </c>
      <c r="DY66" s="2">
        <v>0</v>
      </c>
      <c r="DZ66" s="2">
        <v>6905</v>
      </c>
      <c r="EA66" s="2">
        <v>25510</v>
      </c>
      <c r="EB66" s="2">
        <v>706</v>
      </c>
      <c r="EC66" s="2">
        <v>180</v>
      </c>
      <c r="ED66" s="2">
        <v>819</v>
      </c>
      <c r="EE66" s="2">
        <v>3938</v>
      </c>
      <c r="EF66" s="2">
        <v>2249</v>
      </c>
      <c r="EG66" s="2">
        <v>2060</v>
      </c>
      <c r="EH66" s="2" t="s">
        <v>324</v>
      </c>
      <c r="EI66" s="2">
        <v>0</v>
      </c>
      <c r="EJ66" s="2" t="s">
        <v>324</v>
      </c>
      <c r="EK66" s="2">
        <v>0</v>
      </c>
      <c r="EL66" s="2">
        <v>3019</v>
      </c>
      <c r="EM66" s="2">
        <v>586</v>
      </c>
      <c r="EN66" s="2">
        <v>0</v>
      </c>
      <c r="EO66" s="2">
        <v>4380</v>
      </c>
      <c r="EP66" s="2">
        <v>1903</v>
      </c>
      <c r="EQ66" s="2">
        <v>873</v>
      </c>
      <c r="ER66" s="2">
        <v>425</v>
      </c>
      <c r="ES66" s="2">
        <v>996</v>
      </c>
      <c r="ET66" s="2" t="s">
        <v>324</v>
      </c>
      <c r="EU66" s="2">
        <v>0</v>
      </c>
      <c r="EV66" s="2" t="s">
        <v>324</v>
      </c>
      <c r="EW66" s="2">
        <v>0</v>
      </c>
      <c r="EX66" s="2">
        <v>0</v>
      </c>
      <c r="EY66" s="2">
        <v>913</v>
      </c>
      <c r="EZ66" s="2" t="s">
        <v>326</v>
      </c>
      <c r="FA66" s="2">
        <v>0</v>
      </c>
      <c r="FB66" s="2" t="s">
        <v>326</v>
      </c>
      <c r="FC66" s="2">
        <v>0</v>
      </c>
      <c r="FD66" s="2">
        <v>11037</v>
      </c>
      <c r="FE66" s="2">
        <v>0</v>
      </c>
      <c r="FF66" s="2">
        <v>0</v>
      </c>
      <c r="FG66" s="2"/>
      <c r="FH66" s="19">
        <v>44480.627256944441</v>
      </c>
      <c r="FI66" s="2" t="s">
        <v>364</v>
      </c>
      <c r="FJ66" s="2">
        <f>SUM(DATA[[#This Row],[Number of Home support clients:]],DATA[[#This Row],[Number of supported living clients:]])</f>
        <v>29</v>
      </c>
      <c r="FK66"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66"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16</v>
      </c>
      <c r="FM66"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16</v>
      </c>
      <c r="FN66"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16</v>
      </c>
      <c r="FO66"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16</v>
      </c>
      <c r="FP66"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66"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66"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66"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66"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16</v>
      </c>
      <c r="FU66"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16</v>
      </c>
      <c r="FV66"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16</v>
      </c>
      <c r="FW66"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16</v>
      </c>
      <c r="FX66"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66"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66"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66"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66"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6"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6"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6"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6"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66"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17.82</v>
      </c>
      <c r="GH66"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66"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17.440000000000001</v>
      </c>
      <c r="GJ66"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9.31</v>
      </c>
      <c r="GK66"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18.62</v>
      </c>
      <c r="GL66"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9.1199999999999992</v>
      </c>
      <c r="GM66"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18.239999999999998</v>
      </c>
      <c r="GN66"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66"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66"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66"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66"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6"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6"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6"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6"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13.3</v>
      </c>
      <c r="GW66"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13.3</v>
      </c>
      <c r="GX66"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13</v>
      </c>
      <c r="GY66"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13</v>
      </c>
      <c r="GZ66"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13.3</v>
      </c>
      <c r="HA66"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13.3</v>
      </c>
      <c r="HB66"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13</v>
      </c>
      <c r="HC66"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13</v>
      </c>
      <c r="HD66"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66"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66"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66"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66"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66"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66"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66"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66"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6"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6"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6"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6"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6"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6"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6"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6"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16</v>
      </c>
      <c r="HU66"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16</v>
      </c>
      <c r="HV66"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16</v>
      </c>
      <c r="HW66"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16</v>
      </c>
      <c r="HX66"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66"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66"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66"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66"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16</v>
      </c>
      <c r="IC66"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16</v>
      </c>
      <c r="ID66"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16</v>
      </c>
      <c r="IE66"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16</v>
      </c>
      <c r="IF66"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66"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66"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66"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66"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6"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6"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6"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6"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66"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17.82</v>
      </c>
      <c r="IP66"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66"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17.440000000000001</v>
      </c>
      <c r="IR66"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9.31</v>
      </c>
      <c r="IS66"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18.62</v>
      </c>
      <c r="IT66"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9.1199999999999992</v>
      </c>
      <c r="IU66"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18.239999999999998</v>
      </c>
      <c r="IV66"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66"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66"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66"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66"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6"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6"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6"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6"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13.3</v>
      </c>
      <c r="JE66"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13.3</v>
      </c>
      <c r="JF66"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13</v>
      </c>
      <c r="JG66"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13</v>
      </c>
      <c r="JH66"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13.3</v>
      </c>
      <c r="JI66"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13.3</v>
      </c>
      <c r="JJ66"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13</v>
      </c>
      <c r="JK66"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13</v>
      </c>
      <c r="JL66"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66"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66"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66"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66"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66"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66"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66"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66"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6"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6"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6"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6"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6"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6"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6"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6"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66" s="21">
        <f>SUM(DATA[[#This Row],[Care Assistant 1: Numbers employed (Full Time Equivalent)]],DATA[[#This Row],[Care Assistant 2: Numbers employed (Full Time Equivalent)]],DATA[[#This Row],[Care Assistant 3: Numbers employed (Full Time Equivalent)]],DATA[[#This Row],[Care Assistant 4: Numbers employed (Full Time Equivalent)]])</f>
        <v>20.5</v>
      </c>
      <c r="KD66" s="21">
        <f>SUM(DATA[[#This Row],[Administrative Officer 1: Numbers employed (Full Time Equivalent)]],DATA[[#This Row],[Administrative Officer 2: Numbers employed (Full Time Equivalent)]])</f>
        <v>2</v>
      </c>
      <c r="KE66" s="21">
        <f>SUM(DATA[[#This Row],[Other staff 1: Numbers employed (Full Time Equivalent)]],DATA[[#This Row],[Other staff 2: Numbers employed (Full Time Equivalent)]],DATA[[#This Row],[Other staff 3: Numbers employed (Full Time Equivalent)]])</f>
        <v>0</v>
      </c>
      <c r="KF66" s="21">
        <f>SUM(DATA[[#This Row],[Total FTE Management Employees]:[Total FTE Other Employees]])</f>
        <v>24.5</v>
      </c>
      <c r="KG66" s="21" t="str">
        <f>IF(SUM(DATA[[#This Row],[Home Support service split percentage (Expenditure):]],DATA[[#This Row],[Supported Living service split percentage (Expenditure):]])&gt;0, IF(DATA[[#This Row],[Home Support service split percentage (Expenditure):]]&gt;0.5,"Home Support","Supported Living"), "Unknown")</f>
        <v>Home Support</v>
      </c>
      <c r="KH66" s="21">
        <f>SUM(DATA[[#This Row],[Home Support: Birmingham City Council]:[Home Support: Self-funded]])</f>
        <v>655.5</v>
      </c>
      <c r="KI66" s="21">
        <f>SUM(DATA[[#This Row],[Supported Living: Birmingham City Council]:[Supported Living: Self-funded]])</f>
        <v>0</v>
      </c>
      <c r="KJ66"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6"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6"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6"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6" s="21" t="b">
        <f>SUM(DATA[[#This Row],[Number of hours of care charged for in last full accounting year]:[Corporate Overheads: Other  - please specify (category) 1]])&gt;0</f>
        <v>1</v>
      </c>
      <c r="KO66" s="21">
        <f>SUM(DATA[[#This Row],[Total annual expenditure: Management staff]:[Total annual expenditure: Training and development]])</f>
        <v>473791</v>
      </c>
      <c r="KP66" s="21">
        <f>SUM(DATA[[#This Row],[Recruitment &amp; advertising (including DBS checks)]:[Non-Staffing Direct Cost: Other  - please specify (amount) 2]])</f>
        <v>9246</v>
      </c>
      <c r="KQ66" s="21">
        <f>SUM(DATA[[#This Row],[Insurance ]:[Indirect costs: Other 2 - please specify (amount)]])</f>
        <v>12182</v>
      </c>
      <c r="KR66" s="21">
        <f>SUM(DATA[[#This Row],[Central / Regional Management]],DATA[[#This Row],[Support Services (finance / HR / Payroll / legal etc.)]],DATA[[#This Row],[Corporate Overheads: Other  - please specify (amount) 1]],DATA[[#This Row],[Corporate Overheads: Other  - please specify (amount) 2]])</f>
        <v>913</v>
      </c>
      <c r="KS66"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2.9755249818971761</v>
      </c>
      <c r="KT66"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9.2087472845763934</v>
      </c>
      <c r="KU66"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0.57952208544532946</v>
      </c>
      <c r="KV66"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66"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66" s="30">
        <f>IF(OR(NOT(DATA[[#This Row],[Total annual expenditure: Travel Cost]]&gt;0),NOT(DATA[[#This Row],[Number of hours of care charged for in last full accounting year]]&gt;0)),0,DATA[[#This Row],[Total annual expenditure: Travel Cost]]/DATA[[#This Row],[Number of hours of care charged for in last full accounting year]])</f>
        <v>0.2</v>
      </c>
      <c r="KY66" s="30">
        <f>IF(OR(NOT(DATA[[#This Row],[Total annual expenditure: Travel Time]]&gt;0),NOT(DATA[[#This Row],[Number of hours of care charged for in last full accounting year]]&gt;0)),0,DATA[[#This Row],[Total annual expenditure: Travel Time]]/DATA[[#This Row],[Number of hours of care charged for in last full accounting year]])</f>
        <v>0.73888486603910208</v>
      </c>
      <c r="KZ66"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2.0448950036205647E-2</v>
      </c>
      <c r="LA66"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5.2136133236784935E-3</v>
      </c>
      <c r="LB66"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2.3721940622737147E-2</v>
      </c>
      <c r="LC66" s="30">
        <f>IF(OR(NOT(DATA[[#This Row],[Care consumables &amp; uniforms]]&gt;0),NOT(DATA[[#This Row],[Number of hours of care charged for in last full accounting year]]&gt;0)),0,DATA[[#This Row],[Care consumables &amp; uniforms]]/DATA[[#This Row],[Number of hours of care charged for in last full accounting year]])</f>
        <v>0.1140622737146995</v>
      </c>
      <c r="LD66" s="30">
        <f>IF(OR(NOT(DATA[[#This Row],[Electronic call monitoring]]&gt;0),NOT(DATA[[#This Row],[Number of hours of care charged for in last full accounting year]]&gt;0)),0,DATA[[#This Row],[Electronic call monitoring]]/DATA[[#This Row],[Number of hours of care charged for in last full accounting year]])</f>
        <v>6.514120202751629E-2</v>
      </c>
      <c r="LE66" s="30">
        <f>IF(OR(NOT(DATA[[#This Row],[IT Equipment &amp; Telephoney]]&gt;0),NOT(DATA[[#This Row],[Number of hours of care charged for in last full accounting year]]&gt;0)),0,DATA[[#This Row],[IT Equipment &amp; Telephoney]]/DATA[[#This Row],[Number of hours of care charged for in last full accounting year]])</f>
        <v>5.9666908037653871E-2</v>
      </c>
      <c r="LF66"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66"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6" s="30">
        <f>IF(OR(NOT(DATA[[#This Row],[Insurance ]]&gt;0),NOT(DATA[[#This Row],[Number of hours of care charged for in last full accounting year]]&gt;0)),0,DATA[[#This Row],[Insurance ]]/DATA[[#This Row],[Number of hours of care charged for in last full accounting year]])</f>
        <v>8.7443881245474295E-2</v>
      </c>
      <c r="LI66"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1.6973207820419986E-2</v>
      </c>
      <c r="LJ66" s="30">
        <f>IF(OR(NOT(DATA[[#This Row],[Repairs and maintenance]]&gt;0),NOT(DATA[[#This Row],[Number of hours of care charged for in last full accounting year]]&gt;0)),0,DATA[[#This Row],[Repairs and maintenance]]/DATA[[#This Row],[Number of hours of care charged for in last full accounting year]])</f>
        <v>0</v>
      </c>
      <c r="LK66"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0.12686459087617669</v>
      </c>
      <c r="LL66" s="30">
        <f>IF(OR(NOT(DATA[[#This Row],[Registration &amp; Inspection fees ]]&gt;0),NOT(DATA[[#This Row],[Number of hours of care charged for in last full accounting year]]&gt;0)),0,DATA[[#This Row],[Registration &amp; Inspection fees ]]/DATA[[#This Row],[Number of hours of care charged for in last full accounting year]])</f>
        <v>5.5119478638667632E-2</v>
      </c>
      <c r="LM66" s="30">
        <f>IF(OR(NOT(DATA[[#This Row],[Subscriptions]]&gt;0),NOT(DATA[[#This Row],[Number of hours of care charged for in last full accounting year]]&gt;0)),0,DATA[[#This Row],[Subscriptions]]/DATA[[#This Row],[Number of hours of care charged for in last full accounting year]])</f>
        <v>2.5286024619840697E-2</v>
      </c>
      <c r="LN66" s="30">
        <f>IF(OR(NOT(DATA[[#This Row],[Cost of finance]]&gt;0),NOT(DATA[[#This Row],[Number of hours of care charged for in last full accounting year]]&gt;0)),0,DATA[[#This Row],[Cost of finance]]/DATA[[#This Row],[Number of hours of care charged for in last full accounting year]])</f>
        <v>1.2309920347574221E-2</v>
      </c>
      <c r="LO66" s="30">
        <f>IF(OR(NOT(DATA[[#This Row],[Other non-staff current expenses]]&gt;0),NOT(DATA[[#This Row],[Number of hours of care charged for in last full accounting year]]&gt;0)),0,DATA[[#This Row],[Other non-staff current expenses]]/DATA[[#This Row],[Number of hours of care charged for in last full accounting year]])</f>
        <v>2.8848660391020998E-2</v>
      </c>
      <c r="LP66"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66"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66" s="30">
        <f>IF(OR(NOT(DATA[[#This Row],[Central / Regional Management]]&gt;0),NOT(DATA[[#This Row],[Number of hours of care charged for in last full accounting year]]&gt;0)),0,DATA[[#This Row],[Central / Regional Management]]/DATA[[#This Row],[Number of hours of care charged for in last full accounting year]])</f>
        <v>0</v>
      </c>
      <c r="LS66"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2.6444605358435916E-2</v>
      </c>
      <c r="LT66"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66"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66" s="30">
        <f>SUM(DATA[[#This Row],[Management staff HOURLY RATE]:[Corporate Overheads: Other  - please specify (amount) 2 HOURLY RATE]])</f>
        <v>14.370224475018103</v>
      </c>
      <c r="LW66" s="30">
        <f>IF(OR(NOT(DATA[[#This Row],[Net Operating Profit]]&gt;0),NOT(DATA[[#This Row],[Number of hours of care charged for in last full accounting year]]&gt;0)),"",DATA[[#This Row],[Net Operating Profit]]/DATA[[#This Row],[Number of hours of care charged for in last full accounting year]])</f>
        <v>0.3196813902968863</v>
      </c>
      <c r="LX66" s="30">
        <f>IF(OR(NOT(DATA[[#This Row],[Return on Capital employed]]&gt;0),NOT(DATA[[#This Row],[Number of hours of care charged for in last full accounting year]]&gt;0)),0,DATA[[#This Row],[Return on Capital employed]]/DATA[[#This Row],[Number of hours of care charged for in last full accounting year]])</f>
        <v>0</v>
      </c>
      <c r="LY66" s="31">
        <v>60</v>
      </c>
      <c r="LZ66" s="30" t="s">
        <v>358</v>
      </c>
      <c r="MA66" s="30" t="b">
        <f>DATA[[#This Row],[Number of Home support clients:]]&gt;0</f>
        <v>1</v>
      </c>
      <c r="MB66" s="30" t="b">
        <f>DATA[[#This Row],[Number of supported living clients:]]&gt;0</f>
        <v>0</v>
      </c>
      <c r="MC66" s="30" t="b">
        <f>DATA[[#This Row],[Total Home Support Hours]]&gt;0</f>
        <v>1</v>
      </c>
      <c r="MD66" s="30" t="b">
        <f>DATA[[#This Row],[Total Supported Living Hours]]&gt;0</f>
        <v>0</v>
      </c>
      <c r="ME66" s="30" t="b">
        <f>DATA[[#This Row],[Home Support service split percentage (Expenditure):]]&gt;0.5</f>
        <v>1</v>
      </c>
      <c r="MF66" s="30" t="b">
        <f>DATA[[#This Row],[Agency staff HOURLY RATE]]=0</f>
        <v>1</v>
      </c>
      <c r="MG66" s="30">
        <f>IFERROR(IF(AVERAGE(DATA[[#This Row],[Registered manager: Current 2021/22 Minimum hourly pay rate ADJUSTED]],DATA[[#This Row],[Registered manager: Current 2021/22 Maximum hourly pay rate ADJUSTED]])&lt;LIVING_WAGE_22_23,DATA[[#This Row],[Registered manager: Numbers employed (Full Time Equivalent)]],0),"")</f>
        <v>0</v>
      </c>
      <c r="MH66" s="30" t="str">
        <f>IFERROR(IF(AVERAGE(DATA[[#This Row],[Deputy manager: Current 2021/22 Minimum hourly pay rate ADJUSTED]],DATA[[#This Row],[Deputy manager: Current 2021/22 Maximum hourly pay rate ADJUSTED]])&lt;LIVING_WAGE_22_23,DATA[[#This Row],[Deputy manager: Numbers employed (Full Time Equivalent)]],0),"")</f>
        <v/>
      </c>
      <c r="MI66" s="30">
        <f>IFERROR(IF(AVERAGE(DATA[[#This Row],[Other manager 1: Current 2021/22 Minimum hourly pay rate ADJUSTED]],DATA[[#This Row],[Other manager 1: Current 2021/22 Maximum hourly pay rate ADJUSTED]])&lt;LIVING_WAGE_22_23,DATA[[#This Row],[Other manager 1: Numbers employed (Full Time Equivalent)]],0),"")</f>
        <v>0</v>
      </c>
      <c r="MJ66" s="30" t="str">
        <f>IFERROR(IF(AVERAGE(DATA[[#This Row],[Other manager 2: Current 2021/22 Minimum hourly pay rate ADJUSTED]],DATA[[#This Row],[Other manager 2: Current 2021/22 Maximum hourly pay rate ADJUSTED]])&lt;LIVING_WAGE_22_23,DATA[[#This Row],[Other manager 2: Numbers employed (Full Time Equivalent)]],0),"")</f>
        <v/>
      </c>
      <c r="MK66" s="30" t="str">
        <f>IFERROR(IF(AVERAGE(DATA[[#This Row],[Other manager 3: Current 2021/22 Minimum hourly pay rate ADJUSTED]],DATA[[#This Row],[Other manager 3: Current 2021/22 Maximum hourly pay rate ADJUSTED]])&lt;LIVING_WAGE_22_23,DATA[[#This Row],[Other manager 3: Numbers employed (Full Time Equivalent)]],0),"")</f>
        <v/>
      </c>
      <c r="ML66" s="30">
        <f>IFERROR(IF(AVERAGE(DATA[[#This Row],[Care Assistant 1: Current 2021/22 Minimum hourly pay rate ADJUSTED]],DATA[[#This Row],[Care Assistant 1: Current 2021/22 Maximum hourly pay rate ADJUSTED]])&lt;LIVING_WAGE_22_23,DATA[[#This Row],[Care Assistant 1: Numbers employed (Full Time Equivalent)]],0),"")</f>
        <v>0</v>
      </c>
      <c r="MM66" s="30">
        <f>IFERROR(IF(AVERAGE(DATA[[#This Row],[Care Assistant 2: Current 2021/22 Minimum hourly pay rate ADJUSTED]],DATA[[#This Row],[Care Assistant 2: Current 2021/22 Maximum hourly pay rate ADJUSTED]])&lt;LIVING_WAGE_22_23,DATA[[#This Row],[Care Assistant 2: Numbers employed (Full Time Equivalent)]],0),"")</f>
        <v>0</v>
      </c>
      <c r="MN66" s="30" t="str">
        <f>IFERROR(IF(AVERAGE(DATA[[#This Row],[Care Assistant 3: Current 2021/22 Minimum hourly pay rate ADJUSTED]],DATA[[#This Row],[Care Assistant 3: Current 2021/22 Maximum hourly pay rate ADJUSTED]])&lt;LIVING_WAGE_22_23,DATA[[#This Row],[Care Assistant 3: Numbers employed (Full Time Equivalent)]],0),"")</f>
        <v/>
      </c>
      <c r="MO66" s="30" t="str">
        <f>IFERROR(IF(AVERAGE(DATA[[#This Row],[Care Assistant 4: Current 2021/22 Minimum hourly pay rate ADJUSTED]],DATA[[#This Row],[Care Assistant 4: Current 2021/22 Maximum hourly pay rate ADJUSTED]])&lt;LIVING_WAGE_22_23,DATA[[#This Row],[Care Assistant 4: Numbers employed (Full Time Equivalent)]],0),"")</f>
        <v/>
      </c>
      <c r="MP66"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66"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66" s="30" t="str">
        <f>IFERROR(IF(AVERAGE(DATA[[#This Row],[Other staff 1: Current 2021/22 Minimum hourly pay rate ADJUSTED]],DATA[[#This Row],[Other staff 1: Current 2021/22 Maximum hourly pay rate ADJUSTED]])&lt;LIVING_WAGE_22_23,DATA[[#This Row],[Other staff 1: Numbers employed (Full Time Equivalent)]],0),"")</f>
        <v/>
      </c>
      <c r="MS66" s="30" t="str">
        <f>IFERROR(IF(AVERAGE(DATA[[#This Row],[Other staff 2: Current 2021/22 Minimum hourly pay rate ADJUSTED]],DATA[[#This Row],[Other staff 2: Current 2021/22 Maximum hourly pay rate ADJUSTED]])&lt;LIVING_WAGE_22_23,DATA[[#This Row],[Other staff 2: Numbers employed (Full Time Equivalent)]],0),"")</f>
        <v/>
      </c>
      <c r="MT66" s="30" t="str">
        <f>IFERROR(IF(AVERAGE(DATA[[#This Row],[Other staff 3: Current 2021/22 Minimum hourly pay rate ADJUSTED]],DATA[[#This Row],[Other staff 3: Current 2021/22 Maximum hourly pay rate ADJUSTED]])&lt;LIVING_WAGE_22_23,DATA[[#This Row],[Other staff 3: Numbers employed (Full Time Equivalent)]],0),"")</f>
        <v/>
      </c>
      <c r="MU66" s="30">
        <f>SUM(DATA[[#This Row],[Registered Manager FTE earning less than NLW 23yrs 2022/23]:[Other staff 3 FTE earning less than NLW 23yrs 2022/23]])</f>
        <v>0</v>
      </c>
      <c r="MV66"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66"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66"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66"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66"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6"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66"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66"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66"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6"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66"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66"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66"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6"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6" s="30" t="b">
        <v>0</v>
      </c>
      <c r="NK66" s="30" t="b">
        <v>1</v>
      </c>
      <c r="NL66" s="30" t="s">
        <v>972</v>
      </c>
      <c r="NM66" s="30">
        <f>SUM(DATA[[#This Row],[Management staff HOURLY RATE]:[Training and development HOURLY RATE]])</f>
        <v>13.723128167994208</v>
      </c>
      <c r="NN66" s="30">
        <f>SUM(DATA[[#This Row],[Recruitment &amp; advertising (including DBS checks) HOURLY RATE]:[Non-Staffing Direct Cost: Other  - please specify (amount) 2 HOURLY RATE]])</f>
        <v>0.26780593772628525</v>
      </c>
      <c r="NO66" s="30">
        <f>SUM(DATA[[#This Row],[Insurance  HOURLY RATE]:[Indirect costs: Other  - please specify (amount) 2 HOURLY RATE]])</f>
        <v>0.35284576393917455</v>
      </c>
      <c r="NP66" s="30">
        <f>SUM(DATA[[#This Row],[Central / Regional Management HOURLY RATE]:[Corporate Overheads: Other  - please specify (amount) 2 HOURLY RATE]])</f>
        <v>2.6444605358435916E-2</v>
      </c>
      <c r="NQ66"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66" s="30" t="str">
        <f>IFERROR(IF(AVERAGE(DATA[[#This Row],[Deputy manager: Current 2021/22 Minimum hourly pay rate ADJUSTED]],DATA[[#This Row],[Deputy manager: Current 2021/22 Maximum hourly pay rate ADJUSTED]])&lt;REAL_LIVING_WAGE_22_23,DATA[[#This Row],[Deputy manager: Numbers employed (Full Time Equivalent)]],0),"")</f>
        <v/>
      </c>
      <c r="NS66" s="30">
        <f>IFERROR(IF(AVERAGE(DATA[[#This Row],[Other manager 1: Current 2021/22 Minimum hourly pay rate ADJUSTED]],DATA[[#This Row],[Other manager 1: Current 2021/22 Maximum hourly pay rate ADJUSTED]])&lt;REAL_LIVING_WAGE_22_23,DATA[[#This Row],[Other manager 1: Numbers employed (Full Time Equivalent)]],0),"")</f>
        <v>0</v>
      </c>
      <c r="NT66" s="30" t="str">
        <f>IFERROR(IF(AVERAGE(DATA[[#This Row],[Other manager 2: Current 2021/22 Minimum hourly pay rate ADJUSTED]],DATA[[#This Row],[Other manager 2: Current 2021/22 Maximum hourly pay rate ADJUSTED]])&lt;REAL_LIVING_WAGE_22_23,DATA[[#This Row],[Other manager 2: Numbers employed (Full Time Equivalent)]],0),"")</f>
        <v/>
      </c>
      <c r="NU66" s="30" t="str">
        <f>IFERROR(IF(AVERAGE(DATA[[#This Row],[Other manager 3: Current 2021/22 Minimum hourly pay rate ADJUSTED]],DATA[[#This Row],[Other manager 3: Current 2021/22 Maximum hourly pay rate ADJUSTED]])&lt;REAL_LIVING_WAGE_22_23,DATA[[#This Row],[Other manager 3: Numbers employed (Full Time Equivalent)]],0),"")</f>
        <v/>
      </c>
      <c r="NV66" s="30">
        <f>IFERROR(IF(AVERAGE(DATA[[#This Row],[Care Assistant 1: Current 2021/22 Minimum hourly pay rate ADJUSTED]],DATA[[#This Row],[Care Assistant 1: Current 2021/22 Maximum hourly pay rate ADJUSTED]])&lt;REAL_LIVING_WAGE_22_23,DATA[[#This Row],[Care Assistant 1: Numbers employed (Full Time Equivalent)]],0),"")</f>
        <v>0</v>
      </c>
      <c r="NW66" s="30">
        <f>IFERROR(IF(AVERAGE(DATA[[#This Row],[Care Assistant 2: Current 2021/22 Minimum hourly pay rate ADJUSTED]],DATA[[#This Row],[Care Assistant 2: Current 2021/22 Maximum hourly pay rate ADJUSTED]])&lt;REAL_LIVING_WAGE_22_23,DATA[[#This Row],[Care Assistant 2: Numbers employed (Full Time Equivalent)]],0),"")</f>
        <v>0</v>
      </c>
      <c r="NX66"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66"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6"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66"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66" s="30" t="str">
        <f>IFERROR(IF(AVERAGE(DATA[[#This Row],[Other staff 1: Current 2021/22 Minimum hourly pay rate ADJUSTED]],DATA[[#This Row],[Other staff 1: Current 2021/22 Maximum hourly pay rate ADJUSTED]])&lt;REAL_LIVING_WAGE_22_23,DATA[[#This Row],[Other staff 1: Numbers employed (Full Time Equivalent)]],0),"")</f>
        <v/>
      </c>
      <c r="OC66" s="30" t="str">
        <f>IFERROR(IF(AVERAGE(DATA[[#This Row],[Other staff 2: Current 2021/22 Minimum hourly pay rate ADJUSTED]],DATA[[#This Row],[Other staff 2: Current 2021/22 Maximum hourly pay rate ADJUSTED]])&lt;REAL_LIVING_WAGE_22_23,DATA[[#This Row],[Other staff 2: Numbers employed (Full Time Equivalent)]],0),"")</f>
        <v/>
      </c>
      <c r="OD66" s="30" t="str">
        <f>IFERROR(IF(AVERAGE(DATA[[#This Row],[Other staff 3: Current 2021/22 Minimum hourly pay rate ADJUSTED]],DATA[[#This Row],[Other staff 3: Current 2021/22 Maximum hourly pay rate ADJUSTED]])&lt;REAL_LIVING_WAGE_22_23,DATA[[#This Row],[Other staff 3: Numbers employed (Full Time Equivalent)]],0),"")</f>
        <v/>
      </c>
      <c r="OE66" s="30">
        <f>SUM(DATA[[#This Row],[Registered Manager FTE earning less than RLW 23yrs 2022/23]:[Other staff 3 FTE earning less than RLW 23yrs 2022/23]])</f>
        <v>0</v>
      </c>
      <c r="OF66"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66"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66"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66"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66"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6"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66"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66"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66"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6"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66"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66"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66"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6"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6" s="30">
        <f>IFERROR(IF(DATA[[#This Row],[Registered manager: Numbers employed (Full Time Equivalent)]]=0,"",DATA[[#This Row],[Registered manager: Current 2021/22 Minimum hourly pay rate ADJUSTED 2]]*DATA[[#This Row],[Registered manager: Numbers employed (Full Time Equivalent)]]),"")</f>
        <v>16</v>
      </c>
      <c r="OU66" s="30">
        <f>IFERROR(IF(DATA[[#This Row],[Registered manager: Numbers employed (Full Time Equivalent)]]=0,"",DATA[[#This Row],[Registered manager: Current 2021/22 Maximum hourly pay rate ADJUSTED 2]]*DATA[[#This Row],[Registered manager: Numbers employed (Full Time Equivalent)]]),"")</f>
        <v>16</v>
      </c>
      <c r="OV66" s="30">
        <f>IFERROR(IF(DATA[[#This Row],[Registered manager: Numbers employed (Full Time Equivalent)]]=0,"",DATA[[#This Row],[Registered manager: Previous 2020/21 Minimum hourly pay rate ADJUSTED 2]]*DATA[[#This Row],[Registered manager: Numbers employed (Full Time Equivalent)]]),"")</f>
        <v>16</v>
      </c>
      <c r="OW66" s="30">
        <f>IFERROR(IF(DATA[[#This Row],[Registered manager: Numbers employed (Full Time Equivalent)]]=0,"",DATA[[#This Row],[Registered manager: Previous 2020/21 Maximum hourly pay rate ADJUSTED 2]]*DATA[[#This Row],[Registered manager: Numbers employed (Full Time Equivalent)]]),"")</f>
        <v>16</v>
      </c>
      <c r="OX66" s="30" t="str">
        <f>IFERROR(IF(DATA[[#This Row],[Deputy manager: Numbers employed (Full Time Equivalent)]]=0,"",DATA[[#This Row],[Deputy manager: Current 2021/22 Minimum hourly pay rate ADJUSTED 2]]*DATA[[#This Row],[Deputy manager: Numbers employed (Full Time Equivalent)]]),"")</f>
        <v/>
      </c>
      <c r="OY66" s="30" t="str">
        <f>IFERROR(IF(DATA[[#This Row],[Deputy manager: Numbers employed (Full Time Equivalent)]]=0,"",DATA[[#This Row],[Deputy manager: Current 2021/22 Maximum hourly pay rate ADJUSTED 2]]*DATA[[#This Row],[Deputy manager: Numbers employed (Full Time Equivalent)]]),"")</f>
        <v/>
      </c>
      <c r="OZ66" s="30" t="str">
        <f>IFERROR(IF(DATA[[#This Row],[Deputy manager: Numbers employed (Full Time Equivalent)]]=0,"",DATA[[#This Row],[Deputy manager: Previous 2020/21 Minimum hourly pay rate ADJUSTED 2]]*DATA[[#This Row],[Deputy manager: Numbers employed (Full Time Equivalent)]]),"")</f>
        <v/>
      </c>
      <c r="PA66" s="30" t="str">
        <f>IFERROR(IF(DATA[[#This Row],[Deputy manager: Numbers employed (Full Time Equivalent)]]=0,"",DATA[[#This Row],[Deputy manager: Previous 2020/21 Maximum hourly pay rate ADJUSTED 2]]*DATA[[#This Row],[Deputy manager: Numbers employed (Full Time Equivalent)]]),"")</f>
        <v/>
      </c>
      <c r="PB66" s="30">
        <f>IFERROR(IF(DATA[[#This Row],[Other manager 1: Numbers employed (Full Time Equivalent)]]=0,"",DATA[[#This Row],[Other manager 1: Current 2021/22 Minimum hourly pay rate ADJUSTED 2]]*DATA[[#This Row],[Other manager 1: Numbers employed (Full Time Equivalent)]]),"")</f>
        <v>16</v>
      </c>
      <c r="PC66" s="30">
        <f>IFERROR(IF(DATA[[#This Row],[Other manager 1: Numbers employed (Full Time Equivalent)]]=0,"",DATA[[#This Row],[Other manager 1: Current 2021/22 Maximum hourly pay rate ADJUSTED 2]]*DATA[[#This Row],[Other manager 1: Numbers employed (Full Time Equivalent)]]),"")</f>
        <v>16</v>
      </c>
      <c r="PD66" s="30">
        <f>IFERROR(IF(DATA[[#This Row],[Other manager 1: Numbers employed (Full Time Equivalent)]]=0,"",DATA[[#This Row],[Other manager 1: Previous 2020/21 Minimum hourly pay rate ADJUSTED 2]]*DATA[[#This Row],[Other manager 1: Numbers employed (Full Time Equivalent)]]),"")</f>
        <v>16</v>
      </c>
      <c r="PE66" s="30">
        <f>IFERROR(IF(DATA[[#This Row],[Other manager 1: Numbers employed (Full Time Equivalent)]]=0,"",DATA[[#This Row],[Other manager 1: Previous 2020/21 Maximum hourly pay rate ADJUSTED 2]]*DATA[[#This Row],[Other manager 1: Numbers employed (Full Time Equivalent)]]),"")</f>
        <v>16</v>
      </c>
      <c r="PF66" s="30" t="str">
        <f>IFERROR(IF(DATA[[#This Row],[Other manager 2: Numbers employed (Full Time Equivalent)]]=0,"",DATA[[#This Row],[Other manager 2: Current 2021/22 Minimum hourly pay rate ADJUSTED 2]]*DATA[[#This Row],[Other manager 2: Numbers employed (Full Time Equivalent)]]),"")</f>
        <v/>
      </c>
      <c r="PG66" s="30" t="str">
        <f>IFERROR(IF(DATA[[#This Row],[Other manager 2: Numbers employed (Full Time Equivalent)]]=0,"",DATA[[#This Row],[Other manager 2: Current 2021/22 Maximum hourly pay rate ADJUSTED 2]]*DATA[[#This Row],[Other manager 2: Numbers employed (Full Time Equivalent)]]),"")</f>
        <v/>
      </c>
      <c r="PH66" s="30" t="str">
        <f>IFERROR(IF(DATA[[#This Row],[Other manager 2: Numbers employed (Full Time Equivalent)]]=0,"",DATA[[#This Row],[Other manager 2: Previous 2020/21 Minimum hourly pay rate ADJUSTED 2]]*DATA[[#This Row],[Other manager 2: Numbers employed (Full Time Equivalent)]]),"")</f>
        <v/>
      </c>
      <c r="PI66" s="30" t="str">
        <f>IFERROR(IF(DATA[[#This Row],[Other manager 2: Numbers employed (Full Time Equivalent)]]=0,"",DATA[[#This Row],[Other manager 2: Previous 2020/21 Maximum hourly pay rate ADJUSTED 2]]*DATA[[#This Row],[Other manager 2: Numbers employed (Full Time Equivalent)]]),"")</f>
        <v/>
      </c>
      <c r="PJ66" s="30" t="str">
        <f>IFERROR(IF(DATA[[#This Row],[Other manager 3: Numbers employed (Full Time Equivalent)]]=0,"",DATA[[#This Row],[Other manager 3: Current 2021/22 Minimum hourly pay rate ADJUSTED 2]]*DATA[[#This Row],[Other manager 3: Numbers employed (Full Time Equivalent)]]),"")</f>
        <v/>
      </c>
      <c r="PK66" s="30" t="str">
        <f>IFERROR(IF(DATA[[#This Row],[Other manager 3: Numbers employed (Full Time Equivalent)]]=0,"",DATA[[#This Row],[Other manager 3: Current 2021/22 Maximum hourly pay rate ADJUSTED 2]]*DATA[[#This Row],[Other manager 3: Numbers employed (Full Time Equivalent)]]),"")</f>
        <v/>
      </c>
      <c r="PL66" s="30" t="str">
        <f>IFERROR(IF(DATA[[#This Row],[Other manager 3: Numbers employed (Full Time Equivalent)]]=0,"",DATA[[#This Row],[Other manager 3: Previous 2020/21 Minimum hourly pay rate ADJUSTED 2]]*DATA[[#This Row],[Other manager 3: Numbers employed (Full Time Equivalent)]]),"")</f>
        <v/>
      </c>
      <c r="PM66" s="30" t="str">
        <f>IFERROR(IF(DATA[[#This Row],[Other manager 3: Numbers employed (Full Time Equivalent)]]=0,"",DATA[[#This Row],[Other manager 3: Previous 2020/21 Maximum hourly pay rate ADJUSTED 2]]*DATA[[#This Row],[Other manager 3: Numbers employed (Full Time Equivalent)]]),"")</f>
        <v/>
      </c>
      <c r="PN66" s="30">
        <f>IFERROR(IF(DATA[[#This Row],[Care Assistant 1: Numbers employed (Full Time Equivalent)]]=0,"",DATA[[#This Row],[Care Assistant 1: Current 2021/22 Minimum hourly pay rate ADJUSTED 2]]*DATA[[#This Row],[Care Assistant 1: Numbers employed (Full Time Equivalent)]]),"")</f>
        <v>173.745</v>
      </c>
      <c r="PO66" s="30">
        <f>IFERROR(IF(DATA[[#This Row],[Care Assistant 1: Numbers employed (Full Time Equivalent)]]=0,"",DATA[[#This Row],[Care Assistant 1: Current 2021/22 Maximum hourly pay rate ADJUSTED 2]]*DATA[[#This Row],[Care Assistant 1: Numbers employed (Full Time Equivalent)]]),"")</f>
        <v>347.49</v>
      </c>
      <c r="PP66" s="30">
        <f>IFERROR(IF(DATA[[#This Row],[Care Assistant 1: Numbers employed (Full Time Equivalent)]]=0,"",DATA[[#This Row],[Care Assistant 1: Previous 2020/21 Minimum hourly pay rate ADJUSTED 2]]*DATA[[#This Row],[Care Assistant 1: Numbers employed (Full Time Equivalent)]]),"")</f>
        <v>170.04000000000002</v>
      </c>
      <c r="PQ66" s="30">
        <f>IFERROR(IF(DATA[[#This Row],[Care Assistant 1: Numbers employed (Full Time Equivalent)]]=0,"",DATA[[#This Row],[Care Assistant 1: Previous 2020/21 Maximum hourly pay rate ADJUSTED 2]]*DATA[[#This Row],[Care Assistant 1: Numbers employed (Full Time Equivalent)]]),"")</f>
        <v>340.08000000000004</v>
      </c>
      <c r="PR66" s="30">
        <f>IFERROR(IF(DATA[[#This Row],[Care Assistant 2: Numbers employed (Full Time Equivalent)]]=0,"",DATA[[#This Row],[Care Assistant 2: Current 2021/22 Minimum hourly pay rate ADJUSTED 2]]*DATA[[#This Row],[Care Assistant 2: Numbers employed (Full Time Equivalent)]]),"")</f>
        <v>9.31</v>
      </c>
      <c r="PS66" s="30">
        <f>IFERROR(IF(DATA[[#This Row],[Care Assistant 2: Numbers employed (Full Time Equivalent)]]=0,"",DATA[[#This Row],[Care Assistant 2: Current 2021/22 Maximum hourly pay rate ADJUSTED 2]]*DATA[[#This Row],[Care Assistant 2: Numbers employed (Full Time Equivalent)]]),"")</f>
        <v>18.62</v>
      </c>
      <c r="PT66" s="30">
        <f>IFERROR(IF(DATA[[#This Row],[Care Assistant 2: Numbers employed (Full Time Equivalent)]]=0,"",DATA[[#This Row],[Care Assistant 2: Previous 2020/21 Minimum hourly pay rate ADJUSTED 2]]*DATA[[#This Row],[Care Assistant 2: Numbers employed (Full Time Equivalent)]]),"")</f>
        <v>9.1199999999999992</v>
      </c>
      <c r="PU66" s="30">
        <f>IFERROR(IF(DATA[[#This Row],[Care Assistant 2: Numbers employed (Full Time Equivalent)]]=0,"",DATA[[#This Row],[Care Assistant 2: Previous 2020/21 Maximum hourly pay rate ADJUSTED 2]]*DATA[[#This Row],[Care Assistant 2: Numbers employed (Full Time Equivalent)]]),"")</f>
        <v>18.239999999999998</v>
      </c>
      <c r="PV66" s="30" t="str">
        <f>IFERROR(IF(DATA[[#This Row],[Care Assistant 3: Numbers employed (Full Time Equivalent)]]=0,"",DATA[[#This Row],[Care Assistant 3: Current 2021/22 Minimum hourly pay rate ADJUSTED 2]]*DATA[[#This Row],[Care Assistant 3: Numbers employed (Full Time Equivalent)]]),"")</f>
        <v/>
      </c>
      <c r="PW66" s="30" t="str">
        <f>IFERROR(IF(DATA[[#This Row],[Care Assistant 3: Numbers employed (Full Time Equivalent)]]=0,"",DATA[[#This Row],[Care Assistant 3: Current 2021/22 Maximum hourly pay rate ADJUSTED 2]]*DATA[[#This Row],[Care Assistant 3: Numbers employed (Full Time Equivalent)]]),"")</f>
        <v/>
      </c>
      <c r="PX66" s="30" t="str">
        <f>IFERROR(IF(DATA[[#This Row],[Care Assistant 3: Numbers employed (Full Time Equivalent)]]=0,"",DATA[[#This Row],[Care Assistant 3: Previous 2020/21 Minimum hourly pay rate ADJUSTED 2]]*DATA[[#This Row],[Care Assistant 3: Numbers employed (Full Time Equivalent)]]),"")</f>
        <v/>
      </c>
      <c r="PY66" s="30" t="str">
        <f>IFERROR(IF(DATA[[#This Row],[Care Assistant 3: Numbers employed (Full Time Equivalent)]]=0,"",DATA[[#This Row],[Care Assistant 3: Previous 2020/21 Maximum hourly pay rate ADJUSTED 2]]*DATA[[#This Row],[Care Assistant 3: Numbers employed (Full Time Equivalent)]]),"")</f>
        <v/>
      </c>
      <c r="PZ66" s="30" t="str">
        <f>IFERROR(IF(DATA[[#This Row],[Care Assistant 4: Numbers employed (Full Time Equivalent)]]=0,"",DATA[[#This Row],[Care Assistant 4: Current 2021/22 Minimum hourly pay rate ADJUSTED 2]]*DATA[[#This Row],[Care Assistant 4: Numbers employed (Full Time Equivalent)]]),"")</f>
        <v/>
      </c>
      <c r="QA66" s="30" t="str">
        <f>IFERROR(IF(DATA[[#This Row],[Care Assistant 4: Numbers employed (Full Time Equivalent)]]=0,"",DATA[[#This Row],[Care Assistant 4: Current 2021/22 Maximum hourly pay rate ADJUSTED 2]]*DATA[[#This Row],[Care Assistant 4: Numbers employed (Full Time Equivalent)]]),"")</f>
        <v/>
      </c>
      <c r="QB66" s="30" t="str">
        <f>IFERROR(IF(DATA[[#This Row],[Care Assistant 4: Numbers employed (Full Time Equivalent)]]=0,"",DATA[[#This Row],[Care Assistant 4: Previous 2020/21 Minimum hourly pay rate ADJUSTED 2]]*DATA[[#This Row],[Care Assistant 4: Numbers employed (Full Time Equivalent)]]),"")</f>
        <v/>
      </c>
      <c r="QC66" s="30" t="str">
        <f>IFERROR(IF(DATA[[#This Row],[Care Assistant 4: Numbers employed (Full Time Equivalent)]]=0,"",DATA[[#This Row],[Care Assistant 4: Previous 2020/21 Maximum hourly pay rate ADJUSTED 2]]*DATA[[#This Row],[Care Assistant 4: Numbers employed (Full Time Equivalent)]]),"")</f>
        <v/>
      </c>
      <c r="QD66" s="30">
        <f>IFERROR(IF(DATA[[#This Row],[Administrative Officer 1: Numbers employed (Full Time Equivalent)]]=0,"",DATA[[#This Row],[Administrative Officer 1: Current 2021/22 Minimum hourly pay rate ADJUSTED 2]]*DATA[[#This Row],[Administrative Officer 1: Numbers employed (Full Time Equivalent)]]),"")</f>
        <v>13.3</v>
      </c>
      <c r="QE66" s="30">
        <f>IFERROR(IF(DATA[[#This Row],[Administrative Officer 1: Numbers employed (Full Time Equivalent)]]=0,"",DATA[[#This Row],[Administrative Officer 1: Current 2021/22 Maximum hourly pay rate ADJUSTED 2]]*DATA[[#This Row],[Administrative Officer 1: Numbers employed (Full Time Equivalent)]]),"")</f>
        <v>13.3</v>
      </c>
      <c r="QF66" s="30">
        <f>IFERROR(IF(DATA[[#This Row],[Administrative Officer 1: Numbers employed (Full Time Equivalent)]]=0,"",DATA[[#This Row],[Administrative Officer 1: Previous 2020/21 Minimum hourly pay rate ADJUSTED 2]]*DATA[[#This Row],[Administrative Officer 1: Numbers employed (Full Time Equivalent)]]),"")</f>
        <v>13</v>
      </c>
      <c r="QG66" s="30">
        <f>IFERROR(IF(DATA[[#This Row],[Administrative Officer 1: Numbers employed (Full Time Equivalent)]]=0,"",DATA[[#This Row],[Administrative Officer 1: Previous 2020/21 Maximum hourly pay rate ADJUSTED 2]]*DATA[[#This Row],[Administrative Officer 1: Numbers employed (Full Time Equivalent)]]),"")</f>
        <v>13</v>
      </c>
      <c r="QH66" s="30">
        <f>IFERROR(IF(DATA[[#This Row],[Administrative Officer 2: Numbers employed (Full Time Equivalent)]]=0,"",DATA[[#This Row],[Administrative Officer 2: Current 2021/22 Minimum hourly pay rate ADJUSTED 2]]*DATA[[#This Row],[Administrative Officer 2: Numbers employed (Full Time Equivalent)]]),"")</f>
        <v>13.3</v>
      </c>
      <c r="QI66" s="30">
        <f>IFERROR(IF(DATA[[#This Row],[Administrative Officer 2: Numbers employed (Full Time Equivalent)]]=0,"",DATA[[#This Row],[Administrative Officer 2: Current 2021/22 Maximum hourly pay rate ADJUSTED 2]]*DATA[[#This Row],[Administrative Officer 2: Numbers employed (Full Time Equivalent)]]),"")</f>
        <v>13.3</v>
      </c>
      <c r="QJ66" s="30">
        <f>IFERROR(IF(DATA[[#This Row],[Administrative Officer 2: Numbers employed (Full Time Equivalent)]]=0,"",DATA[[#This Row],[Administrative Officer 2: Previous 2020/21 Minimum hourly pay rate ADJUSTED 2]]*DATA[[#This Row],[Administrative Officer 2: Numbers employed (Full Time Equivalent)]]),"")</f>
        <v>13</v>
      </c>
      <c r="QK66" s="30">
        <f>IFERROR(IF(DATA[[#This Row],[Administrative Officer 2: Numbers employed (Full Time Equivalent)]]=0,"",DATA[[#This Row],[Administrative Officer 2: Previous 2020/21 Maximum hourly pay rate ADJUSTED 2]]*DATA[[#This Row],[Administrative Officer 2: Numbers employed (Full Time Equivalent)]]),"")</f>
        <v>13</v>
      </c>
      <c r="QL66" s="30" t="str">
        <f>IFERROR(IF(DATA[[#This Row],[Administrative Officer 3: Numbers employed (Full Time Equivalent)]]=0,"",DATA[[#This Row],[Administrative Officer 3: Current 2021/22 Minimum hourly pay rate ADJUSTED 2]]*DATA[[#This Row],[Administrative Officer 3: Numbers employed (Full Time Equivalent)]]),"")</f>
        <v/>
      </c>
      <c r="QM66" s="30" t="str">
        <f>IFERROR(IF(DATA[[#This Row],[Administrative Officer 3: Numbers employed (Full Time Equivalent)]]=0,"",DATA[[#This Row],[Administrative Officer 3: Current 2021/22 Maximum hourly pay rate ADJUSTED 2]]*DATA[[#This Row],[Administrative Officer 3: Numbers employed (Full Time Equivalent)]]),"")</f>
        <v/>
      </c>
      <c r="QN66" s="30" t="str">
        <f>IFERROR(IF(DATA[[#This Row],[Administrative Officer 3: Numbers employed (Full Time Equivalent)]]=0,"",DATA[[#This Row],[Administrative Officer 3: Previous 2020/21 Minimum hourly pay rate ADJUSTED 2]]*DATA[[#This Row],[Administrative Officer 3: Numbers employed (Full Time Equivalent)]]),"")</f>
        <v/>
      </c>
      <c r="QO66" s="30" t="str">
        <f>IFERROR(IF(DATA[[#This Row],[Administrative Officer 3: Numbers employed (Full Time Equivalent)]]=0,"",DATA[[#This Row],[Administrative Officer 3: Previous 2020/21 Maximum hourly pay rate ADJUSTED 2]]*DATA[[#This Row],[Administrative Officer 3: Numbers employed (Full Time Equivalent)]]),"")</f>
        <v/>
      </c>
      <c r="QP66" s="28" t="str">
        <f>IFERROR(IF(DATA[[#This Row],[Other staff 1: Numbers employed (Full Time Equivalent)]]=0,"",DATA[[#This Row],[Other staff 1: Current 2021/22 Minimum hourly pay rate ADJUSTED 2]]*DATA[[#This Row],[Other staff 1: Numbers employed (Full Time Equivalent)]]),"")</f>
        <v/>
      </c>
      <c r="QQ66" s="28" t="str">
        <f>IFERROR(IF(DATA[[#This Row],[Other staff 1: Numbers employed (Full Time Equivalent)]]=0,"",DATA[[#This Row],[Other staff 1: Current 2021/22 Maximum hourly pay rate ADJUSTED 2]]*DATA[[#This Row],[Other staff 1: Numbers employed (Full Time Equivalent)]]),"")</f>
        <v/>
      </c>
      <c r="QR66" s="28" t="str">
        <f>IFERROR(IF(DATA[[#This Row],[Other staff 1: Numbers employed (Full Time Equivalent)]]=0,"",DATA[[#This Row],[Other staff 1: Previous 2020/21 Minimum hourly pay rate ADJUSTED 2]]*DATA[[#This Row],[Other staff 1: Numbers employed (Full Time Equivalent)]]),"")</f>
        <v/>
      </c>
      <c r="QS66" s="28" t="str">
        <f>IFERROR(IF(DATA[[#This Row],[Other staff 1: Numbers employed (Full Time Equivalent)]]=0,"",DATA[[#This Row],[Other staff 1: Previous 2020/21 Maximum hourly pay rate ADJUSTED 2]]*DATA[[#This Row],[Other staff 1: Numbers employed (Full Time Equivalent)]]),"")</f>
        <v/>
      </c>
      <c r="QT66" s="28" t="str">
        <f>IFERROR(IF(DATA[[#This Row],[Other staff 2: Numbers employed (Full Time Equivalent)]]=0,"",DATA[[#This Row],[Other staff 2: Current 2021/22 Minimum hourly pay rate ADJUSTED 2]]*DATA[[#This Row],[Other staff 2: Numbers employed (Full Time Equivalent)]]),"")</f>
        <v/>
      </c>
      <c r="QU66" s="28" t="str">
        <f>IFERROR(IF(DATA[[#This Row],[Other staff 2: Numbers employed (Full Time Equivalent)]]=0,"",DATA[[#This Row],[Other staff 2: Current 2021/22 Maximum hourly pay rate ADJUSTED 2]]*DATA[[#This Row],[Other staff 2: Numbers employed (Full Time Equivalent)]]),"")</f>
        <v/>
      </c>
      <c r="QV66" s="28" t="str">
        <f>IFERROR(IF(DATA[[#This Row],[Other staff 2: Numbers employed (Full Time Equivalent)]]=0,"",DATA[[#This Row],[Other staff 2: Previous 2020/21 Minimum hourly pay rate ADJUSTED 2]]*DATA[[#This Row],[Other staff 2: Numbers employed (Full Time Equivalent)]]),"")</f>
        <v/>
      </c>
      <c r="QW66" s="28" t="str">
        <f>IFERROR(IF(DATA[[#This Row],[Other staff 2: Numbers employed (Full Time Equivalent)]]=0,"",DATA[[#This Row],[Other staff 2: Previous 2020/21 Maximum hourly pay rate ADJUSTED 2]]*DATA[[#This Row],[Other staff 2: Numbers employed (Full Time Equivalent)]]),"")</f>
        <v/>
      </c>
      <c r="QX66" s="28" t="str">
        <f>IFERROR(IF(DATA[[#This Row],[Other staff 3: Numbers employed (Full Time Equivalent)]]=0,"",DATA[[#This Row],[Other staff 3: Current 2021/22 Minimum hourly pay rate ADJUSTED 2]]*DATA[[#This Row],[Other staff 3: Numbers employed (Full Time Equivalent)]]),"")</f>
        <v/>
      </c>
      <c r="QY66" s="28" t="str">
        <f>IFERROR(IF(DATA[[#This Row],[Other staff 3: Numbers employed (Full Time Equivalent)]]=0,"",DATA[[#This Row],[Other staff 3: Current 2021/22 Maximum hourly pay rate ADJUSTED 2]]*DATA[[#This Row],[Other staff 3: Numbers employed (Full Time Equivalent)]]),"")</f>
        <v/>
      </c>
      <c r="QZ66" s="28" t="str">
        <f>IFERROR(IF(DATA[[#This Row],[Other staff 3: Numbers employed (Full Time Equivalent)]]=0,"",DATA[[#This Row],[Other staff 3: Previous 2020/21 Minimum hourly pay rate ADJUSTED 2]]*DATA[[#This Row],[Other staff 3: Numbers employed (Full Time Equivalent)]]),"")</f>
        <v/>
      </c>
      <c r="RA66" s="28" t="str">
        <f>IFERROR(IF(DATA[[#This Row],[Other staff 3: Numbers employed (Full Time Equivalent)]]=0,"",DATA[[#This Row],[Other staff 3: Previous 2020/21 Maximum hourly pay rate ADJUSTED 2]]*DATA[[#This Row],[Other staff 3: Numbers employed (Full Time Equivalent)]]),"")</f>
        <v/>
      </c>
      <c r="RB66"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66"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66"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66"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66"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6"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19.5</v>
      </c>
      <c r="RH66"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v>
      </c>
      <c r="RI66"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66"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6"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66"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66"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66"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66"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6"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7" spans="7:484" x14ac:dyDescent="0.25">
      <c r="G67" s="2">
        <v>61</v>
      </c>
      <c r="H67" s="2">
        <v>0</v>
      </c>
      <c r="I67" s="2">
        <v>1</v>
      </c>
      <c r="J67" s="2">
        <v>0</v>
      </c>
      <c r="K67" s="2">
        <v>1</v>
      </c>
      <c r="L67" s="2" t="s">
        <v>328</v>
      </c>
      <c r="M67" s="2" t="s">
        <v>323</v>
      </c>
      <c r="R67" s="2">
        <v>0</v>
      </c>
      <c r="S67" s="2">
        <v>0</v>
      </c>
      <c r="T67" s="2">
        <v>0</v>
      </c>
      <c r="U67" s="2">
        <v>0</v>
      </c>
      <c r="V67" s="2">
        <v>0</v>
      </c>
      <c r="W67" s="2">
        <v>0</v>
      </c>
      <c r="X67" s="2">
        <v>0</v>
      </c>
      <c r="Y67" s="2">
        <v>0</v>
      </c>
      <c r="Z67" s="2">
        <v>0</v>
      </c>
      <c r="AA67" s="2">
        <v>0</v>
      </c>
      <c r="AB67" s="2" t="s">
        <v>315</v>
      </c>
      <c r="AC67" s="2">
        <v>0</v>
      </c>
      <c r="AD67" s="2">
        <v>0</v>
      </c>
      <c r="AE67" s="2">
        <v>0</v>
      </c>
      <c r="AF67" s="2">
        <v>0</v>
      </c>
      <c r="AG67" s="2">
        <v>0</v>
      </c>
      <c r="AH67" s="2" t="s">
        <v>315</v>
      </c>
      <c r="AI67" s="2">
        <v>0</v>
      </c>
      <c r="AJ67" s="2">
        <v>0</v>
      </c>
      <c r="AK67" s="2">
        <v>0</v>
      </c>
      <c r="AL67" s="2">
        <v>0</v>
      </c>
      <c r="AM67" s="2">
        <v>0</v>
      </c>
      <c r="AN67" s="2" t="s">
        <v>315</v>
      </c>
      <c r="AO67" s="2">
        <v>0</v>
      </c>
      <c r="AP67" s="2">
        <v>0</v>
      </c>
      <c r="AQ67" s="2">
        <v>0</v>
      </c>
      <c r="AR67" s="2">
        <v>0</v>
      </c>
      <c r="AS67" s="2">
        <v>0</v>
      </c>
      <c r="AT67" s="2" t="s">
        <v>316</v>
      </c>
      <c r="AU67" s="2">
        <v>9.2857000000000003</v>
      </c>
      <c r="AV67" s="2">
        <v>9.2857000000000003</v>
      </c>
      <c r="AW67" s="2">
        <v>9.2308000000000003</v>
      </c>
      <c r="AX67" s="2">
        <v>9.2308000000000003</v>
      </c>
      <c r="AY67" s="2">
        <v>1</v>
      </c>
      <c r="AZ67" s="2" t="s">
        <v>316</v>
      </c>
      <c r="BA67" s="2">
        <v>9.0226000000000006</v>
      </c>
      <c r="BB67" s="2">
        <v>9.0226000000000006</v>
      </c>
      <c r="BC67" s="2">
        <v>9.0226000000000006</v>
      </c>
      <c r="BD67" s="2">
        <v>9.0226000000000006</v>
      </c>
      <c r="BE67" s="2">
        <v>1</v>
      </c>
      <c r="BF67" s="2" t="s">
        <v>316</v>
      </c>
      <c r="BG67" s="2">
        <v>0</v>
      </c>
      <c r="BH67" s="2">
        <v>0</v>
      </c>
      <c r="BI67" s="2">
        <v>0</v>
      </c>
      <c r="BJ67" s="2">
        <v>0</v>
      </c>
      <c r="BK67" s="2">
        <v>0</v>
      </c>
      <c r="BL67" s="2" t="s">
        <v>316</v>
      </c>
      <c r="BM67" s="2">
        <v>0</v>
      </c>
      <c r="BN67" s="2">
        <v>0</v>
      </c>
      <c r="BO67" s="2">
        <v>0</v>
      </c>
      <c r="BP67" s="2">
        <v>0</v>
      </c>
      <c r="BQ67" s="2">
        <v>0</v>
      </c>
      <c r="BR67" s="2" t="s">
        <v>317</v>
      </c>
      <c r="BS67" s="2">
        <v>0</v>
      </c>
      <c r="BT67" s="2">
        <v>0</v>
      </c>
      <c r="BU67" s="2">
        <v>0</v>
      </c>
      <c r="BV67" s="2">
        <v>0</v>
      </c>
      <c r="BW67" s="2">
        <v>0</v>
      </c>
      <c r="BX67" s="2" t="s">
        <v>317</v>
      </c>
      <c r="BY67" s="2">
        <v>0</v>
      </c>
      <c r="BZ67" s="2">
        <v>0</v>
      </c>
      <c r="CA67" s="2">
        <v>0</v>
      </c>
      <c r="CB67" s="2">
        <v>0</v>
      </c>
      <c r="CC67" s="2">
        <v>0</v>
      </c>
      <c r="CD67" s="2" t="s">
        <v>317</v>
      </c>
      <c r="CE67" s="2">
        <v>0</v>
      </c>
      <c r="CF67" s="2">
        <v>0</v>
      </c>
      <c r="CG67" s="2">
        <v>0</v>
      </c>
      <c r="CH67" s="2">
        <v>0</v>
      </c>
      <c r="CI67" s="2">
        <v>0</v>
      </c>
      <c r="CJ67" s="2" t="s">
        <v>318</v>
      </c>
      <c r="CK67" s="2">
        <v>0</v>
      </c>
      <c r="CL67" s="2">
        <v>0</v>
      </c>
      <c r="CM67" s="2">
        <v>0</v>
      </c>
      <c r="CN67" s="2">
        <v>0</v>
      </c>
      <c r="CO67" s="2">
        <v>0</v>
      </c>
      <c r="CP67" s="2" t="s">
        <v>318</v>
      </c>
      <c r="CQ67" s="2">
        <v>0</v>
      </c>
      <c r="CR67" s="2">
        <v>0</v>
      </c>
      <c r="CS67" s="2">
        <v>0</v>
      </c>
      <c r="CT67" s="2">
        <v>0</v>
      </c>
      <c r="CU67" s="2">
        <v>0</v>
      </c>
      <c r="CV67" s="2" t="s">
        <v>318</v>
      </c>
      <c r="CW67" s="2">
        <v>0</v>
      </c>
      <c r="CX67" s="2">
        <v>0</v>
      </c>
      <c r="CY67" s="2">
        <v>0</v>
      </c>
      <c r="CZ67" s="2">
        <v>0</v>
      </c>
      <c r="DA67" s="2">
        <v>0</v>
      </c>
      <c r="DB67" s="2"/>
      <c r="DC67" s="2">
        <v>0</v>
      </c>
      <c r="DD67" s="2">
        <v>0</v>
      </c>
      <c r="DE67" s="2">
        <v>0</v>
      </c>
      <c r="DF67" s="2">
        <v>0</v>
      </c>
      <c r="DG67" s="2">
        <v>0</v>
      </c>
      <c r="DH67" s="2">
        <v>0</v>
      </c>
      <c r="DI67" s="2">
        <v>0</v>
      </c>
      <c r="DJ67" s="2">
        <v>0</v>
      </c>
      <c r="DK67" s="2">
        <v>0</v>
      </c>
      <c r="DL67" s="2">
        <v>18</v>
      </c>
      <c r="DM67" s="2">
        <v>0</v>
      </c>
      <c r="DN67" s="2">
        <v>0</v>
      </c>
      <c r="DO67" s="2">
        <v>5.1100000000000003</v>
      </c>
      <c r="DP67" s="2">
        <v>0</v>
      </c>
      <c r="DQ67" s="2">
        <v>9.4888999999999992</v>
      </c>
      <c r="DR67" s="18">
        <v>43862</v>
      </c>
      <c r="DS67" s="18">
        <v>44227</v>
      </c>
      <c r="DT67" s="2">
        <v>786.85714285714289</v>
      </c>
      <c r="DU67" s="2">
        <v>0</v>
      </c>
      <c r="DV67" s="2">
        <v>0</v>
      </c>
      <c r="DW67" s="2">
        <v>0</v>
      </c>
      <c r="DX67" s="2">
        <v>0</v>
      </c>
      <c r="DY67" s="2">
        <v>27000</v>
      </c>
      <c r="DZ67" s="2">
        <v>1337.6</v>
      </c>
      <c r="EA67" s="2">
        <v>0</v>
      </c>
      <c r="EB67" s="2">
        <v>0</v>
      </c>
      <c r="EC67" s="2">
        <v>21.85</v>
      </c>
      <c r="ED67" s="2">
        <v>184.79</v>
      </c>
      <c r="EE67" s="2">
        <v>0</v>
      </c>
      <c r="EF67" s="2">
        <v>0</v>
      </c>
      <c r="EG67" s="2">
        <v>1280.71</v>
      </c>
      <c r="EH67" s="2" t="s">
        <v>324</v>
      </c>
      <c r="EI67" s="2">
        <v>1040.08</v>
      </c>
      <c r="EJ67" s="2" t="s">
        <v>324</v>
      </c>
      <c r="EK67" s="2">
        <v>0</v>
      </c>
      <c r="EL67" s="2">
        <v>1531.43</v>
      </c>
      <c r="EM67" s="2">
        <v>3136.18</v>
      </c>
      <c r="EN67" s="2">
        <v>1731.66</v>
      </c>
      <c r="EO67" s="2">
        <v>9060</v>
      </c>
      <c r="EP67" s="2">
        <v>0</v>
      </c>
      <c r="EQ67" s="2">
        <v>0</v>
      </c>
      <c r="ER67" s="2">
        <v>0</v>
      </c>
      <c r="ES67" s="2">
        <v>0</v>
      </c>
      <c r="ET67" s="2" t="s">
        <v>324</v>
      </c>
      <c r="EU67" s="2">
        <v>4863</v>
      </c>
      <c r="EV67" s="2" t="s">
        <v>324</v>
      </c>
      <c r="EW67" s="2">
        <v>2265</v>
      </c>
      <c r="EX67" s="2">
        <v>0</v>
      </c>
      <c r="EY67" s="2">
        <v>0</v>
      </c>
      <c r="EZ67" s="2" t="s">
        <v>326</v>
      </c>
      <c r="FA67" s="2">
        <v>339.31</v>
      </c>
      <c r="FB67" s="2" t="s">
        <v>326</v>
      </c>
      <c r="FC67" s="2">
        <v>61.55</v>
      </c>
      <c r="FD67" s="2"/>
      <c r="FE67" s="2">
        <v>0</v>
      </c>
      <c r="FF67" s="2">
        <v>39391.4</v>
      </c>
      <c r="FG67" s="2"/>
      <c r="FH67" s="19">
        <v>44480.627303240741</v>
      </c>
      <c r="FI67" s="2" t="s">
        <v>580</v>
      </c>
      <c r="FJ67" s="2">
        <f>SUM(DATA[[#This Row],[Number of Home support clients:]],DATA[[#This Row],[Number of supported living clients:]])</f>
        <v>1</v>
      </c>
      <c r="FK67"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67" s="2" t="str">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
      </c>
      <c r="FM67" s="2" t="str">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
      </c>
      <c r="FN67"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67"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67"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67"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67"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67"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67"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67"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67"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67"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67"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67"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67"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67"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67"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7"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7"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7"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7"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9.2857000000000003</v>
      </c>
      <c r="GG67"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9.2857000000000003</v>
      </c>
      <c r="GH67"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9.2308000000000003</v>
      </c>
      <c r="GI67"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9.2308000000000003</v>
      </c>
      <c r="GJ67"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9.0226000000000006</v>
      </c>
      <c r="GK67"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9.0226000000000006</v>
      </c>
      <c r="GL67"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9.0226000000000006</v>
      </c>
      <c r="GM67"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9.0226000000000006</v>
      </c>
      <c r="GN67"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67"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67"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67"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67"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7"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7"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7"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7"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67"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67"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67"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67"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67"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67"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67"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67"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67"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67"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67"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67"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67"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67"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67"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67"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7"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7"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7"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7"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7"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7"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7"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7" s="2" t="str">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
      </c>
      <c r="HU67" s="2" t="str">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
      </c>
      <c r="HV67" s="2" t="str">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
      </c>
      <c r="HW67" s="2" t="str">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
      </c>
      <c r="HX67"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67"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67"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67"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67"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67"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67"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67"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67"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67"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67"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67"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67"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7"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7"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7"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7"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9.2857000000000003</v>
      </c>
      <c r="IO67"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9.2857000000000003</v>
      </c>
      <c r="IP67"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9.2308000000000003</v>
      </c>
      <c r="IQ67"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9.2308000000000003</v>
      </c>
      <c r="IR67"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9.0226000000000006</v>
      </c>
      <c r="IS67"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9.0226000000000006</v>
      </c>
      <c r="IT67"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9.0226000000000006</v>
      </c>
      <c r="IU67"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9.0226000000000006</v>
      </c>
      <c r="IV67"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67"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67"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67"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67"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7"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7"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7"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7"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67"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67"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67"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67"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67"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67"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67"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67"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67"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67"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67"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67"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67"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67"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67"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67"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7"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7"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7"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7"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7"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7"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7"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7"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v>
      </c>
      <c r="KC67" s="21">
        <f>SUM(DATA[[#This Row],[Care Assistant 1: Numbers employed (Full Time Equivalent)]],DATA[[#This Row],[Care Assistant 2: Numbers employed (Full Time Equivalent)]],DATA[[#This Row],[Care Assistant 3: Numbers employed (Full Time Equivalent)]],DATA[[#This Row],[Care Assistant 4: Numbers employed (Full Time Equivalent)]])</f>
        <v>2</v>
      </c>
      <c r="KD67" s="21">
        <f>SUM(DATA[[#This Row],[Administrative Officer 1: Numbers employed (Full Time Equivalent)]],DATA[[#This Row],[Administrative Officer 2: Numbers employed (Full Time Equivalent)]])</f>
        <v>0</v>
      </c>
      <c r="KE67" s="21">
        <f>SUM(DATA[[#This Row],[Other staff 1: Numbers employed (Full Time Equivalent)]],DATA[[#This Row],[Other staff 2: Numbers employed (Full Time Equivalent)]],DATA[[#This Row],[Other staff 3: Numbers employed (Full Time Equivalent)]])</f>
        <v>0</v>
      </c>
      <c r="KF67" s="21">
        <f>SUM(DATA[[#This Row],[Total FTE Management Employees]:[Total FTE Other Employees]])</f>
        <v>2</v>
      </c>
      <c r="KG67" s="21" t="str">
        <f>IF(SUM(DATA[[#This Row],[Home Support service split percentage (Expenditure):]],DATA[[#This Row],[Supported Living service split percentage (Expenditure):]])&gt;0, IF(DATA[[#This Row],[Home Support service split percentage (Expenditure):]]&gt;0.5,"Home Support","Supported Living"), "Unknown")</f>
        <v>Supported Living</v>
      </c>
      <c r="KH67" s="21">
        <f>SUM(DATA[[#This Row],[Home Support: Birmingham City Council]:[Home Support: Self-funded]])</f>
        <v>0</v>
      </c>
      <c r="KI67" s="21">
        <f>SUM(DATA[[#This Row],[Supported Living: Birmingham City Council]:[Supported Living: Self-funded]])</f>
        <v>18</v>
      </c>
      <c r="KJ67"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7"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7"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7"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7" s="21" t="b">
        <f>SUM(DATA[[#This Row],[Number of hours of care charged for in last full accounting year]:[Corporate Overheads: Other  - please specify (category) 1]])&gt;0</f>
        <v>1</v>
      </c>
      <c r="KO67" s="21">
        <f>SUM(DATA[[#This Row],[Total annual expenditure: Management staff]:[Total annual expenditure: Training and development]])</f>
        <v>28337.599999999999</v>
      </c>
      <c r="KP67" s="21">
        <f>SUM(DATA[[#This Row],[Recruitment &amp; advertising (including DBS checks)]:[Non-Staffing Direct Cost: Other  - please specify (amount) 2]])</f>
        <v>2527.4299999999998</v>
      </c>
      <c r="KQ67" s="21">
        <f>SUM(DATA[[#This Row],[Insurance ]:[Indirect costs: Other 2 - please specify (amount)]])</f>
        <v>22587.27</v>
      </c>
      <c r="KR67" s="21">
        <f>SUM(DATA[[#This Row],[Central / Regional Management]],DATA[[#This Row],[Support Services (finance / HR / Payroll / legal etc.)]],DATA[[#This Row],[Corporate Overheads: Other  - please specify (amount) 1]],DATA[[#This Row],[Corporate Overheads: Other  - please specify (amount) 2]])</f>
        <v>400.86</v>
      </c>
      <c r="KS67"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67"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67"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67"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67" s="30">
        <f>IF(OR(NOT(DATA[[#This Row],[Total annual expenditure: Agency staff]]&gt;0),NOT(DATA[[#This Row],[Number of hours of care charged for in last full accounting year]]&gt;0)),0,DATA[[#This Row],[Total annual expenditure: Agency staff]]/DATA[[#This Row],[Number of hours of care charged for in last full accounting year]])</f>
        <v>34.313725490196077</v>
      </c>
      <c r="KX67" s="30">
        <f>IF(OR(NOT(DATA[[#This Row],[Total annual expenditure: Travel Cost]]&gt;0),NOT(DATA[[#This Row],[Number of hours of care charged for in last full accounting year]]&gt;0)),0,DATA[[#This Row],[Total annual expenditure: Travel Cost]]/DATA[[#This Row],[Number of hours of care charged for in last full accounting year]])</f>
        <v>1.6999273783587507</v>
      </c>
      <c r="KY67"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67"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67"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2.7768700072621642E-2</v>
      </c>
      <c r="LB67"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0.23484567901234565</v>
      </c>
      <c r="LC67" s="30">
        <f>IF(OR(NOT(DATA[[#This Row],[Care consumables &amp; uniforms]]&gt;0),NOT(DATA[[#This Row],[Number of hours of care charged for in last full accounting year]]&gt;0)),0,DATA[[#This Row],[Care consumables &amp; uniforms]]/DATA[[#This Row],[Number of hours of care charged for in last full accounting year]])</f>
        <v>0</v>
      </c>
      <c r="LD67" s="30">
        <f>IF(OR(NOT(DATA[[#This Row],[Electronic call monitoring]]&gt;0),NOT(DATA[[#This Row],[Number of hours of care charged for in last full accounting year]]&gt;0)),0,DATA[[#This Row],[Electronic call monitoring]]/DATA[[#This Row],[Number of hours of care charged for in last full accounting year]])</f>
        <v>0</v>
      </c>
      <c r="LE67" s="30">
        <f>IF(OR(NOT(DATA[[#This Row],[IT Equipment &amp; Telephoney]]&gt;0),NOT(DATA[[#This Row],[Number of hours of care charged for in last full accounting year]]&gt;0)),0,DATA[[#This Row],[IT Equipment &amp; Telephoney]]/DATA[[#This Row],[Number of hours of care charged for in last full accounting year]])</f>
        <v>1.6276270878721859</v>
      </c>
      <c r="LF67"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1.3218155410312271</v>
      </c>
      <c r="LG67"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7" s="30">
        <f>IF(OR(NOT(DATA[[#This Row],[Insurance ]]&gt;0),NOT(DATA[[#This Row],[Number of hours of care charged for in last full accounting year]]&gt;0)),0,DATA[[#This Row],[Insurance ]]/DATA[[#This Row],[Number of hours of care charged for in last full accounting year]])</f>
        <v>1.946261801016703</v>
      </c>
      <c r="LI67"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3.9857044299201156</v>
      </c>
      <c r="LJ67" s="30">
        <f>IF(OR(NOT(DATA[[#This Row],[Repairs and maintenance]]&gt;0),NOT(DATA[[#This Row],[Number of hours of care charged for in last full accounting year]]&gt;0)),0,DATA[[#This Row],[Repairs and maintenance]]/DATA[[#This Row],[Number of hours of care charged for in last full accounting year]])</f>
        <v>2.2007298474945536</v>
      </c>
      <c r="LK67"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11.514161220043572</v>
      </c>
      <c r="LL67" s="30">
        <f>IF(OR(NOT(DATA[[#This Row],[Registration &amp; Inspection fees ]]&gt;0),NOT(DATA[[#This Row],[Number of hours of care charged for in last full accounting year]]&gt;0)),0,DATA[[#This Row],[Registration &amp; Inspection fees ]]/DATA[[#This Row],[Number of hours of care charged for in last full accounting year]])</f>
        <v>0</v>
      </c>
      <c r="LM67" s="30">
        <f>IF(OR(NOT(DATA[[#This Row],[Subscriptions]]&gt;0),NOT(DATA[[#This Row],[Number of hours of care charged for in last full accounting year]]&gt;0)),0,DATA[[#This Row],[Subscriptions]]/DATA[[#This Row],[Number of hours of care charged for in last full accounting year]])</f>
        <v>0</v>
      </c>
      <c r="LN67" s="30">
        <f>IF(OR(NOT(DATA[[#This Row],[Cost of finance]]&gt;0),NOT(DATA[[#This Row],[Number of hours of care charged for in last full accounting year]]&gt;0)),0,DATA[[#This Row],[Cost of finance]]/DATA[[#This Row],[Number of hours of care charged for in last full accounting year]])</f>
        <v>0</v>
      </c>
      <c r="LO67" s="30">
        <f>IF(OR(NOT(DATA[[#This Row],[Other non-staff current expenses]]&gt;0),NOT(DATA[[#This Row],[Number of hours of care charged for in last full accounting year]]&gt;0)),0,DATA[[#This Row],[Other non-staff current expenses]]/DATA[[#This Row],[Number of hours of care charged for in last full accounting year]])</f>
        <v>0</v>
      </c>
      <c r="LP67"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6.1802832244008714</v>
      </c>
      <c r="LQ67"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2.8785403050108931</v>
      </c>
      <c r="LR67" s="30">
        <f>IF(OR(NOT(DATA[[#This Row],[Central / Regional Management]]&gt;0),NOT(DATA[[#This Row],[Number of hours of care charged for in last full accounting year]]&gt;0)),0,DATA[[#This Row],[Central / Regional Management]]/DATA[[#This Row],[Number of hours of care charged for in last full accounting year]])</f>
        <v>0</v>
      </c>
      <c r="LS67"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67"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0.43122185911401595</v>
      </c>
      <c r="LU67"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7.822258533042846E-2</v>
      </c>
      <c r="LV67" s="30">
        <f>SUM(DATA[[#This Row],[Management staff HOURLY RATE]:[Corporate Overheads: Other  - please specify (amount) 2 HOURLY RATE]])</f>
        <v>68.440835148874356</v>
      </c>
      <c r="LW67" s="30" t="str">
        <f>IF(OR(NOT(DATA[[#This Row],[Net Operating Profit]]&gt;0),NOT(DATA[[#This Row],[Number of hours of care charged for in last full accounting year]]&gt;0)),"",DATA[[#This Row],[Net Operating Profit]]/DATA[[#This Row],[Number of hours of care charged for in last full accounting year]])</f>
        <v/>
      </c>
      <c r="LX67" s="30">
        <f>IF(OR(NOT(DATA[[#This Row],[Return on Capital employed]]&gt;0),NOT(DATA[[#This Row],[Number of hours of care charged for in last full accounting year]]&gt;0)),0,DATA[[#This Row],[Return on Capital employed]]/DATA[[#This Row],[Number of hours of care charged for in last full accounting year]])</f>
        <v>0</v>
      </c>
      <c r="LY67" s="31">
        <v>61</v>
      </c>
      <c r="LZ67" s="30" t="s">
        <v>815</v>
      </c>
      <c r="MA67" s="30" t="b">
        <f>DATA[[#This Row],[Number of Home support clients:]]&gt;0</f>
        <v>0</v>
      </c>
      <c r="MB67" s="30" t="b">
        <f>DATA[[#This Row],[Number of supported living clients:]]&gt;0</f>
        <v>1</v>
      </c>
      <c r="MC67" s="30" t="b">
        <f>DATA[[#This Row],[Total Home Support Hours]]&gt;0</f>
        <v>0</v>
      </c>
      <c r="MD67" s="30" t="b">
        <f>DATA[[#This Row],[Total Supported Living Hours]]&gt;0</f>
        <v>1</v>
      </c>
      <c r="ME67" s="30" t="b">
        <f>DATA[[#This Row],[Home Support service split percentage (Expenditure):]]&gt;0.5</f>
        <v>0</v>
      </c>
      <c r="MF67" s="30" t="b">
        <f>DATA[[#This Row],[Agency staff HOURLY RATE]]=0</f>
        <v>0</v>
      </c>
      <c r="MG67" s="30" t="str">
        <f>IFERROR(IF(AVERAGE(DATA[[#This Row],[Registered manager: Current 2021/22 Minimum hourly pay rate ADJUSTED]],DATA[[#This Row],[Registered manager: Current 2021/22 Maximum hourly pay rate ADJUSTED]])&lt;LIVING_WAGE_22_23,DATA[[#This Row],[Registered manager: Numbers employed (Full Time Equivalent)]],0),"")</f>
        <v/>
      </c>
      <c r="MH67" s="30" t="str">
        <f>IFERROR(IF(AVERAGE(DATA[[#This Row],[Deputy manager: Current 2021/22 Minimum hourly pay rate ADJUSTED]],DATA[[#This Row],[Deputy manager: Current 2021/22 Maximum hourly pay rate ADJUSTED]])&lt;LIVING_WAGE_22_23,DATA[[#This Row],[Deputy manager: Numbers employed (Full Time Equivalent)]],0),"")</f>
        <v/>
      </c>
      <c r="MI67" s="30" t="str">
        <f>IFERROR(IF(AVERAGE(DATA[[#This Row],[Other manager 1: Current 2021/22 Minimum hourly pay rate ADJUSTED]],DATA[[#This Row],[Other manager 1: Current 2021/22 Maximum hourly pay rate ADJUSTED]])&lt;LIVING_WAGE_22_23,DATA[[#This Row],[Other manager 1: Numbers employed (Full Time Equivalent)]],0),"")</f>
        <v/>
      </c>
      <c r="MJ67" s="30" t="str">
        <f>IFERROR(IF(AVERAGE(DATA[[#This Row],[Other manager 2: Current 2021/22 Minimum hourly pay rate ADJUSTED]],DATA[[#This Row],[Other manager 2: Current 2021/22 Maximum hourly pay rate ADJUSTED]])&lt;LIVING_WAGE_22_23,DATA[[#This Row],[Other manager 2: Numbers employed (Full Time Equivalent)]],0),"")</f>
        <v/>
      </c>
      <c r="MK67" s="30" t="str">
        <f>IFERROR(IF(AVERAGE(DATA[[#This Row],[Other manager 3: Current 2021/22 Minimum hourly pay rate ADJUSTED]],DATA[[#This Row],[Other manager 3: Current 2021/22 Maximum hourly pay rate ADJUSTED]])&lt;LIVING_WAGE_22_23,DATA[[#This Row],[Other manager 3: Numbers employed (Full Time Equivalent)]],0),"")</f>
        <v/>
      </c>
      <c r="ML67" s="30">
        <f>IFERROR(IF(AVERAGE(DATA[[#This Row],[Care Assistant 1: Current 2021/22 Minimum hourly pay rate ADJUSTED]],DATA[[#This Row],[Care Assistant 1: Current 2021/22 Maximum hourly pay rate ADJUSTED]])&lt;LIVING_WAGE_22_23,DATA[[#This Row],[Care Assistant 1: Numbers employed (Full Time Equivalent)]],0),"")</f>
        <v>1</v>
      </c>
      <c r="MM67" s="30">
        <f>IFERROR(IF(AVERAGE(DATA[[#This Row],[Care Assistant 2: Current 2021/22 Minimum hourly pay rate ADJUSTED]],DATA[[#This Row],[Care Assistant 2: Current 2021/22 Maximum hourly pay rate ADJUSTED]])&lt;LIVING_WAGE_22_23,DATA[[#This Row],[Care Assistant 2: Numbers employed (Full Time Equivalent)]],0),"")</f>
        <v>1</v>
      </c>
      <c r="MN67" s="30" t="str">
        <f>IFERROR(IF(AVERAGE(DATA[[#This Row],[Care Assistant 3: Current 2021/22 Minimum hourly pay rate ADJUSTED]],DATA[[#This Row],[Care Assistant 3: Current 2021/22 Maximum hourly pay rate ADJUSTED]])&lt;LIVING_WAGE_22_23,DATA[[#This Row],[Care Assistant 3: Numbers employed (Full Time Equivalent)]],0),"")</f>
        <v/>
      </c>
      <c r="MO67" s="30" t="str">
        <f>IFERROR(IF(AVERAGE(DATA[[#This Row],[Care Assistant 4: Current 2021/22 Minimum hourly pay rate ADJUSTED]],DATA[[#This Row],[Care Assistant 4: Current 2021/22 Maximum hourly pay rate ADJUSTED]])&lt;LIVING_WAGE_22_23,DATA[[#This Row],[Care Assistant 4: Numbers employed (Full Time Equivalent)]],0),"")</f>
        <v/>
      </c>
      <c r="MP67"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67"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67" s="30" t="str">
        <f>IFERROR(IF(AVERAGE(DATA[[#This Row],[Other staff 1: Current 2021/22 Minimum hourly pay rate ADJUSTED]],DATA[[#This Row],[Other staff 1: Current 2021/22 Maximum hourly pay rate ADJUSTED]])&lt;LIVING_WAGE_22_23,DATA[[#This Row],[Other staff 1: Numbers employed (Full Time Equivalent)]],0),"")</f>
        <v/>
      </c>
      <c r="MS67" s="30" t="str">
        <f>IFERROR(IF(AVERAGE(DATA[[#This Row],[Other staff 2: Current 2021/22 Minimum hourly pay rate ADJUSTED]],DATA[[#This Row],[Other staff 2: Current 2021/22 Maximum hourly pay rate ADJUSTED]])&lt;LIVING_WAGE_22_23,DATA[[#This Row],[Other staff 2: Numbers employed (Full Time Equivalent)]],0),"")</f>
        <v/>
      </c>
      <c r="MT67" s="30" t="str">
        <f>IFERROR(IF(AVERAGE(DATA[[#This Row],[Other staff 3: Current 2021/22 Minimum hourly pay rate ADJUSTED]],DATA[[#This Row],[Other staff 3: Current 2021/22 Maximum hourly pay rate ADJUSTED]])&lt;LIVING_WAGE_22_23,DATA[[#This Row],[Other staff 3: Numbers employed (Full Time Equivalent)]],0),"")</f>
        <v/>
      </c>
      <c r="MU67" s="30">
        <f>SUM(DATA[[#This Row],[Registered Manager FTE earning less than NLW 23yrs 2022/23]:[Other staff 3 FTE earning less than NLW 23yrs 2022/23]])</f>
        <v>2</v>
      </c>
      <c r="MV67" s="30" t="str">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
      </c>
      <c r="MW67"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67"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67"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67"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7"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0.21429999999999971</v>
      </c>
      <c r="NB67"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0.47739999999999938</v>
      </c>
      <c r="NC67"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67"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7"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67"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67"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67"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7"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7" s="30" t="b">
        <v>0</v>
      </c>
      <c r="NK67" s="30" t="b">
        <v>1</v>
      </c>
      <c r="NL67" s="30" t="s">
        <v>972</v>
      </c>
      <c r="NM67" s="30">
        <f>SUM(DATA[[#This Row],[Management staff HOURLY RATE]:[Training and development HOURLY RATE]])</f>
        <v>36.013652868554829</v>
      </c>
      <c r="NN67" s="30">
        <f>SUM(DATA[[#This Row],[Recruitment &amp; advertising (including DBS checks) HOURLY RATE]:[Non-Staffing Direct Cost: Other  - please specify (amount) 2 HOURLY RATE]])</f>
        <v>3.2120570079883803</v>
      </c>
      <c r="NO67" s="30">
        <f>SUM(DATA[[#This Row],[Insurance  HOURLY RATE]:[Indirect costs: Other  - please specify (amount) 2 HOURLY RATE]])</f>
        <v>28.705680827886709</v>
      </c>
      <c r="NP67" s="30">
        <f>SUM(DATA[[#This Row],[Central / Regional Management HOURLY RATE]:[Corporate Overheads: Other  - please specify (amount) 2 HOURLY RATE]])</f>
        <v>0.50944444444444437</v>
      </c>
      <c r="NQ67" s="30" t="str">
        <f>IFERROR(IF(AVERAGE(DATA[[#This Row],[Registered manager: Current 2021/22 Minimum hourly pay rate ADJUSTED]],DATA[[#This Row],[Registered manager: Current 2021/22 Maximum hourly pay rate ADJUSTED]])&lt;REAL_LIVING_WAGE_22_23,DATA[[#This Row],[Registered manager: Numbers employed (Full Time Equivalent)]],0),"")</f>
        <v/>
      </c>
      <c r="NR67" s="30" t="str">
        <f>IFERROR(IF(AVERAGE(DATA[[#This Row],[Deputy manager: Current 2021/22 Minimum hourly pay rate ADJUSTED]],DATA[[#This Row],[Deputy manager: Current 2021/22 Maximum hourly pay rate ADJUSTED]])&lt;REAL_LIVING_WAGE_22_23,DATA[[#This Row],[Deputy manager: Numbers employed (Full Time Equivalent)]],0),"")</f>
        <v/>
      </c>
      <c r="NS67" s="30" t="str">
        <f>IFERROR(IF(AVERAGE(DATA[[#This Row],[Other manager 1: Current 2021/22 Minimum hourly pay rate ADJUSTED]],DATA[[#This Row],[Other manager 1: Current 2021/22 Maximum hourly pay rate ADJUSTED]])&lt;REAL_LIVING_WAGE_22_23,DATA[[#This Row],[Other manager 1: Numbers employed (Full Time Equivalent)]],0),"")</f>
        <v/>
      </c>
      <c r="NT67" s="30" t="str">
        <f>IFERROR(IF(AVERAGE(DATA[[#This Row],[Other manager 2: Current 2021/22 Minimum hourly pay rate ADJUSTED]],DATA[[#This Row],[Other manager 2: Current 2021/22 Maximum hourly pay rate ADJUSTED]])&lt;REAL_LIVING_WAGE_22_23,DATA[[#This Row],[Other manager 2: Numbers employed (Full Time Equivalent)]],0),"")</f>
        <v/>
      </c>
      <c r="NU67" s="30" t="str">
        <f>IFERROR(IF(AVERAGE(DATA[[#This Row],[Other manager 3: Current 2021/22 Minimum hourly pay rate ADJUSTED]],DATA[[#This Row],[Other manager 3: Current 2021/22 Maximum hourly pay rate ADJUSTED]])&lt;REAL_LIVING_WAGE_22_23,DATA[[#This Row],[Other manager 3: Numbers employed (Full Time Equivalent)]],0),"")</f>
        <v/>
      </c>
      <c r="NV67" s="30">
        <f>IFERROR(IF(AVERAGE(DATA[[#This Row],[Care Assistant 1: Current 2021/22 Minimum hourly pay rate ADJUSTED]],DATA[[#This Row],[Care Assistant 1: Current 2021/22 Maximum hourly pay rate ADJUSTED]])&lt;REAL_LIVING_WAGE_22_23,DATA[[#This Row],[Care Assistant 1: Numbers employed (Full Time Equivalent)]],0),"")</f>
        <v>1</v>
      </c>
      <c r="NW67" s="30">
        <f>IFERROR(IF(AVERAGE(DATA[[#This Row],[Care Assistant 2: Current 2021/22 Minimum hourly pay rate ADJUSTED]],DATA[[#This Row],[Care Assistant 2: Current 2021/22 Maximum hourly pay rate ADJUSTED]])&lt;REAL_LIVING_WAGE_22_23,DATA[[#This Row],[Care Assistant 2: Numbers employed (Full Time Equivalent)]],0),"")</f>
        <v>1</v>
      </c>
      <c r="NX67"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67"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7"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67"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67" s="30" t="str">
        <f>IFERROR(IF(AVERAGE(DATA[[#This Row],[Other staff 1: Current 2021/22 Minimum hourly pay rate ADJUSTED]],DATA[[#This Row],[Other staff 1: Current 2021/22 Maximum hourly pay rate ADJUSTED]])&lt;REAL_LIVING_WAGE_22_23,DATA[[#This Row],[Other staff 1: Numbers employed (Full Time Equivalent)]],0),"")</f>
        <v/>
      </c>
      <c r="OC67" s="30" t="str">
        <f>IFERROR(IF(AVERAGE(DATA[[#This Row],[Other staff 2: Current 2021/22 Minimum hourly pay rate ADJUSTED]],DATA[[#This Row],[Other staff 2: Current 2021/22 Maximum hourly pay rate ADJUSTED]])&lt;REAL_LIVING_WAGE_22_23,DATA[[#This Row],[Other staff 2: Numbers employed (Full Time Equivalent)]],0),"")</f>
        <v/>
      </c>
      <c r="OD67" s="30" t="str">
        <f>IFERROR(IF(AVERAGE(DATA[[#This Row],[Other staff 3: Current 2021/22 Minimum hourly pay rate ADJUSTED]],DATA[[#This Row],[Other staff 3: Current 2021/22 Maximum hourly pay rate ADJUSTED]])&lt;REAL_LIVING_WAGE_22_23,DATA[[#This Row],[Other staff 3: Numbers employed (Full Time Equivalent)]],0),"")</f>
        <v/>
      </c>
      <c r="OE67" s="30">
        <f>SUM(DATA[[#This Row],[Registered Manager FTE earning less than RLW 23yrs 2022/23]:[Other staff 3 FTE earning less than RLW 23yrs 2022/23]])</f>
        <v>2</v>
      </c>
      <c r="OF67" s="30" t="str">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
      </c>
      <c r="OG67"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67"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67"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67"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7"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0.61430000000000007</v>
      </c>
      <c r="OL67"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0.87739999999999974</v>
      </c>
      <c r="OM67"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67"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7"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67"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67"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67"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7"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7" s="30" t="str">
        <f>IFERROR(IF(DATA[[#This Row],[Registered manager: Numbers employed (Full Time Equivalent)]]=0,"",DATA[[#This Row],[Registered manager: Current 2021/22 Minimum hourly pay rate ADJUSTED 2]]*DATA[[#This Row],[Registered manager: Numbers employed (Full Time Equivalent)]]),"")</f>
        <v/>
      </c>
      <c r="OU67" s="30" t="str">
        <f>IFERROR(IF(DATA[[#This Row],[Registered manager: Numbers employed (Full Time Equivalent)]]=0,"",DATA[[#This Row],[Registered manager: Current 2021/22 Maximum hourly pay rate ADJUSTED 2]]*DATA[[#This Row],[Registered manager: Numbers employed (Full Time Equivalent)]]),"")</f>
        <v/>
      </c>
      <c r="OV67" s="30" t="str">
        <f>IFERROR(IF(DATA[[#This Row],[Registered manager: Numbers employed (Full Time Equivalent)]]=0,"",DATA[[#This Row],[Registered manager: Previous 2020/21 Minimum hourly pay rate ADJUSTED 2]]*DATA[[#This Row],[Registered manager: Numbers employed (Full Time Equivalent)]]),"")</f>
        <v/>
      </c>
      <c r="OW67" s="30" t="str">
        <f>IFERROR(IF(DATA[[#This Row],[Registered manager: Numbers employed (Full Time Equivalent)]]=0,"",DATA[[#This Row],[Registered manager: Previous 2020/21 Maximum hourly pay rate ADJUSTED 2]]*DATA[[#This Row],[Registered manager: Numbers employed (Full Time Equivalent)]]),"")</f>
        <v/>
      </c>
      <c r="OX67" s="30" t="str">
        <f>IFERROR(IF(DATA[[#This Row],[Deputy manager: Numbers employed (Full Time Equivalent)]]=0,"",DATA[[#This Row],[Deputy manager: Current 2021/22 Minimum hourly pay rate ADJUSTED 2]]*DATA[[#This Row],[Deputy manager: Numbers employed (Full Time Equivalent)]]),"")</f>
        <v/>
      </c>
      <c r="OY67" s="30" t="str">
        <f>IFERROR(IF(DATA[[#This Row],[Deputy manager: Numbers employed (Full Time Equivalent)]]=0,"",DATA[[#This Row],[Deputy manager: Current 2021/22 Maximum hourly pay rate ADJUSTED 2]]*DATA[[#This Row],[Deputy manager: Numbers employed (Full Time Equivalent)]]),"")</f>
        <v/>
      </c>
      <c r="OZ67" s="30" t="str">
        <f>IFERROR(IF(DATA[[#This Row],[Deputy manager: Numbers employed (Full Time Equivalent)]]=0,"",DATA[[#This Row],[Deputy manager: Previous 2020/21 Minimum hourly pay rate ADJUSTED 2]]*DATA[[#This Row],[Deputy manager: Numbers employed (Full Time Equivalent)]]),"")</f>
        <v/>
      </c>
      <c r="PA67" s="30" t="str">
        <f>IFERROR(IF(DATA[[#This Row],[Deputy manager: Numbers employed (Full Time Equivalent)]]=0,"",DATA[[#This Row],[Deputy manager: Previous 2020/21 Maximum hourly pay rate ADJUSTED 2]]*DATA[[#This Row],[Deputy manager: Numbers employed (Full Time Equivalent)]]),"")</f>
        <v/>
      </c>
      <c r="PB67" s="30" t="str">
        <f>IFERROR(IF(DATA[[#This Row],[Other manager 1: Numbers employed (Full Time Equivalent)]]=0,"",DATA[[#This Row],[Other manager 1: Current 2021/22 Minimum hourly pay rate ADJUSTED 2]]*DATA[[#This Row],[Other manager 1: Numbers employed (Full Time Equivalent)]]),"")</f>
        <v/>
      </c>
      <c r="PC67" s="30" t="str">
        <f>IFERROR(IF(DATA[[#This Row],[Other manager 1: Numbers employed (Full Time Equivalent)]]=0,"",DATA[[#This Row],[Other manager 1: Current 2021/22 Maximum hourly pay rate ADJUSTED 2]]*DATA[[#This Row],[Other manager 1: Numbers employed (Full Time Equivalent)]]),"")</f>
        <v/>
      </c>
      <c r="PD67" s="30" t="str">
        <f>IFERROR(IF(DATA[[#This Row],[Other manager 1: Numbers employed (Full Time Equivalent)]]=0,"",DATA[[#This Row],[Other manager 1: Previous 2020/21 Minimum hourly pay rate ADJUSTED 2]]*DATA[[#This Row],[Other manager 1: Numbers employed (Full Time Equivalent)]]),"")</f>
        <v/>
      </c>
      <c r="PE67" s="30" t="str">
        <f>IFERROR(IF(DATA[[#This Row],[Other manager 1: Numbers employed (Full Time Equivalent)]]=0,"",DATA[[#This Row],[Other manager 1: Previous 2020/21 Maximum hourly pay rate ADJUSTED 2]]*DATA[[#This Row],[Other manager 1: Numbers employed (Full Time Equivalent)]]),"")</f>
        <v/>
      </c>
      <c r="PF67" s="30" t="str">
        <f>IFERROR(IF(DATA[[#This Row],[Other manager 2: Numbers employed (Full Time Equivalent)]]=0,"",DATA[[#This Row],[Other manager 2: Current 2021/22 Minimum hourly pay rate ADJUSTED 2]]*DATA[[#This Row],[Other manager 2: Numbers employed (Full Time Equivalent)]]),"")</f>
        <v/>
      </c>
      <c r="PG67" s="30" t="str">
        <f>IFERROR(IF(DATA[[#This Row],[Other manager 2: Numbers employed (Full Time Equivalent)]]=0,"",DATA[[#This Row],[Other manager 2: Current 2021/22 Maximum hourly pay rate ADJUSTED 2]]*DATA[[#This Row],[Other manager 2: Numbers employed (Full Time Equivalent)]]),"")</f>
        <v/>
      </c>
      <c r="PH67" s="30" t="str">
        <f>IFERROR(IF(DATA[[#This Row],[Other manager 2: Numbers employed (Full Time Equivalent)]]=0,"",DATA[[#This Row],[Other manager 2: Previous 2020/21 Minimum hourly pay rate ADJUSTED 2]]*DATA[[#This Row],[Other manager 2: Numbers employed (Full Time Equivalent)]]),"")</f>
        <v/>
      </c>
      <c r="PI67" s="30" t="str">
        <f>IFERROR(IF(DATA[[#This Row],[Other manager 2: Numbers employed (Full Time Equivalent)]]=0,"",DATA[[#This Row],[Other manager 2: Previous 2020/21 Maximum hourly pay rate ADJUSTED 2]]*DATA[[#This Row],[Other manager 2: Numbers employed (Full Time Equivalent)]]),"")</f>
        <v/>
      </c>
      <c r="PJ67" s="30" t="str">
        <f>IFERROR(IF(DATA[[#This Row],[Other manager 3: Numbers employed (Full Time Equivalent)]]=0,"",DATA[[#This Row],[Other manager 3: Current 2021/22 Minimum hourly pay rate ADJUSTED 2]]*DATA[[#This Row],[Other manager 3: Numbers employed (Full Time Equivalent)]]),"")</f>
        <v/>
      </c>
      <c r="PK67" s="30" t="str">
        <f>IFERROR(IF(DATA[[#This Row],[Other manager 3: Numbers employed (Full Time Equivalent)]]=0,"",DATA[[#This Row],[Other manager 3: Current 2021/22 Maximum hourly pay rate ADJUSTED 2]]*DATA[[#This Row],[Other manager 3: Numbers employed (Full Time Equivalent)]]),"")</f>
        <v/>
      </c>
      <c r="PL67" s="30" t="str">
        <f>IFERROR(IF(DATA[[#This Row],[Other manager 3: Numbers employed (Full Time Equivalent)]]=0,"",DATA[[#This Row],[Other manager 3: Previous 2020/21 Minimum hourly pay rate ADJUSTED 2]]*DATA[[#This Row],[Other manager 3: Numbers employed (Full Time Equivalent)]]),"")</f>
        <v/>
      </c>
      <c r="PM67" s="30" t="str">
        <f>IFERROR(IF(DATA[[#This Row],[Other manager 3: Numbers employed (Full Time Equivalent)]]=0,"",DATA[[#This Row],[Other manager 3: Previous 2020/21 Maximum hourly pay rate ADJUSTED 2]]*DATA[[#This Row],[Other manager 3: Numbers employed (Full Time Equivalent)]]),"")</f>
        <v/>
      </c>
      <c r="PN67" s="30">
        <f>IFERROR(IF(DATA[[#This Row],[Care Assistant 1: Numbers employed (Full Time Equivalent)]]=0,"",DATA[[#This Row],[Care Assistant 1: Current 2021/22 Minimum hourly pay rate ADJUSTED 2]]*DATA[[#This Row],[Care Assistant 1: Numbers employed (Full Time Equivalent)]]),"")</f>
        <v>9.2857000000000003</v>
      </c>
      <c r="PO67" s="30">
        <f>IFERROR(IF(DATA[[#This Row],[Care Assistant 1: Numbers employed (Full Time Equivalent)]]=0,"",DATA[[#This Row],[Care Assistant 1: Current 2021/22 Maximum hourly pay rate ADJUSTED 2]]*DATA[[#This Row],[Care Assistant 1: Numbers employed (Full Time Equivalent)]]),"")</f>
        <v>9.2857000000000003</v>
      </c>
      <c r="PP67" s="30">
        <f>IFERROR(IF(DATA[[#This Row],[Care Assistant 1: Numbers employed (Full Time Equivalent)]]=0,"",DATA[[#This Row],[Care Assistant 1: Previous 2020/21 Minimum hourly pay rate ADJUSTED 2]]*DATA[[#This Row],[Care Assistant 1: Numbers employed (Full Time Equivalent)]]),"")</f>
        <v>9.2308000000000003</v>
      </c>
      <c r="PQ67" s="30">
        <f>IFERROR(IF(DATA[[#This Row],[Care Assistant 1: Numbers employed (Full Time Equivalent)]]=0,"",DATA[[#This Row],[Care Assistant 1: Previous 2020/21 Maximum hourly pay rate ADJUSTED 2]]*DATA[[#This Row],[Care Assistant 1: Numbers employed (Full Time Equivalent)]]),"")</f>
        <v>9.2308000000000003</v>
      </c>
      <c r="PR67" s="30">
        <f>IFERROR(IF(DATA[[#This Row],[Care Assistant 2: Numbers employed (Full Time Equivalent)]]=0,"",DATA[[#This Row],[Care Assistant 2: Current 2021/22 Minimum hourly pay rate ADJUSTED 2]]*DATA[[#This Row],[Care Assistant 2: Numbers employed (Full Time Equivalent)]]),"")</f>
        <v>9.0226000000000006</v>
      </c>
      <c r="PS67" s="30">
        <f>IFERROR(IF(DATA[[#This Row],[Care Assistant 2: Numbers employed (Full Time Equivalent)]]=0,"",DATA[[#This Row],[Care Assistant 2: Current 2021/22 Maximum hourly pay rate ADJUSTED 2]]*DATA[[#This Row],[Care Assistant 2: Numbers employed (Full Time Equivalent)]]),"")</f>
        <v>9.0226000000000006</v>
      </c>
      <c r="PT67" s="30">
        <f>IFERROR(IF(DATA[[#This Row],[Care Assistant 2: Numbers employed (Full Time Equivalent)]]=0,"",DATA[[#This Row],[Care Assistant 2: Previous 2020/21 Minimum hourly pay rate ADJUSTED 2]]*DATA[[#This Row],[Care Assistant 2: Numbers employed (Full Time Equivalent)]]),"")</f>
        <v>9.0226000000000006</v>
      </c>
      <c r="PU67" s="30">
        <f>IFERROR(IF(DATA[[#This Row],[Care Assistant 2: Numbers employed (Full Time Equivalent)]]=0,"",DATA[[#This Row],[Care Assistant 2: Previous 2020/21 Maximum hourly pay rate ADJUSTED 2]]*DATA[[#This Row],[Care Assistant 2: Numbers employed (Full Time Equivalent)]]),"")</f>
        <v>9.0226000000000006</v>
      </c>
      <c r="PV67" s="30" t="str">
        <f>IFERROR(IF(DATA[[#This Row],[Care Assistant 3: Numbers employed (Full Time Equivalent)]]=0,"",DATA[[#This Row],[Care Assistant 3: Current 2021/22 Minimum hourly pay rate ADJUSTED 2]]*DATA[[#This Row],[Care Assistant 3: Numbers employed (Full Time Equivalent)]]),"")</f>
        <v/>
      </c>
      <c r="PW67" s="30" t="str">
        <f>IFERROR(IF(DATA[[#This Row],[Care Assistant 3: Numbers employed (Full Time Equivalent)]]=0,"",DATA[[#This Row],[Care Assistant 3: Current 2021/22 Maximum hourly pay rate ADJUSTED 2]]*DATA[[#This Row],[Care Assistant 3: Numbers employed (Full Time Equivalent)]]),"")</f>
        <v/>
      </c>
      <c r="PX67" s="30" t="str">
        <f>IFERROR(IF(DATA[[#This Row],[Care Assistant 3: Numbers employed (Full Time Equivalent)]]=0,"",DATA[[#This Row],[Care Assistant 3: Previous 2020/21 Minimum hourly pay rate ADJUSTED 2]]*DATA[[#This Row],[Care Assistant 3: Numbers employed (Full Time Equivalent)]]),"")</f>
        <v/>
      </c>
      <c r="PY67" s="30" t="str">
        <f>IFERROR(IF(DATA[[#This Row],[Care Assistant 3: Numbers employed (Full Time Equivalent)]]=0,"",DATA[[#This Row],[Care Assistant 3: Previous 2020/21 Maximum hourly pay rate ADJUSTED 2]]*DATA[[#This Row],[Care Assistant 3: Numbers employed (Full Time Equivalent)]]),"")</f>
        <v/>
      </c>
      <c r="PZ67" s="30" t="str">
        <f>IFERROR(IF(DATA[[#This Row],[Care Assistant 4: Numbers employed (Full Time Equivalent)]]=0,"",DATA[[#This Row],[Care Assistant 4: Current 2021/22 Minimum hourly pay rate ADJUSTED 2]]*DATA[[#This Row],[Care Assistant 4: Numbers employed (Full Time Equivalent)]]),"")</f>
        <v/>
      </c>
      <c r="QA67" s="30" t="str">
        <f>IFERROR(IF(DATA[[#This Row],[Care Assistant 4: Numbers employed (Full Time Equivalent)]]=0,"",DATA[[#This Row],[Care Assistant 4: Current 2021/22 Maximum hourly pay rate ADJUSTED 2]]*DATA[[#This Row],[Care Assistant 4: Numbers employed (Full Time Equivalent)]]),"")</f>
        <v/>
      </c>
      <c r="QB67" s="30" t="str">
        <f>IFERROR(IF(DATA[[#This Row],[Care Assistant 4: Numbers employed (Full Time Equivalent)]]=0,"",DATA[[#This Row],[Care Assistant 4: Previous 2020/21 Minimum hourly pay rate ADJUSTED 2]]*DATA[[#This Row],[Care Assistant 4: Numbers employed (Full Time Equivalent)]]),"")</f>
        <v/>
      </c>
      <c r="QC67" s="30" t="str">
        <f>IFERROR(IF(DATA[[#This Row],[Care Assistant 4: Numbers employed (Full Time Equivalent)]]=0,"",DATA[[#This Row],[Care Assistant 4: Previous 2020/21 Maximum hourly pay rate ADJUSTED 2]]*DATA[[#This Row],[Care Assistant 4: Numbers employed (Full Time Equivalent)]]),"")</f>
        <v/>
      </c>
      <c r="QD67" s="30" t="str">
        <f>IFERROR(IF(DATA[[#This Row],[Administrative Officer 1: Numbers employed (Full Time Equivalent)]]=0,"",DATA[[#This Row],[Administrative Officer 1: Current 2021/22 Minimum hourly pay rate ADJUSTED 2]]*DATA[[#This Row],[Administrative Officer 1: Numbers employed (Full Time Equivalent)]]),"")</f>
        <v/>
      </c>
      <c r="QE67" s="30" t="str">
        <f>IFERROR(IF(DATA[[#This Row],[Administrative Officer 1: Numbers employed (Full Time Equivalent)]]=0,"",DATA[[#This Row],[Administrative Officer 1: Current 2021/22 Maximum hourly pay rate ADJUSTED 2]]*DATA[[#This Row],[Administrative Officer 1: Numbers employed (Full Time Equivalent)]]),"")</f>
        <v/>
      </c>
      <c r="QF67" s="30" t="str">
        <f>IFERROR(IF(DATA[[#This Row],[Administrative Officer 1: Numbers employed (Full Time Equivalent)]]=0,"",DATA[[#This Row],[Administrative Officer 1: Previous 2020/21 Minimum hourly pay rate ADJUSTED 2]]*DATA[[#This Row],[Administrative Officer 1: Numbers employed (Full Time Equivalent)]]),"")</f>
        <v/>
      </c>
      <c r="QG67" s="30" t="str">
        <f>IFERROR(IF(DATA[[#This Row],[Administrative Officer 1: Numbers employed (Full Time Equivalent)]]=0,"",DATA[[#This Row],[Administrative Officer 1: Previous 2020/21 Maximum hourly pay rate ADJUSTED 2]]*DATA[[#This Row],[Administrative Officer 1: Numbers employed (Full Time Equivalent)]]),"")</f>
        <v/>
      </c>
      <c r="QH67" s="30" t="str">
        <f>IFERROR(IF(DATA[[#This Row],[Administrative Officer 2: Numbers employed (Full Time Equivalent)]]=0,"",DATA[[#This Row],[Administrative Officer 2: Current 2021/22 Minimum hourly pay rate ADJUSTED 2]]*DATA[[#This Row],[Administrative Officer 2: Numbers employed (Full Time Equivalent)]]),"")</f>
        <v/>
      </c>
      <c r="QI67" s="30" t="str">
        <f>IFERROR(IF(DATA[[#This Row],[Administrative Officer 2: Numbers employed (Full Time Equivalent)]]=0,"",DATA[[#This Row],[Administrative Officer 2: Current 2021/22 Maximum hourly pay rate ADJUSTED 2]]*DATA[[#This Row],[Administrative Officer 2: Numbers employed (Full Time Equivalent)]]),"")</f>
        <v/>
      </c>
      <c r="QJ67" s="30" t="str">
        <f>IFERROR(IF(DATA[[#This Row],[Administrative Officer 2: Numbers employed (Full Time Equivalent)]]=0,"",DATA[[#This Row],[Administrative Officer 2: Previous 2020/21 Minimum hourly pay rate ADJUSTED 2]]*DATA[[#This Row],[Administrative Officer 2: Numbers employed (Full Time Equivalent)]]),"")</f>
        <v/>
      </c>
      <c r="QK67" s="30" t="str">
        <f>IFERROR(IF(DATA[[#This Row],[Administrative Officer 2: Numbers employed (Full Time Equivalent)]]=0,"",DATA[[#This Row],[Administrative Officer 2: Previous 2020/21 Maximum hourly pay rate ADJUSTED 2]]*DATA[[#This Row],[Administrative Officer 2: Numbers employed (Full Time Equivalent)]]),"")</f>
        <v/>
      </c>
      <c r="QL67" s="30" t="str">
        <f>IFERROR(IF(DATA[[#This Row],[Administrative Officer 3: Numbers employed (Full Time Equivalent)]]=0,"",DATA[[#This Row],[Administrative Officer 3: Current 2021/22 Minimum hourly pay rate ADJUSTED 2]]*DATA[[#This Row],[Administrative Officer 3: Numbers employed (Full Time Equivalent)]]),"")</f>
        <v/>
      </c>
      <c r="QM67" s="30" t="str">
        <f>IFERROR(IF(DATA[[#This Row],[Administrative Officer 3: Numbers employed (Full Time Equivalent)]]=0,"",DATA[[#This Row],[Administrative Officer 3: Current 2021/22 Maximum hourly pay rate ADJUSTED 2]]*DATA[[#This Row],[Administrative Officer 3: Numbers employed (Full Time Equivalent)]]),"")</f>
        <v/>
      </c>
      <c r="QN67" s="30" t="str">
        <f>IFERROR(IF(DATA[[#This Row],[Administrative Officer 3: Numbers employed (Full Time Equivalent)]]=0,"",DATA[[#This Row],[Administrative Officer 3: Previous 2020/21 Minimum hourly pay rate ADJUSTED 2]]*DATA[[#This Row],[Administrative Officer 3: Numbers employed (Full Time Equivalent)]]),"")</f>
        <v/>
      </c>
      <c r="QO67" s="30" t="str">
        <f>IFERROR(IF(DATA[[#This Row],[Administrative Officer 3: Numbers employed (Full Time Equivalent)]]=0,"",DATA[[#This Row],[Administrative Officer 3: Previous 2020/21 Maximum hourly pay rate ADJUSTED 2]]*DATA[[#This Row],[Administrative Officer 3: Numbers employed (Full Time Equivalent)]]),"")</f>
        <v/>
      </c>
      <c r="QP67" s="28" t="str">
        <f>IFERROR(IF(DATA[[#This Row],[Other staff 1: Numbers employed (Full Time Equivalent)]]=0,"",DATA[[#This Row],[Other staff 1: Current 2021/22 Minimum hourly pay rate ADJUSTED 2]]*DATA[[#This Row],[Other staff 1: Numbers employed (Full Time Equivalent)]]),"")</f>
        <v/>
      </c>
      <c r="QQ67" s="28" t="str">
        <f>IFERROR(IF(DATA[[#This Row],[Other staff 1: Numbers employed (Full Time Equivalent)]]=0,"",DATA[[#This Row],[Other staff 1: Current 2021/22 Maximum hourly pay rate ADJUSTED 2]]*DATA[[#This Row],[Other staff 1: Numbers employed (Full Time Equivalent)]]),"")</f>
        <v/>
      </c>
      <c r="QR67" s="28" t="str">
        <f>IFERROR(IF(DATA[[#This Row],[Other staff 1: Numbers employed (Full Time Equivalent)]]=0,"",DATA[[#This Row],[Other staff 1: Previous 2020/21 Minimum hourly pay rate ADJUSTED 2]]*DATA[[#This Row],[Other staff 1: Numbers employed (Full Time Equivalent)]]),"")</f>
        <v/>
      </c>
      <c r="QS67" s="28" t="str">
        <f>IFERROR(IF(DATA[[#This Row],[Other staff 1: Numbers employed (Full Time Equivalent)]]=0,"",DATA[[#This Row],[Other staff 1: Previous 2020/21 Maximum hourly pay rate ADJUSTED 2]]*DATA[[#This Row],[Other staff 1: Numbers employed (Full Time Equivalent)]]),"")</f>
        <v/>
      </c>
      <c r="QT67" s="28" t="str">
        <f>IFERROR(IF(DATA[[#This Row],[Other staff 2: Numbers employed (Full Time Equivalent)]]=0,"",DATA[[#This Row],[Other staff 2: Current 2021/22 Minimum hourly pay rate ADJUSTED 2]]*DATA[[#This Row],[Other staff 2: Numbers employed (Full Time Equivalent)]]),"")</f>
        <v/>
      </c>
      <c r="QU67" s="28" t="str">
        <f>IFERROR(IF(DATA[[#This Row],[Other staff 2: Numbers employed (Full Time Equivalent)]]=0,"",DATA[[#This Row],[Other staff 2: Current 2021/22 Maximum hourly pay rate ADJUSTED 2]]*DATA[[#This Row],[Other staff 2: Numbers employed (Full Time Equivalent)]]),"")</f>
        <v/>
      </c>
      <c r="QV67" s="28" t="str">
        <f>IFERROR(IF(DATA[[#This Row],[Other staff 2: Numbers employed (Full Time Equivalent)]]=0,"",DATA[[#This Row],[Other staff 2: Previous 2020/21 Minimum hourly pay rate ADJUSTED 2]]*DATA[[#This Row],[Other staff 2: Numbers employed (Full Time Equivalent)]]),"")</f>
        <v/>
      </c>
      <c r="QW67" s="28" t="str">
        <f>IFERROR(IF(DATA[[#This Row],[Other staff 2: Numbers employed (Full Time Equivalent)]]=0,"",DATA[[#This Row],[Other staff 2: Previous 2020/21 Maximum hourly pay rate ADJUSTED 2]]*DATA[[#This Row],[Other staff 2: Numbers employed (Full Time Equivalent)]]),"")</f>
        <v/>
      </c>
      <c r="QX67" s="28" t="str">
        <f>IFERROR(IF(DATA[[#This Row],[Other staff 3: Numbers employed (Full Time Equivalent)]]=0,"",DATA[[#This Row],[Other staff 3: Current 2021/22 Minimum hourly pay rate ADJUSTED 2]]*DATA[[#This Row],[Other staff 3: Numbers employed (Full Time Equivalent)]]),"")</f>
        <v/>
      </c>
      <c r="QY67" s="28" t="str">
        <f>IFERROR(IF(DATA[[#This Row],[Other staff 3: Numbers employed (Full Time Equivalent)]]=0,"",DATA[[#This Row],[Other staff 3: Current 2021/22 Maximum hourly pay rate ADJUSTED 2]]*DATA[[#This Row],[Other staff 3: Numbers employed (Full Time Equivalent)]]),"")</f>
        <v/>
      </c>
      <c r="QZ67" s="28" t="str">
        <f>IFERROR(IF(DATA[[#This Row],[Other staff 3: Numbers employed (Full Time Equivalent)]]=0,"",DATA[[#This Row],[Other staff 3: Previous 2020/21 Minimum hourly pay rate ADJUSTED 2]]*DATA[[#This Row],[Other staff 3: Numbers employed (Full Time Equivalent)]]),"")</f>
        <v/>
      </c>
      <c r="RA67" s="28" t="str">
        <f>IFERROR(IF(DATA[[#This Row],[Other staff 3: Numbers employed (Full Time Equivalent)]]=0,"",DATA[[#This Row],[Other staff 3: Previous 2020/21 Maximum hourly pay rate ADJUSTED 2]]*DATA[[#This Row],[Other staff 3: Numbers employed (Full Time Equivalent)]]),"")</f>
        <v/>
      </c>
      <c r="RB67"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67"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67"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67"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67"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7"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v>
      </c>
      <c r="RH67"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v>
      </c>
      <c r="RI67"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67"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7"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67"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67"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67"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67"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7"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8" spans="7:484" x14ac:dyDescent="0.25">
      <c r="G68" s="2">
        <v>62</v>
      </c>
      <c r="H68" s="2">
        <v>61</v>
      </c>
      <c r="I68" s="2">
        <v>0</v>
      </c>
      <c r="J68" s="2">
        <v>1</v>
      </c>
      <c r="K68" s="2">
        <v>0</v>
      </c>
      <c r="L68" s="2" t="s">
        <v>328</v>
      </c>
      <c r="M68" s="2" t="s">
        <v>328</v>
      </c>
      <c r="R68" s="2">
        <v>13.33</v>
      </c>
      <c r="S68" s="2">
        <v>13.33</v>
      </c>
      <c r="T68" s="2">
        <v>13.06</v>
      </c>
      <c r="U68" s="2">
        <v>13.06</v>
      </c>
      <c r="V68" s="2">
        <v>1</v>
      </c>
      <c r="W68" s="2">
        <v>12.92</v>
      </c>
      <c r="X68" s="2">
        <v>12.92</v>
      </c>
      <c r="Y68" s="2">
        <v>12.66</v>
      </c>
      <c r="Z68" s="2">
        <v>12.66</v>
      </c>
      <c r="AA68" s="2">
        <v>0.5</v>
      </c>
      <c r="AB68" s="2" t="s">
        <v>315</v>
      </c>
      <c r="AC68" s="2">
        <v>0</v>
      </c>
      <c r="AD68" s="2">
        <v>0</v>
      </c>
      <c r="AE68" s="2">
        <v>0</v>
      </c>
      <c r="AF68" s="2">
        <v>0</v>
      </c>
      <c r="AG68" s="2">
        <v>0</v>
      </c>
      <c r="AH68" s="2" t="s">
        <v>315</v>
      </c>
      <c r="AI68" s="2">
        <v>0</v>
      </c>
      <c r="AJ68" s="2">
        <v>0</v>
      </c>
      <c r="AK68" s="2">
        <v>0</v>
      </c>
      <c r="AL68" s="2">
        <v>0</v>
      </c>
      <c r="AM68" s="2">
        <v>0</v>
      </c>
      <c r="AN68" s="2" t="s">
        <v>315</v>
      </c>
      <c r="AO68" s="2">
        <v>0</v>
      </c>
      <c r="AP68" s="2">
        <v>0</v>
      </c>
      <c r="AQ68" s="2">
        <v>0</v>
      </c>
      <c r="AR68" s="2">
        <v>0</v>
      </c>
      <c r="AS68" s="2">
        <v>0</v>
      </c>
      <c r="AT68" s="2" t="s">
        <v>581</v>
      </c>
      <c r="AU68" s="2">
        <v>9.3699999999999992</v>
      </c>
      <c r="AV68" s="2">
        <v>18.739999999999998</v>
      </c>
      <c r="AW68" s="2">
        <v>9</v>
      </c>
      <c r="AX68" s="2">
        <v>18</v>
      </c>
      <c r="AY68" s="2">
        <v>23</v>
      </c>
      <c r="AZ68" s="2" t="s">
        <v>316</v>
      </c>
      <c r="BA68" s="2">
        <v>0</v>
      </c>
      <c r="BB68" s="2">
        <v>0</v>
      </c>
      <c r="BC68" s="2">
        <v>0</v>
      </c>
      <c r="BD68" s="2">
        <v>0</v>
      </c>
      <c r="BE68" s="2">
        <v>0</v>
      </c>
      <c r="BF68" s="2" t="s">
        <v>316</v>
      </c>
      <c r="BG68" s="2">
        <v>0</v>
      </c>
      <c r="BH68" s="2">
        <v>0</v>
      </c>
      <c r="BI68" s="2">
        <v>0</v>
      </c>
      <c r="BJ68" s="2">
        <v>0</v>
      </c>
      <c r="BK68" s="2">
        <v>0</v>
      </c>
      <c r="BL68" s="2" t="s">
        <v>316</v>
      </c>
      <c r="BM68" s="2">
        <v>0</v>
      </c>
      <c r="BN68" s="2">
        <v>0</v>
      </c>
      <c r="BO68" s="2">
        <v>0</v>
      </c>
      <c r="BP68" s="2">
        <v>0</v>
      </c>
      <c r="BQ68" s="2">
        <v>0</v>
      </c>
      <c r="BR68" s="2" t="s">
        <v>510</v>
      </c>
      <c r="BS68" s="2">
        <v>10.51</v>
      </c>
      <c r="BT68" s="2">
        <v>10.51</v>
      </c>
      <c r="BU68" s="2">
        <v>10.29</v>
      </c>
      <c r="BV68" s="2">
        <v>10.29</v>
      </c>
      <c r="BW68" s="2">
        <v>0.75</v>
      </c>
      <c r="BX68" s="2" t="s">
        <v>317</v>
      </c>
      <c r="BY68" s="2">
        <v>0</v>
      </c>
      <c r="BZ68" s="2">
        <v>0</v>
      </c>
      <c r="CA68" s="2">
        <v>0</v>
      </c>
      <c r="CB68" s="2">
        <v>0</v>
      </c>
      <c r="CC68" s="2">
        <v>0</v>
      </c>
      <c r="CD68" s="2" t="s">
        <v>317</v>
      </c>
      <c r="CE68" s="2">
        <v>0</v>
      </c>
      <c r="CF68" s="2">
        <v>0</v>
      </c>
      <c r="CG68" s="2">
        <v>0</v>
      </c>
      <c r="CH68" s="2">
        <v>0</v>
      </c>
      <c r="CI68" s="2">
        <v>0</v>
      </c>
      <c r="CJ68" s="2" t="s">
        <v>318</v>
      </c>
      <c r="CK68" s="2">
        <v>0</v>
      </c>
      <c r="CL68" s="2">
        <v>0</v>
      </c>
      <c r="CM68" s="2">
        <v>0</v>
      </c>
      <c r="CN68" s="2">
        <v>0</v>
      </c>
      <c r="CO68" s="2">
        <v>0</v>
      </c>
      <c r="CP68" s="2" t="s">
        <v>318</v>
      </c>
      <c r="CQ68" s="2">
        <v>0</v>
      </c>
      <c r="CR68" s="2">
        <v>0</v>
      </c>
      <c r="CS68" s="2">
        <v>0</v>
      </c>
      <c r="CT68" s="2">
        <v>0</v>
      </c>
      <c r="CU68" s="2">
        <v>0</v>
      </c>
      <c r="CV68" s="2" t="s">
        <v>318</v>
      </c>
      <c r="CW68" s="2">
        <v>0</v>
      </c>
      <c r="CX68" s="2">
        <v>0</v>
      </c>
      <c r="CY68" s="2">
        <v>0</v>
      </c>
      <c r="CZ68" s="2">
        <v>0</v>
      </c>
      <c r="DA68" s="2">
        <v>0</v>
      </c>
      <c r="DB68" s="2">
        <v>0.03</v>
      </c>
      <c r="DC68" s="2">
        <v>614</v>
      </c>
      <c r="DD68" s="2">
        <v>0</v>
      </c>
      <c r="DE68" s="2">
        <v>34</v>
      </c>
      <c r="DF68" s="2">
        <v>0</v>
      </c>
      <c r="DG68" s="2">
        <v>168</v>
      </c>
      <c r="DH68" s="2">
        <v>25</v>
      </c>
      <c r="DI68" s="2">
        <v>0</v>
      </c>
      <c r="DJ68" s="2">
        <v>0</v>
      </c>
      <c r="DK68" s="2">
        <v>0</v>
      </c>
      <c r="DL68" s="2">
        <v>0</v>
      </c>
      <c r="DM68" s="2">
        <v>0</v>
      </c>
      <c r="DN68" s="2">
        <v>0</v>
      </c>
      <c r="DO68" s="2">
        <v>15.58</v>
      </c>
      <c r="DP68" s="2">
        <v>16</v>
      </c>
      <c r="DQ68" s="2">
        <v>15.5</v>
      </c>
      <c r="DR68" s="18">
        <v>44287</v>
      </c>
      <c r="DS68" s="18">
        <v>44439</v>
      </c>
      <c r="DT68" s="2">
        <v>43732</v>
      </c>
      <c r="DU68" s="2">
        <v>45544</v>
      </c>
      <c r="DV68" s="2">
        <v>483703</v>
      </c>
      <c r="DW68" s="2">
        <v>18138</v>
      </c>
      <c r="DX68" s="2">
        <v>7770</v>
      </c>
      <c r="DY68" s="2">
        <v>0</v>
      </c>
      <c r="DZ68" s="2">
        <v>20064</v>
      </c>
      <c r="EA68" s="2">
        <v>0</v>
      </c>
      <c r="EB68" s="2">
        <v>9674</v>
      </c>
      <c r="EC68" s="2">
        <v>34067</v>
      </c>
      <c r="ED68" s="2">
        <v>0</v>
      </c>
      <c r="EE68" s="2">
        <v>9881</v>
      </c>
      <c r="EF68" s="2">
        <v>0</v>
      </c>
      <c r="EG68" s="2">
        <v>10392</v>
      </c>
      <c r="EH68" s="2" t="s">
        <v>324</v>
      </c>
      <c r="EI68" s="2">
        <v>0</v>
      </c>
      <c r="EJ68" s="2" t="s">
        <v>324</v>
      </c>
      <c r="EK68" s="2">
        <v>0</v>
      </c>
      <c r="EL68" s="2">
        <v>0</v>
      </c>
      <c r="EM68" s="2">
        <v>10776</v>
      </c>
      <c r="EN68" s="2">
        <v>900</v>
      </c>
      <c r="EO68" s="2">
        <v>5000</v>
      </c>
      <c r="EP68" s="2">
        <v>0</v>
      </c>
      <c r="EQ68" s="2">
        <v>0</v>
      </c>
      <c r="ER68" s="2">
        <v>0</v>
      </c>
      <c r="ES68" s="2">
        <v>0</v>
      </c>
      <c r="ET68" s="2" t="s">
        <v>324</v>
      </c>
      <c r="EU68" s="2">
        <v>0</v>
      </c>
      <c r="EV68" s="2" t="s">
        <v>324</v>
      </c>
      <c r="EW68" s="2">
        <v>0</v>
      </c>
      <c r="EX68" s="2">
        <v>3345</v>
      </c>
      <c r="EY68" s="2">
        <v>1673</v>
      </c>
      <c r="EZ68" s="2" t="s">
        <v>326</v>
      </c>
      <c r="FA68" s="2">
        <v>0</v>
      </c>
      <c r="FB68" s="2" t="s">
        <v>326</v>
      </c>
      <c r="FC68" s="2">
        <v>0</v>
      </c>
      <c r="FD68" s="2">
        <v>21068</v>
      </c>
      <c r="FE68" s="2">
        <v>0</v>
      </c>
      <c r="FF68" s="2">
        <v>0</v>
      </c>
      <c r="FG68" s="2"/>
      <c r="FH68" s="19">
        <v>44480.62736111111</v>
      </c>
      <c r="FI68" s="2" t="s">
        <v>345</v>
      </c>
      <c r="FJ68" s="2">
        <f>SUM(DATA[[#This Row],[Number of Home support clients:]],DATA[[#This Row],[Number of supported living clients:]])</f>
        <v>61</v>
      </c>
      <c r="FK68"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61-70</v>
      </c>
      <c r="FL68"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13.33</v>
      </c>
      <c r="FM68"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13.33</v>
      </c>
      <c r="FN68"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13.06</v>
      </c>
      <c r="FO68"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13.06</v>
      </c>
      <c r="FP68"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12.92</v>
      </c>
      <c r="FQ68"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12.92</v>
      </c>
      <c r="FR68"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12.66</v>
      </c>
      <c r="FS68"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12.66</v>
      </c>
      <c r="FT68"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68"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68"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68"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68"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68"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68"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68"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68"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8"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8"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8"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8"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9.3699999999999992</v>
      </c>
      <c r="GG68"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18.739999999999998</v>
      </c>
      <c r="GH68"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v>
      </c>
      <c r="GI68"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18</v>
      </c>
      <c r="GJ68"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68"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68"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68"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68"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68"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68"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68"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68"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8"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8"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8"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8"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10.51</v>
      </c>
      <c r="GW68"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10.51</v>
      </c>
      <c r="GX68"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10.29</v>
      </c>
      <c r="GY68"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10.29</v>
      </c>
      <c r="GZ68"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68"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68"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68"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68"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68"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68"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68"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68"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68"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68"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68"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68"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8"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8"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8"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8"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8"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8"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8"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8"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13.33</v>
      </c>
      <c r="HU68"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13.33</v>
      </c>
      <c r="HV68"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13.06</v>
      </c>
      <c r="HW68"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13.06</v>
      </c>
      <c r="HX68"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12.92</v>
      </c>
      <c r="HY68"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12.92</v>
      </c>
      <c r="HZ68"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12.66</v>
      </c>
      <c r="IA68"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12.66</v>
      </c>
      <c r="IB68"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68"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68"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68"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68"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68"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68"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68"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68"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8"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8"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8"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8"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9.3699999999999992</v>
      </c>
      <c r="IO68"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18.739999999999998</v>
      </c>
      <c r="IP68"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v>
      </c>
      <c r="IQ68"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18</v>
      </c>
      <c r="IR68"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68"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68"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68"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68"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68"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68"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68"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68"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8"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8"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8"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8"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10.51</v>
      </c>
      <c r="JE68"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10.51</v>
      </c>
      <c r="JF68"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10.29</v>
      </c>
      <c r="JG68"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10.29</v>
      </c>
      <c r="JH68"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68"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68"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68"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68"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68"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68"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68"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68"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68"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68"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68"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68"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8"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8"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8"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8"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8"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8"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8"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8"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1.5</v>
      </c>
      <c r="KC68" s="21">
        <f>SUM(DATA[[#This Row],[Care Assistant 1: Numbers employed (Full Time Equivalent)]],DATA[[#This Row],[Care Assistant 2: Numbers employed (Full Time Equivalent)]],DATA[[#This Row],[Care Assistant 3: Numbers employed (Full Time Equivalent)]],DATA[[#This Row],[Care Assistant 4: Numbers employed (Full Time Equivalent)]])</f>
        <v>23</v>
      </c>
      <c r="KD68" s="21">
        <f>SUM(DATA[[#This Row],[Administrative Officer 1: Numbers employed (Full Time Equivalent)]],DATA[[#This Row],[Administrative Officer 2: Numbers employed (Full Time Equivalent)]])</f>
        <v>0.75</v>
      </c>
      <c r="KE68" s="21">
        <f>SUM(DATA[[#This Row],[Other staff 1: Numbers employed (Full Time Equivalent)]],DATA[[#This Row],[Other staff 2: Numbers employed (Full Time Equivalent)]],DATA[[#This Row],[Other staff 3: Numbers employed (Full Time Equivalent)]])</f>
        <v>0</v>
      </c>
      <c r="KF68" s="21">
        <f>SUM(DATA[[#This Row],[Total FTE Management Employees]:[Total FTE Other Employees]])</f>
        <v>25.25</v>
      </c>
      <c r="KG68" s="21" t="str">
        <f>IF(SUM(DATA[[#This Row],[Home Support service split percentage (Expenditure):]],DATA[[#This Row],[Supported Living service split percentage (Expenditure):]])&gt;0, IF(DATA[[#This Row],[Home Support service split percentage (Expenditure):]]&gt;0.5,"Home Support","Supported Living"), "Unknown")</f>
        <v>Home Support</v>
      </c>
      <c r="KH68" s="21">
        <f>SUM(DATA[[#This Row],[Home Support: Birmingham City Council]:[Home Support: Self-funded]])</f>
        <v>841</v>
      </c>
      <c r="KI68" s="21">
        <f>SUM(DATA[[#This Row],[Supported Living: Birmingham City Council]:[Supported Living: Self-funded]])</f>
        <v>0</v>
      </c>
      <c r="KJ68"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8"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8"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8"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8" s="21" t="b">
        <f>SUM(DATA[[#This Row],[Number of hours of care charged for in last full accounting year]:[Corporate Overheads: Other  - please specify (category) 1]])&gt;0</f>
        <v>1</v>
      </c>
      <c r="KO68" s="21">
        <f>SUM(DATA[[#This Row],[Total annual expenditure: Management staff]:[Total annual expenditure: Training and development]])</f>
        <v>584893</v>
      </c>
      <c r="KP68" s="21">
        <f>SUM(DATA[[#This Row],[Recruitment &amp; advertising (including DBS checks)]:[Non-Staffing Direct Cost: Other  - please specify (amount) 2]])</f>
        <v>54340</v>
      </c>
      <c r="KQ68" s="21">
        <f>SUM(DATA[[#This Row],[Insurance ]:[Indirect costs: Other 2 - please specify (amount)]])</f>
        <v>16676</v>
      </c>
      <c r="KR68" s="21">
        <f>SUM(DATA[[#This Row],[Central / Regional Management]],DATA[[#This Row],[Support Services (finance / HR / Payroll / legal etc.)]],DATA[[#This Row],[Corporate Overheads: Other  - please specify (amount) 1]],DATA[[#This Row],[Corporate Overheads: Other  - please specify (amount) 2]])</f>
        <v>5018</v>
      </c>
      <c r="KS68"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1.0414341900667703</v>
      </c>
      <c r="KT68"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11.06061922619592</v>
      </c>
      <c r="KU68"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0.41475349858227384</v>
      </c>
      <c r="KV68" s="30">
        <f>IF(OR(NOT(DATA[[#This Row],[Total annual expenditure: Other staff]]&gt;0),NOT(DATA[[#This Row],[Number of hours of care charged for in last full accounting year]]&gt;0)),0,DATA[[#This Row],[Total annual expenditure: Other staff]]/DATA[[#This Row],[Number of hours of care charged for in last full accounting year]])</f>
        <v>0.17767309978962773</v>
      </c>
      <c r="KW68"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68" s="30">
        <f>IF(OR(NOT(DATA[[#This Row],[Total annual expenditure: Travel Cost]]&gt;0),NOT(DATA[[#This Row],[Number of hours of care charged for in last full accounting year]]&gt;0)),0,DATA[[#This Row],[Total annual expenditure: Travel Cost]]/DATA[[#This Row],[Number of hours of care charged for in last full accounting year]])</f>
        <v>0.45879447544132446</v>
      </c>
      <c r="KY68"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68"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0.22121101253086983</v>
      </c>
      <c r="LA68"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0.7789947864264154</v>
      </c>
      <c r="LB68"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68" s="30">
        <f>IF(OR(NOT(DATA[[#This Row],[Care consumables &amp; uniforms]]&gt;0),NOT(DATA[[#This Row],[Number of hours of care charged for in last full accounting year]]&gt;0)),0,DATA[[#This Row],[Care consumables &amp; uniforms]]/DATA[[#This Row],[Number of hours of care charged for in last full accounting year]])</f>
        <v>0.22594438854843135</v>
      </c>
      <c r="LD68" s="30">
        <f>IF(OR(NOT(DATA[[#This Row],[Electronic call monitoring]]&gt;0),NOT(DATA[[#This Row],[Number of hours of care charged for in last full accounting year]]&gt;0)),0,DATA[[#This Row],[Electronic call monitoring]]/DATA[[#This Row],[Number of hours of care charged for in last full accounting year]])</f>
        <v>0</v>
      </c>
      <c r="LE68" s="30">
        <f>IF(OR(NOT(DATA[[#This Row],[IT Equipment &amp; Telephoney]]&gt;0),NOT(DATA[[#This Row],[Number of hours of care charged for in last full accounting year]]&gt;0)),0,DATA[[#This Row],[IT Equipment &amp; Telephoney]]/DATA[[#This Row],[Number of hours of care charged for in last full accounting year]])</f>
        <v>0.23762919601207355</v>
      </c>
      <c r="LF68"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68"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8" s="30">
        <f>IF(OR(NOT(DATA[[#This Row],[Insurance ]]&gt;0),NOT(DATA[[#This Row],[Number of hours of care charged for in last full accounting year]]&gt;0)),0,DATA[[#This Row],[Insurance ]]/DATA[[#This Row],[Number of hours of care charged for in last full accounting year]])</f>
        <v>0</v>
      </c>
      <c r="LI68"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0.24640995152291228</v>
      </c>
      <c r="LJ68" s="30">
        <f>IF(OR(NOT(DATA[[#This Row],[Repairs and maintenance]]&gt;0),NOT(DATA[[#This Row],[Number of hours of care charged for in last full accounting year]]&gt;0)),0,DATA[[#This Row],[Repairs and maintenance]]/DATA[[#This Row],[Number of hours of care charged for in last full accounting year]])</f>
        <v>2.0579895728528308E-2</v>
      </c>
      <c r="LK68"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0.1143327540473795</v>
      </c>
      <c r="LL68" s="30">
        <f>IF(OR(NOT(DATA[[#This Row],[Registration &amp; Inspection fees ]]&gt;0),NOT(DATA[[#This Row],[Number of hours of care charged for in last full accounting year]]&gt;0)),0,DATA[[#This Row],[Registration &amp; Inspection fees ]]/DATA[[#This Row],[Number of hours of care charged for in last full accounting year]])</f>
        <v>0</v>
      </c>
      <c r="LM68" s="30">
        <f>IF(OR(NOT(DATA[[#This Row],[Subscriptions]]&gt;0),NOT(DATA[[#This Row],[Number of hours of care charged for in last full accounting year]]&gt;0)),0,DATA[[#This Row],[Subscriptions]]/DATA[[#This Row],[Number of hours of care charged for in last full accounting year]])</f>
        <v>0</v>
      </c>
      <c r="LN68" s="30">
        <f>IF(OR(NOT(DATA[[#This Row],[Cost of finance]]&gt;0),NOT(DATA[[#This Row],[Number of hours of care charged for in last full accounting year]]&gt;0)),0,DATA[[#This Row],[Cost of finance]]/DATA[[#This Row],[Number of hours of care charged for in last full accounting year]])</f>
        <v>0</v>
      </c>
      <c r="LO68" s="30">
        <f>IF(OR(NOT(DATA[[#This Row],[Other non-staff current expenses]]&gt;0),NOT(DATA[[#This Row],[Number of hours of care charged for in last full accounting year]]&gt;0)),0,DATA[[#This Row],[Other non-staff current expenses]]/DATA[[#This Row],[Number of hours of care charged for in last full accounting year]])</f>
        <v>0</v>
      </c>
      <c r="LP68"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68"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68" s="30">
        <f>IF(OR(NOT(DATA[[#This Row],[Central / Regional Management]]&gt;0),NOT(DATA[[#This Row],[Number of hours of care charged for in last full accounting year]]&gt;0)),0,DATA[[#This Row],[Central / Regional Management]]/DATA[[#This Row],[Number of hours of care charged for in last full accounting year]])</f>
        <v>7.6488612457696878E-2</v>
      </c>
      <c r="LS68"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3.8255739504253178E-2</v>
      </c>
      <c r="LT68"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68"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68" s="30">
        <f>SUM(DATA[[#This Row],[Management staff HOURLY RATE]:[Corporate Overheads: Other  - please specify (amount) 2 HOURLY RATE]])</f>
        <v>15.113120826854473</v>
      </c>
      <c r="LW68" s="30">
        <f>IF(OR(NOT(DATA[[#This Row],[Net Operating Profit]]&gt;0),NOT(DATA[[#This Row],[Number of hours of care charged for in last full accounting year]]&gt;0)),"",DATA[[#This Row],[Net Operating Profit]]/DATA[[#This Row],[Number of hours of care charged for in last full accounting year]])</f>
        <v>0.48175249245403823</v>
      </c>
      <c r="LX68" s="30">
        <f>IF(OR(NOT(DATA[[#This Row],[Return on Capital employed]]&gt;0),NOT(DATA[[#This Row],[Number of hours of care charged for in last full accounting year]]&gt;0)),0,DATA[[#This Row],[Return on Capital employed]]/DATA[[#This Row],[Number of hours of care charged for in last full accounting year]])</f>
        <v>0</v>
      </c>
      <c r="LY68" s="31">
        <v>63</v>
      </c>
      <c r="LZ68" s="30" t="s">
        <v>345</v>
      </c>
      <c r="MA68" s="30" t="b">
        <f>DATA[[#This Row],[Number of Home support clients:]]&gt;0</f>
        <v>1</v>
      </c>
      <c r="MB68" s="30" t="b">
        <f>DATA[[#This Row],[Number of supported living clients:]]&gt;0</f>
        <v>0</v>
      </c>
      <c r="MC68" s="30" t="b">
        <f>DATA[[#This Row],[Total Home Support Hours]]&gt;0</f>
        <v>1</v>
      </c>
      <c r="MD68" s="30" t="b">
        <f>DATA[[#This Row],[Total Supported Living Hours]]&gt;0</f>
        <v>0</v>
      </c>
      <c r="ME68" s="30" t="b">
        <f>DATA[[#This Row],[Home Support service split percentage (Expenditure):]]&gt;0.5</f>
        <v>1</v>
      </c>
      <c r="MF68" s="30" t="b">
        <f>DATA[[#This Row],[Agency staff HOURLY RATE]]=0</f>
        <v>1</v>
      </c>
      <c r="MG68" s="30">
        <f>IFERROR(IF(AVERAGE(DATA[[#This Row],[Registered manager: Current 2021/22 Minimum hourly pay rate ADJUSTED]],DATA[[#This Row],[Registered manager: Current 2021/22 Maximum hourly pay rate ADJUSTED]])&lt;LIVING_WAGE_22_23,DATA[[#This Row],[Registered manager: Numbers employed (Full Time Equivalent)]],0),"")</f>
        <v>0</v>
      </c>
      <c r="MH68" s="30">
        <f>IFERROR(IF(AVERAGE(DATA[[#This Row],[Deputy manager: Current 2021/22 Minimum hourly pay rate ADJUSTED]],DATA[[#This Row],[Deputy manager: Current 2021/22 Maximum hourly pay rate ADJUSTED]])&lt;LIVING_WAGE_22_23,DATA[[#This Row],[Deputy manager: Numbers employed (Full Time Equivalent)]],0),"")</f>
        <v>0</v>
      </c>
      <c r="MI68" s="30" t="str">
        <f>IFERROR(IF(AVERAGE(DATA[[#This Row],[Other manager 1: Current 2021/22 Minimum hourly pay rate ADJUSTED]],DATA[[#This Row],[Other manager 1: Current 2021/22 Maximum hourly pay rate ADJUSTED]])&lt;LIVING_WAGE_22_23,DATA[[#This Row],[Other manager 1: Numbers employed (Full Time Equivalent)]],0),"")</f>
        <v/>
      </c>
      <c r="MJ68" s="30" t="str">
        <f>IFERROR(IF(AVERAGE(DATA[[#This Row],[Other manager 2: Current 2021/22 Minimum hourly pay rate ADJUSTED]],DATA[[#This Row],[Other manager 2: Current 2021/22 Maximum hourly pay rate ADJUSTED]])&lt;LIVING_WAGE_22_23,DATA[[#This Row],[Other manager 2: Numbers employed (Full Time Equivalent)]],0),"")</f>
        <v/>
      </c>
      <c r="MK68" s="30" t="str">
        <f>IFERROR(IF(AVERAGE(DATA[[#This Row],[Other manager 3: Current 2021/22 Minimum hourly pay rate ADJUSTED]],DATA[[#This Row],[Other manager 3: Current 2021/22 Maximum hourly pay rate ADJUSTED]])&lt;LIVING_WAGE_22_23,DATA[[#This Row],[Other manager 3: Numbers employed (Full Time Equivalent)]],0),"")</f>
        <v/>
      </c>
      <c r="ML68" s="30">
        <f>IFERROR(IF(AVERAGE(DATA[[#This Row],[Care Assistant 1: Current 2021/22 Minimum hourly pay rate ADJUSTED]],DATA[[#This Row],[Care Assistant 1: Current 2021/22 Maximum hourly pay rate ADJUSTED]])&lt;LIVING_WAGE_22_23,DATA[[#This Row],[Care Assistant 1: Numbers employed (Full Time Equivalent)]],0),"")</f>
        <v>0</v>
      </c>
      <c r="MM68" s="30" t="str">
        <f>IFERROR(IF(AVERAGE(DATA[[#This Row],[Care Assistant 2: Current 2021/22 Minimum hourly pay rate ADJUSTED]],DATA[[#This Row],[Care Assistant 2: Current 2021/22 Maximum hourly pay rate ADJUSTED]])&lt;LIVING_WAGE_22_23,DATA[[#This Row],[Care Assistant 2: Numbers employed (Full Time Equivalent)]],0),"")</f>
        <v/>
      </c>
      <c r="MN68" s="30" t="str">
        <f>IFERROR(IF(AVERAGE(DATA[[#This Row],[Care Assistant 3: Current 2021/22 Minimum hourly pay rate ADJUSTED]],DATA[[#This Row],[Care Assistant 3: Current 2021/22 Maximum hourly pay rate ADJUSTED]])&lt;LIVING_WAGE_22_23,DATA[[#This Row],[Care Assistant 3: Numbers employed (Full Time Equivalent)]],0),"")</f>
        <v/>
      </c>
      <c r="MO68" s="30" t="str">
        <f>IFERROR(IF(AVERAGE(DATA[[#This Row],[Care Assistant 4: Current 2021/22 Minimum hourly pay rate ADJUSTED]],DATA[[#This Row],[Care Assistant 4: Current 2021/22 Maximum hourly pay rate ADJUSTED]])&lt;LIVING_WAGE_22_23,DATA[[#This Row],[Care Assistant 4: Numbers employed (Full Time Equivalent)]],0),"")</f>
        <v/>
      </c>
      <c r="MP68"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68"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68" s="30" t="str">
        <f>IFERROR(IF(AVERAGE(DATA[[#This Row],[Other staff 1: Current 2021/22 Minimum hourly pay rate ADJUSTED]],DATA[[#This Row],[Other staff 1: Current 2021/22 Maximum hourly pay rate ADJUSTED]])&lt;LIVING_WAGE_22_23,DATA[[#This Row],[Other staff 1: Numbers employed (Full Time Equivalent)]],0),"")</f>
        <v/>
      </c>
      <c r="MS68" s="30" t="str">
        <f>IFERROR(IF(AVERAGE(DATA[[#This Row],[Other staff 2: Current 2021/22 Minimum hourly pay rate ADJUSTED]],DATA[[#This Row],[Other staff 2: Current 2021/22 Maximum hourly pay rate ADJUSTED]])&lt;LIVING_WAGE_22_23,DATA[[#This Row],[Other staff 2: Numbers employed (Full Time Equivalent)]],0),"")</f>
        <v/>
      </c>
      <c r="MT68" s="30" t="str">
        <f>IFERROR(IF(AVERAGE(DATA[[#This Row],[Other staff 3: Current 2021/22 Minimum hourly pay rate ADJUSTED]],DATA[[#This Row],[Other staff 3: Current 2021/22 Maximum hourly pay rate ADJUSTED]])&lt;LIVING_WAGE_22_23,DATA[[#This Row],[Other staff 3: Numbers employed (Full Time Equivalent)]],0),"")</f>
        <v/>
      </c>
      <c r="MU68" s="30">
        <f>SUM(DATA[[#This Row],[Registered Manager FTE earning less than NLW 23yrs 2022/23]:[Other staff 3 FTE earning less than NLW 23yrs 2022/23]])</f>
        <v>0</v>
      </c>
      <c r="MV68"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68"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68"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68"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68"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8"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68"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68"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68"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8"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68"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68"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68"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8"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8" s="30" t="b">
        <v>1</v>
      </c>
      <c r="NK68" s="30" t="b">
        <v>0</v>
      </c>
      <c r="NL68" s="30" t="s">
        <v>973</v>
      </c>
      <c r="NM68" s="30">
        <f>SUM(DATA[[#This Row],[Management staff HOURLY RATE]:[Training and development HOURLY RATE]])</f>
        <v>13.374485502606785</v>
      </c>
      <c r="NN68" s="30">
        <f>SUM(DATA[[#This Row],[Recruitment &amp; advertising (including DBS checks) HOURLY RATE]:[Non-Staffing Direct Cost: Other  - please specify (amount) 2 HOURLY RATE]])</f>
        <v>1.2425683709869204</v>
      </c>
      <c r="NO68" s="30">
        <f>SUM(DATA[[#This Row],[Insurance  HOURLY RATE]:[Indirect costs: Other  - please specify (amount) 2 HOURLY RATE]])</f>
        <v>0.38132260129882012</v>
      </c>
      <c r="NP68" s="30">
        <f>SUM(DATA[[#This Row],[Central / Regional Management HOURLY RATE]:[Corporate Overheads: Other  - please specify (amount) 2 HOURLY RATE]])</f>
        <v>0.11474435196195006</v>
      </c>
      <c r="NQ68"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68" s="30">
        <f>IFERROR(IF(AVERAGE(DATA[[#This Row],[Deputy manager: Current 2021/22 Minimum hourly pay rate ADJUSTED]],DATA[[#This Row],[Deputy manager: Current 2021/22 Maximum hourly pay rate ADJUSTED]])&lt;REAL_LIVING_WAGE_22_23,DATA[[#This Row],[Deputy manager: Numbers employed (Full Time Equivalent)]],0),"")</f>
        <v>0</v>
      </c>
      <c r="NS68" s="30" t="str">
        <f>IFERROR(IF(AVERAGE(DATA[[#This Row],[Other manager 1: Current 2021/22 Minimum hourly pay rate ADJUSTED]],DATA[[#This Row],[Other manager 1: Current 2021/22 Maximum hourly pay rate ADJUSTED]])&lt;REAL_LIVING_WAGE_22_23,DATA[[#This Row],[Other manager 1: Numbers employed (Full Time Equivalent)]],0),"")</f>
        <v/>
      </c>
      <c r="NT68" s="30" t="str">
        <f>IFERROR(IF(AVERAGE(DATA[[#This Row],[Other manager 2: Current 2021/22 Minimum hourly pay rate ADJUSTED]],DATA[[#This Row],[Other manager 2: Current 2021/22 Maximum hourly pay rate ADJUSTED]])&lt;REAL_LIVING_WAGE_22_23,DATA[[#This Row],[Other manager 2: Numbers employed (Full Time Equivalent)]],0),"")</f>
        <v/>
      </c>
      <c r="NU68" s="30" t="str">
        <f>IFERROR(IF(AVERAGE(DATA[[#This Row],[Other manager 3: Current 2021/22 Minimum hourly pay rate ADJUSTED]],DATA[[#This Row],[Other manager 3: Current 2021/22 Maximum hourly pay rate ADJUSTED]])&lt;REAL_LIVING_WAGE_22_23,DATA[[#This Row],[Other manager 3: Numbers employed (Full Time Equivalent)]],0),"")</f>
        <v/>
      </c>
      <c r="NV68" s="30">
        <f>IFERROR(IF(AVERAGE(DATA[[#This Row],[Care Assistant 1: Current 2021/22 Minimum hourly pay rate ADJUSTED]],DATA[[#This Row],[Care Assistant 1: Current 2021/22 Maximum hourly pay rate ADJUSTED]])&lt;REAL_LIVING_WAGE_22_23,DATA[[#This Row],[Care Assistant 1: Numbers employed (Full Time Equivalent)]],0),"")</f>
        <v>0</v>
      </c>
      <c r="NW68"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68"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68"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8"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68"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68" s="30" t="str">
        <f>IFERROR(IF(AVERAGE(DATA[[#This Row],[Other staff 1: Current 2021/22 Minimum hourly pay rate ADJUSTED]],DATA[[#This Row],[Other staff 1: Current 2021/22 Maximum hourly pay rate ADJUSTED]])&lt;REAL_LIVING_WAGE_22_23,DATA[[#This Row],[Other staff 1: Numbers employed (Full Time Equivalent)]],0),"")</f>
        <v/>
      </c>
      <c r="OC68" s="30" t="str">
        <f>IFERROR(IF(AVERAGE(DATA[[#This Row],[Other staff 2: Current 2021/22 Minimum hourly pay rate ADJUSTED]],DATA[[#This Row],[Other staff 2: Current 2021/22 Maximum hourly pay rate ADJUSTED]])&lt;REAL_LIVING_WAGE_22_23,DATA[[#This Row],[Other staff 2: Numbers employed (Full Time Equivalent)]],0),"")</f>
        <v/>
      </c>
      <c r="OD68" s="30" t="str">
        <f>IFERROR(IF(AVERAGE(DATA[[#This Row],[Other staff 3: Current 2021/22 Minimum hourly pay rate ADJUSTED]],DATA[[#This Row],[Other staff 3: Current 2021/22 Maximum hourly pay rate ADJUSTED]])&lt;REAL_LIVING_WAGE_22_23,DATA[[#This Row],[Other staff 3: Numbers employed (Full Time Equivalent)]],0),"")</f>
        <v/>
      </c>
      <c r="OE68" s="30">
        <f>SUM(DATA[[#This Row],[Registered Manager FTE earning less than RLW 23yrs 2022/23]:[Other staff 3 FTE earning less than RLW 23yrs 2022/23]])</f>
        <v>0</v>
      </c>
      <c r="OF68"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68"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68"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68"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68"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8"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68"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68"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68"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8"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68"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68"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68"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8"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8" s="30">
        <f>IFERROR(IF(DATA[[#This Row],[Registered manager: Numbers employed (Full Time Equivalent)]]=0,"",DATA[[#This Row],[Registered manager: Current 2021/22 Minimum hourly pay rate ADJUSTED 2]]*DATA[[#This Row],[Registered manager: Numbers employed (Full Time Equivalent)]]),"")</f>
        <v>13.33</v>
      </c>
      <c r="OU68" s="30">
        <f>IFERROR(IF(DATA[[#This Row],[Registered manager: Numbers employed (Full Time Equivalent)]]=0,"",DATA[[#This Row],[Registered manager: Current 2021/22 Maximum hourly pay rate ADJUSTED 2]]*DATA[[#This Row],[Registered manager: Numbers employed (Full Time Equivalent)]]),"")</f>
        <v>13.33</v>
      </c>
      <c r="OV68" s="30">
        <f>IFERROR(IF(DATA[[#This Row],[Registered manager: Numbers employed (Full Time Equivalent)]]=0,"",DATA[[#This Row],[Registered manager: Previous 2020/21 Minimum hourly pay rate ADJUSTED 2]]*DATA[[#This Row],[Registered manager: Numbers employed (Full Time Equivalent)]]),"")</f>
        <v>13.06</v>
      </c>
      <c r="OW68" s="30">
        <f>IFERROR(IF(DATA[[#This Row],[Registered manager: Numbers employed (Full Time Equivalent)]]=0,"",DATA[[#This Row],[Registered manager: Previous 2020/21 Maximum hourly pay rate ADJUSTED 2]]*DATA[[#This Row],[Registered manager: Numbers employed (Full Time Equivalent)]]),"")</f>
        <v>13.06</v>
      </c>
      <c r="OX68" s="30">
        <f>IFERROR(IF(DATA[[#This Row],[Deputy manager: Numbers employed (Full Time Equivalent)]]=0,"",DATA[[#This Row],[Deputy manager: Current 2021/22 Minimum hourly pay rate ADJUSTED 2]]*DATA[[#This Row],[Deputy manager: Numbers employed (Full Time Equivalent)]]),"")</f>
        <v>6.46</v>
      </c>
      <c r="OY68" s="30">
        <f>IFERROR(IF(DATA[[#This Row],[Deputy manager: Numbers employed (Full Time Equivalent)]]=0,"",DATA[[#This Row],[Deputy manager: Current 2021/22 Maximum hourly pay rate ADJUSTED 2]]*DATA[[#This Row],[Deputy manager: Numbers employed (Full Time Equivalent)]]),"")</f>
        <v>6.46</v>
      </c>
      <c r="OZ68" s="30">
        <f>IFERROR(IF(DATA[[#This Row],[Deputy manager: Numbers employed (Full Time Equivalent)]]=0,"",DATA[[#This Row],[Deputy manager: Previous 2020/21 Minimum hourly pay rate ADJUSTED 2]]*DATA[[#This Row],[Deputy manager: Numbers employed (Full Time Equivalent)]]),"")</f>
        <v>6.33</v>
      </c>
      <c r="PA68" s="30">
        <f>IFERROR(IF(DATA[[#This Row],[Deputy manager: Numbers employed (Full Time Equivalent)]]=0,"",DATA[[#This Row],[Deputy manager: Previous 2020/21 Maximum hourly pay rate ADJUSTED 2]]*DATA[[#This Row],[Deputy manager: Numbers employed (Full Time Equivalent)]]),"")</f>
        <v>6.33</v>
      </c>
      <c r="PB68" s="30" t="str">
        <f>IFERROR(IF(DATA[[#This Row],[Other manager 1: Numbers employed (Full Time Equivalent)]]=0,"",DATA[[#This Row],[Other manager 1: Current 2021/22 Minimum hourly pay rate ADJUSTED 2]]*DATA[[#This Row],[Other manager 1: Numbers employed (Full Time Equivalent)]]),"")</f>
        <v/>
      </c>
      <c r="PC68" s="30" t="str">
        <f>IFERROR(IF(DATA[[#This Row],[Other manager 1: Numbers employed (Full Time Equivalent)]]=0,"",DATA[[#This Row],[Other manager 1: Current 2021/22 Maximum hourly pay rate ADJUSTED 2]]*DATA[[#This Row],[Other manager 1: Numbers employed (Full Time Equivalent)]]),"")</f>
        <v/>
      </c>
      <c r="PD68" s="30" t="str">
        <f>IFERROR(IF(DATA[[#This Row],[Other manager 1: Numbers employed (Full Time Equivalent)]]=0,"",DATA[[#This Row],[Other manager 1: Previous 2020/21 Minimum hourly pay rate ADJUSTED 2]]*DATA[[#This Row],[Other manager 1: Numbers employed (Full Time Equivalent)]]),"")</f>
        <v/>
      </c>
      <c r="PE68" s="30" t="str">
        <f>IFERROR(IF(DATA[[#This Row],[Other manager 1: Numbers employed (Full Time Equivalent)]]=0,"",DATA[[#This Row],[Other manager 1: Previous 2020/21 Maximum hourly pay rate ADJUSTED 2]]*DATA[[#This Row],[Other manager 1: Numbers employed (Full Time Equivalent)]]),"")</f>
        <v/>
      </c>
      <c r="PF68" s="30" t="str">
        <f>IFERROR(IF(DATA[[#This Row],[Other manager 2: Numbers employed (Full Time Equivalent)]]=0,"",DATA[[#This Row],[Other manager 2: Current 2021/22 Minimum hourly pay rate ADJUSTED 2]]*DATA[[#This Row],[Other manager 2: Numbers employed (Full Time Equivalent)]]),"")</f>
        <v/>
      </c>
      <c r="PG68" s="30" t="str">
        <f>IFERROR(IF(DATA[[#This Row],[Other manager 2: Numbers employed (Full Time Equivalent)]]=0,"",DATA[[#This Row],[Other manager 2: Current 2021/22 Maximum hourly pay rate ADJUSTED 2]]*DATA[[#This Row],[Other manager 2: Numbers employed (Full Time Equivalent)]]),"")</f>
        <v/>
      </c>
      <c r="PH68" s="30" t="str">
        <f>IFERROR(IF(DATA[[#This Row],[Other manager 2: Numbers employed (Full Time Equivalent)]]=0,"",DATA[[#This Row],[Other manager 2: Previous 2020/21 Minimum hourly pay rate ADJUSTED 2]]*DATA[[#This Row],[Other manager 2: Numbers employed (Full Time Equivalent)]]),"")</f>
        <v/>
      </c>
      <c r="PI68" s="30" t="str">
        <f>IFERROR(IF(DATA[[#This Row],[Other manager 2: Numbers employed (Full Time Equivalent)]]=0,"",DATA[[#This Row],[Other manager 2: Previous 2020/21 Maximum hourly pay rate ADJUSTED 2]]*DATA[[#This Row],[Other manager 2: Numbers employed (Full Time Equivalent)]]),"")</f>
        <v/>
      </c>
      <c r="PJ68" s="30" t="str">
        <f>IFERROR(IF(DATA[[#This Row],[Other manager 3: Numbers employed (Full Time Equivalent)]]=0,"",DATA[[#This Row],[Other manager 3: Current 2021/22 Minimum hourly pay rate ADJUSTED 2]]*DATA[[#This Row],[Other manager 3: Numbers employed (Full Time Equivalent)]]),"")</f>
        <v/>
      </c>
      <c r="PK68" s="30" t="str">
        <f>IFERROR(IF(DATA[[#This Row],[Other manager 3: Numbers employed (Full Time Equivalent)]]=0,"",DATA[[#This Row],[Other manager 3: Current 2021/22 Maximum hourly pay rate ADJUSTED 2]]*DATA[[#This Row],[Other manager 3: Numbers employed (Full Time Equivalent)]]),"")</f>
        <v/>
      </c>
      <c r="PL68" s="30" t="str">
        <f>IFERROR(IF(DATA[[#This Row],[Other manager 3: Numbers employed (Full Time Equivalent)]]=0,"",DATA[[#This Row],[Other manager 3: Previous 2020/21 Minimum hourly pay rate ADJUSTED 2]]*DATA[[#This Row],[Other manager 3: Numbers employed (Full Time Equivalent)]]),"")</f>
        <v/>
      </c>
      <c r="PM68" s="30" t="str">
        <f>IFERROR(IF(DATA[[#This Row],[Other manager 3: Numbers employed (Full Time Equivalent)]]=0,"",DATA[[#This Row],[Other manager 3: Previous 2020/21 Maximum hourly pay rate ADJUSTED 2]]*DATA[[#This Row],[Other manager 3: Numbers employed (Full Time Equivalent)]]),"")</f>
        <v/>
      </c>
      <c r="PN68" s="30">
        <f>IFERROR(IF(DATA[[#This Row],[Care Assistant 1: Numbers employed (Full Time Equivalent)]]=0,"",DATA[[#This Row],[Care Assistant 1: Current 2021/22 Minimum hourly pay rate ADJUSTED 2]]*DATA[[#This Row],[Care Assistant 1: Numbers employed (Full Time Equivalent)]]),"")</f>
        <v>215.51</v>
      </c>
      <c r="PO68" s="30">
        <f>IFERROR(IF(DATA[[#This Row],[Care Assistant 1: Numbers employed (Full Time Equivalent)]]=0,"",DATA[[#This Row],[Care Assistant 1: Current 2021/22 Maximum hourly pay rate ADJUSTED 2]]*DATA[[#This Row],[Care Assistant 1: Numbers employed (Full Time Equivalent)]]),"")</f>
        <v>431.02</v>
      </c>
      <c r="PP68" s="30">
        <f>IFERROR(IF(DATA[[#This Row],[Care Assistant 1: Numbers employed (Full Time Equivalent)]]=0,"",DATA[[#This Row],[Care Assistant 1: Previous 2020/21 Minimum hourly pay rate ADJUSTED 2]]*DATA[[#This Row],[Care Assistant 1: Numbers employed (Full Time Equivalent)]]),"")</f>
        <v>207</v>
      </c>
      <c r="PQ68" s="30">
        <f>IFERROR(IF(DATA[[#This Row],[Care Assistant 1: Numbers employed (Full Time Equivalent)]]=0,"",DATA[[#This Row],[Care Assistant 1: Previous 2020/21 Maximum hourly pay rate ADJUSTED 2]]*DATA[[#This Row],[Care Assistant 1: Numbers employed (Full Time Equivalent)]]),"")</f>
        <v>414</v>
      </c>
      <c r="PR68" s="30" t="str">
        <f>IFERROR(IF(DATA[[#This Row],[Care Assistant 2: Numbers employed (Full Time Equivalent)]]=0,"",DATA[[#This Row],[Care Assistant 2: Current 2021/22 Minimum hourly pay rate ADJUSTED 2]]*DATA[[#This Row],[Care Assistant 2: Numbers employed (Full Time Equivalent)]]),"")</f>
        <v/>
      </c>
      <c r="PS68" s="30" t="str">
        <f>IFERROR(IF(DATA[[#This Row],[Care Assistant 2: Numbers employed (Full Time Equivalent)]]=0,"",DATA[[#This Row],[Care Assistant 2: Current 2021/22 Maximum hourly pay rate ADJUSTED 2]]*DATA[[#This Row],[Care Assistant 2: Numbers employed (Full Time Equivalent)]]),"")</f>
        <v/>
      </c>
      <c r="PT68" s="30" t="str">
        <f>IFERROR(IF(DATA[[#This Row],[Care Assistant 2: Numbers employed (Full Time Equivalent)]]=0,"",DATA[[#This Row],[Care Assistant 2: Previous 2020/21 Minimum hourly pay rate ADJUSTED 2]]*DATA[[#This Row],[Care Assistant 2: Numbers employed (Full Time Equivalent)]]),"")</f>
        <v/>
      </c>
      <c r="PU68" s="30" t="str">
        <f>IFERROR(IF(DATA[[#This Row],[Care Assistant 2: Numbers employed (Full Time Equivalent)]]=0,"",DATA[[#This Row],[Care Assistant 2: Previous 2020/21 Maximum hourly pay rate ADJUSTED 2]]*DATA[[#This Row],[Care Assistant 2: Numbers employed (Full Time Equivalent)]]),"")</f>
        <v/>
      </c>
      <c r="PV68" s="30" t="str">
        <f>IFERROR(IF(DATA[[#This Row],[Care Assistant 3: Numbers employed (Full Time Equivalent)]]=0,"",DATA[[#This Row],[Care Assistant 3: Current 2021/22 Minimum hourly pay rate ADJUSTED 2]]*DATA[[#This Row],[Care Assistant 3: Numbers employed (Full Time Equivalent)]]),"")</f>
        <v/>
      </c>
      <c r="PW68" s="30" t="str">
        <f>IFERROR(IF(DATA[[#This Row],[Care Assistant 3: Numbers employed (Full Time Equivalent)]]=0,"",DATA[[#This Row],[Care Assistant 3: Current 2021/22 Maximum hourly pay rate ADJUSTED 2]]*DATA[[#This Row],[Care Assistant 3: Numbers employed (Full Time Equivalent)]]),"")</f>
        <v/>
      </c>
      <c r="PX68" s="30" t="str">
        <f>IFERROR(IF(DATA[[#This Row],[Care Assistant 3: Numbers employed (Full Time Equivalent)]]=0,"",DATA[[#This Row],[Care Assistant 3: Previous 2020/21 Minimum hourly pay rate ADJUSTED 2]]*DATA[[#This Row],[Care Assistant 3: Numbers employed (Full Time Equivalent)]]),"")</f>
        <v/>
      </c>
      <c r="PY68" s="30" t="str">
        <f>IFERROR(IF(DATA[[#This Row],[Care Assistant 3: Numbers employed (Full Time Equivalent)]]=0,"",DATA[[#This Row],[Care Assistant 3: Previous 2020/21 Maximum hourly pay rate ADJUSTED 2]]*DATA[[#This Row],[Care Assistant 3: Numbers employed (Full Time Equivalent)]]),"")</f>
        <v/>
      </c>
      <c r="PZ68" s="30" t="str">
        <f>IFERROR(IF(DATA[[#This Row],[Care Assistant 4: Numbers employed (Full Time Equivalent)]]=0,"",DATA[[#This Row],[Care Assistant 4: Current 2021/22 Minimum hourly pay rate ADJUSTED 2]]*DATA[[#This Row],[Care Assistant 4: Numbers employed (Full Time Equivalent)]]),"")</f>
        <v/>
      </c>
      <c r="QA68" s="30" t="str">
        <f>IFERROR(IF(DATA[[#This Row],[Care Assistant 4: Numbers employed (Full Time Equivalent)]]=0,"",DATA[[#This Row],[Care Assistant 4: Current 2021/22 Maximum hourly pay rate ADJUSTED 2]]*DATA[[#This Row],[Care Assistant 4: Numbers employed (Full Time Equivalent)]]),"")</f>
        <v/>
      </c>
      <c r="QB68" s="30" t="str">
        <f>IFERROR(IF(DATA[[#This Row],[Care Assistant 4: Numbers employed (Full Time Equivalent)]]=0,"",DATA[[#This Row],[Care Assistant 4: Previous 2020/21 Minimum hourly pay rate ADJUSTED 2]]*DATA[[#This Row],[Care Assistant 4: Numbers employed (Full Time Equivalent)]]),"")</f>
        <v/>
      </c>
      <c r="QC68" s="30" t="str">
        <f>IFERROR(IF(DATA[[#This Row],[Care Assistant 4: Numbers employed (Full Time Equivalent)]]=0,"",DATA[[#This Row],[Care Assistant 4: Previous 2020/21 Maximum hourly pay rate ADJUSTED 2]]*DATA[[#This Row],[Care Assistant 4: Numbers employed (Full Time Equivalent)]]),"")</f>
        <v/>
      </c>
      <c r="QD68" s="30">
        <f>IFERROR(IF(DATA[[#This Row],[Administrative Officer 1: Numbers employed (Full Time Equivalent)]]=0,"",DATA[[#This Row],[Administrative Officer 1: Current 2021/22 Minimum hourly pay rate ADJUSTED 2]]*DATA[[#This Row],[Administrative Officer 1: Numbers employed (Full Time Equivalent)]]),"")</f>
        <v>7.8825000000000003</v>
      </c>
      <c r="QE68" s="30">
        <f>IFERROR(IF(DATA[[#This Row],[Administrative Officer 1: Numbers employed (Full Time Equivalent)]]=0,"",DATA[[#This Row],[Administrative Officer 1: Current 2021/22 Maximum hourly pay rate ADJUSTED 2]]*DATA[[#This Row],[Administrative Officer 1: Numbers employed (Full Time Equivalent)]]),"")</f>
        <v>7.8825000000000003</v>
      </c>
      <c r="QF68" s="30">
        <f>IFERROR(IF(DATA[[#This Row],[Administrative Officer 1: Numbers employed (Full Time Equivalent)]]=0,"",DATA[[#This Row],[Administrative Officer 1: Previous 2020/21 Minimum hourly pay rate ADJUSTED 2]]*DATA[[#This Row],[Administrative Officer 1: Numbers employed (Full Time Equivalent)]]),"")</f>
        <v>7.7174999999999994</v>
      </c>
      <c r="QG68" s="30">
        <f>IFERROR(IF(DATA[[#This Row],[Administrative Officer 1: Numbers employed (Full Time Equivalent)]]=0,"",DATA[[#This Row],[Administrative Officer 1: Previous 2020/21 Maximum hourly pay rate ADJUSTED 2]]*DATA[[#This Row],[Administrative Officer 1: Numbers employed (Full Time Equivalent)]]),"")</f>
        <v>7.7174999999999994</v>
      </c>
      <c r="QH68" s="30" t="str">
        <f>IFERROR(IF(DATA[[#This Row],[Administrative Officer 2: Numbers employed (Full Time Equivalent)]]=0,"",DATA[[#This Row],[Administrative Officer 2: Current 2021/22 Minimum hourly pay rate ADJUSTED 2]]*DATA[[#This Row],[Administrative Officer 2: Numbers employed (Full Time Equivalent)]]),"")</f>
        <v/>
      </c>
      <c r="QI68" s="30" t="str">
        <f>IFERROR(IF(DATA[[#This Row],[Administrative Officer 2: Numbers employed (Full Time Equivalent)]]=0,"",DATA[[#This Row],[Administrative Officer 2: Current 2021/22 Maximum hourly pay rate ADJUSTED 2]]*DATA[[#This Row],[Administrative Officer 2: Numbers employed (Full Time Equivalent)]]),"")</f>
        <v/>
      </c>
      <c r="QJ68" s="30" t="str">
        <f>IFERROR(IF(DATA[[#This Row],[Administrative Officer 2: Numbers employed (Full Time Equivalent)]]=0,"",DATA[[#This Row],[Administrative Officer 2: Previous 2020/21 Minimum hourly pay rate ADJUSTED 2]]*DATA[[#This Row],[Administrative Officer 2: Numbers employed (Full Time Equivalent)]]),"")</f>
        <v/>
      </c>
      <c r="QK68" s="30" t="str">
        <f>IFERROR(IF(DATA[[#This Row],[Administrative Officer 2: Numbers employed (Full Time Equivalent)]]=0,"",DATA[[#This Row],[Administrative Officer 2: Previous 2020/21 Maximum hourly pay rate ADJUSTED 2]]*DATA[[#This Row],[Administrative Officer 2: Numbers employed (Full Time Equivalent)]]),"")</f>
        <v/>
      </c>
      <c r="QL68" s="30" t="str">
        <f>IFERROR(IF(DATA[[#This Row],[Administrative Officer 3: Numbers employed (Full Time Equivalent)]]=0,"",DATA[[#This Row],[Administrative Officer 3: Current 2021/22 Minimum hourly pay rate ADJUSTED 2]]*DATA[[#This Row],[Administrative Officer 3: Numbers employed (Full Time Equivalent)]]),"")</f>
        <v/>
      </c>
      <c r="QM68" s="30" t="str">
        <f>IFERROR(IF(DATA[[#This Row],[Administrative Officer 3: Numbers employed (Full Time Equivalent)]]=0,"",DATA[[#This Row],[Administrative Officer 3: Current 2021/22 Maximum hourly pay rate ADJUSTED 2]]*DATA[[#This Row],[Administrative Officer 3: Numbers employed (Full Time Equivalent)]]),"")</f>
        <v/>
      </c>
      <c r="QN68" s="30" t="str">
        <f>IFERROR(IF(DATA[[#This Row],[Administrative Officer 3: Numbers employed (Full Time Equivalent)]]=0,"",DATA[[#This Row],[Administrative Officer 3: Previous 2020/21 Minimum hourly pay rate ADJUSTED 2]]*DATA[[#This Row],[Administrative Officer 3: Numbers employed (Full Time Equivalent)]]),"")</f>
        <v/>
      </c>
      <c r="QO68" s="30" t="str">
        <f>IFERROR(IF(DATA[[#This Row],[Administrative Officer 3: Numbers employed (Full Time Equivalent)]]=0,"",DATA[[#This Row],[Administrative Officer 3: Previous 2020/21 Maximum hourly pay rate ADJUSTED 2]]*DATA[[#This Row],[Administrative Officer 3: Numbers employed (Full Time Equivalent)]]),"")</f>
        <v/>
      </c>
      <c r="QP68" s="28" t="str">
        <f>IFERROR(IF(DATA[[#This Row],[Other staff 1: Numbers employed (Full Time Equivalent)]]=0,"",DATA[[#This Row],[Other staff 1: Current 2021/22 Minimum hourly pay rate ADJUSTED 2]]*DATA[[#This Row],[Other staff 1: Numbers employed (Full Time Equivalent)]]),"")</f>
        <v/>
      </c>
      <c r="QQ68" s="28" t="str">
        <f>IFERROR(IF(DATA[[#This Row],[Other staff 1: Numbers employed (Full Time Equivalent)]]=0,"",DATA[[#This Row],[Other staff 1: Current 2021/22 Maximum hourly pay rate ADJUSTED 2]]*DATA[[#This Row],[Other staff 1: Numbers employed (Full Time Equivalent)]]),"")</f>
        <v/>
      </c>
      <c r="QR68" s="28" t="str">
        <f>IFERROR(IF(DATA[[#This Row],[Other staff 1: Numbers employed (Full Time Equivalent)]]=0,"",DATA[[#This Row],[Other staff 1: Previous 2020/21 Minimum hourly pay rate ADJUSTED 2]]*DATA[[#This Row],[Other staff 1: Numbers employed (Full Time Equivalent)]]),"")</f>
        <v/>
      </c>
      <c r="QS68" s="28" t="str">
        <f>IFERROR(IF(DATA[[#This Row],[Other staff 1: Numbers employed (Full Time Equivalent)]]=0,"",DATA[[#This Row],[Other staff 1: Previous 2020/21 Maximum hourly pay rate ADJUSTED 2]]*DATA[[#This Row],[Other staff 1: Numbers employed (Full Time Equivalent)]]),"")</f>
        <v/>
      </c>
      <c r="QT68" s="28" t="str">
        <f>IFERROR(IF(DATA[[#This Row],[Other staff 2: Numbers employed (Full Time Equivalent)]]=0,"",DATA[[#This Row],[Other staff 2: Current 2021/22 Minimum hourly pay rate ADJUSTED 2]]*DATA[[#This Row],[Other staff 2: Numbers employed (Full Time Equivalent)]]),"")</f>
        <v/>
      </c>
      <c r="QU68" s="28" t="str">
        <f>IFERROR(IF(DATA[[#This Row],[Other staff 2: Numbers employed (Full Time Equivalent)]]=0,"",DATA[[#This Row],[Other staff 2: Current 2021/22 Maximum hourly pay rate ADJUSTED 2]]*DATA[[#This Row],[Other staff 2: Numbers employed (Full Time Equivalent)]]),"")</f>
        <v/>
      </c>
      <c r="QV68" s="28" t="str">
        <f>IFERROR(IF(DATA[[#This Row],[Other staff 2: Numbers employed (Full Time Equivalent)]]=0,"",DATA[[#This Row],[Other staff 2: Previous 2020/21 Minimum hourly pay rate ADJUSTED 2]]*DATA[[#This Row],[Other staff 2: Numbers employed (Full Time Equivalent)]]),"")</f>
        <v/>
      </c>
      <c r="QW68" s="28" t="str">
        <f>IFERROR(IF(DATA[[#This Row],[Other staff 2: Numbers employed (Full Time Equivalent)]]=0,"",DATA[[#This Row],[Other staff 2: Previous 2020/21 Maximum hourly pay rate ADJUSTED 2]]*DATA[[#This Row],[Other staff 2: Numbers employed (Full Time Equivalent)]]),"")</f>
        <v/>
      </c>
      <c r="QX68" s="28" t="str">
        <f>IFERROR(IF(DATA[[#This Row],[Other staff 3: Numbers employed (Full Time Equivalent)]]=0,"",DATA[[#This Row],[Other staff 3: Current 2021/22 Minimum hourly pay rate ADJUSTED 2]]*DATA[[#This Row],[Other staff 3: Numbers employed (Full Time Equivalent)]]),"")</f>
        <v/>
      </c>
      <c r="QY68" s="28" t="str">
        <f>IFERROR(IF(DATA[[#This Row],[Other staff 3: Numbers employed (Full Time Equivalent)]]=0,"",DATA[[#This Row],[Other staff 3: Current 2021/22 Maximum hourly pay rate ADJUSTED 2]]*DATA[[#This Row],[Other staff 3: Numbers employed (Full Time Equivalent)]]),"")</f>
        <v/>
      </c>
      <c r="QZ68" s="28" t="str">
        <f>IFERROR(IF(DATA[[#This Row],[Other staff 3: Numbers employed (Full Time Equivalent)]]=0,"",DATA[[#This Row],[Other staff 3: Previous 2020/21 Minimum hourly pay rate ADJUSTED 2]]*DATA[[#This Row],[Other staff 3: Numbers employed (Full Time Equivalent)]]),"")</f>
        <v/>
      </c>
      <c r="RA68" s="28" t="str">
        <f>IFERROR(IF(DATA[[#This Row],[Other staff 3: Numbers employed (Full Time Equivalent)]]=0,"",DATA[[#This Row],[Other staff 3: Previous 2020/21 Maximum hourly pay rate ADJUSTED 2]]*DATA[[#This Row],[Other staff 3: Numbers employed (Full Time Equivalent)]]),"")</f>
        <v/>
      </c>
      <c r="RB68"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68"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0.5</v>
      </c>
      <c r="RD68"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68"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68"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8"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23</v>
      </c>
      <c r="RH68"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68"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68"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8"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0.75</v>
      </c>
      <c r="RL68"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68"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68"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68"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8"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69" spans="7:484" x14ac:dyDescent="0.25">
      <c r="G69" s="2">
        <v>63</v>
      </c>
      <c r="H69" s="2">
        <v>0</v>
      </c>
      <c r="I69" s="2">
        <v>45</v>
      </c>
      <c r="J69" s="2">
        <v>0</v>
      </c>
      <c r="K69" s="2">
        <v>1</v>
      </c>
      <c r="L69" s="2" t="s">
        <v>328</v>
      </c>
      <c r="M69" s="2" t="s">
        <v>328</v>
      </c>
      <c r="R69" s="2">
        <v>19.53</v>
      </c>
      <c r="S69" s="2">
        <v>20.059999999999999</v>
      </c>
      <c r="T69" s="2">
        <v>19.100000000000001</v>
      </c>
      <c r="U69" s="2">
        <v>19.62</v>
      </c>
      <c r="V69" s="2">
        <v>4</v>
      </c>
      <c r="W69" s="2">
        <v>12.76</v>
      </c>
      <c r="X69" s="2">
        <v>12.76</v>
      </c>
      <c r="Y69" s="2">
        <v>12.48</v>
      </c>
      <c r="Z69" s="2">
        <v>12.48</v>
      </c>
      <c r="AA69" s="2">
        <v>3</v>
      </c>
      <c r="AB69" s="2" t="s">
        <v>315</v>
      </c>
      <c r="AC69" s="2">
        <v>0</v>
      </c>
      <c r="AD69" s="2">
        <v>0</v>
      </c>
      <c r="AE69" s="2">
        <v>0</v>
      </c>
      <c r="AF69" s="2">
        <v>0</v>
      </c>
      <c r="AG69" s="2">
        <v>0</v>
      </c>
      <c r="AH69" s="2" t="s">
        <v>315</v>
      </c>
      <c r="AI69" s="2">
        <v>0</v>
      </c>
      <c r="AJ69" s="2">
        <v>0</v>
      </c>
      <c r="AK69" s="2">
        <v>0</v>
      </c>
      <c r="AL69" s="2">
        <v>0</v>
      </c>
      <c r="AM69" s="2">
        <v>0</v>
      </c>
      <c r="AN69" s="2" t="s">
        <v>315</v>
      </c>
      <c r="AO69" s="2">
        <v>0</v>
      </c>
      <c r="AP69" s="2">
        <v>0</v>
      </c>
      <c r="AQ69" s="2"/>
      <c r="AR69" s="2">
        <v>0</v>
      </c>
      <c r="AS69" s="2">
        <v>0</v>
      </c>
      <c r="AT69" s="2" t="s">
        <v>336</v>
      </c>
      <c r="AU69" s="2">
        <v>10.15</v>
      </c>
      <c r="AV69" s="2">
        <v>10.65</v>
      </c>
      <c r="AW69" s="2">
        <v>9.9499999999999993</v>
      </c>
      <c r="AX69" s="2">
        <v>10.45</v>
      </c>
      <c r="AY69" s="2">
        <v>10</v>
      </c>
      <c r="AZ69" s="2" t="s">
        <v>389</v>
      </c>
      <c r="BA69" s="2">
        <v>9.1</v>
      </c>
      <c r="BB69" s="2">
        <v>9.6</v>
      </c>
      <c r="BC69" s="2">
        <v>8.9</v>
      </c>
      <c r="BD69" s="2">
        <v>9.4</v>
      </c>
      <c r="BE69" s="2">
        <v>143</v>
      </c>
      <c r="BF69" s="2" t="s">
        <v>316</v>
      </c>
      <c r="BG69" s="2">
        <v>0</v>
      </c>
      <c r="BH69" s="2">
        <v>0</v>
      </c>
      <c r="BI69" s="2">
        <v>0</v>
      </c>
      <c r="BJ69" s="2">
        <v>0</v>
      </c>
      <c r="BK69" s="2">
        <v>0</v>
      </c>
      <c r="BL69" s="2" t="s">
        <v>316</v>
      </c>
      <c r="BM69" s="2">
        <v>0</v>
      </c>
      <c r="BN69" s="2">
        <v>0</v>
      </c>
      <c r="BO69" s="2">
        <v>0</v>
      </c>
      <c r="BP69" s="2">
        <v>0</v>
      </c>
      <c r="BQ69" s="2">
        <v>0</v>
      </c>
      <c r="BR69" s="2" t="s">
        <v>317</v>
      </c>
      <c r="BS69" s="2">
        <v>0</v>
      </c>
      <c r="BT69" s="2">
        <v>0</v>
      </c>
      <c r="BU69" s="2">
        <v>0</v>
      </c>
      <c r="BV69" s="2">
        <v>0</v>
      </c>
      <c r="BW69" s="2">
        <v>0</v>
      </c>
      <c r="BX69" s="2" t="s">
        <v>317</v>
      </c>
      <c r="BY69" s="2">
        <v>0</v>
      </c>
      <c r="BZ69" s="2">
        <v>0</v>
      </c>
      <c r="CA69" s="2">
        <v>0</v>
      </c>
      <c r="CB69" s="2">
        <v>0</v>
      </c>
      <c r="CC69" s="2">
        <v>0</v>
      </c>
      <c r="CD69" s="2" t="s">
        <v>317</v>
      </c>
      <c r="CE69" s="2">
        <v>0</v>
      </c>
      <c r="CF69" s="2">
        <v>0</v>
      </c>
      <c r="CG69" s="2">
        <v>0</v>
      </c>
      <c r="CH69" s="2">
        <v>0</v>
      </c>
      <c r="CI69" s="2">
        <v>0</v>
      </c>
      <c r="CJ69" s="2" t="s">
        <v>318</v>
      </c>
      <c r="CK69" s="2">
        <v>0</v>
      </c>
      <c r="CL69" s="2">
        <v>0</v>
      </c>
      <c r="CM69" s="2">
        <v>0</v>
      </c>
      <c r="CN69" s="2">
        <v>0</v>
      </c>
      <c r="CO69" s="2">
        <v>0</v>
      </c>
      <c r="CP69" s="2" t="s">
        <v>318</v>
      </c>
      <c r="CQ69" s="2">
        <v>0</v>
      </c>
      <c r="CR69" s="2">
        <v>0</v>
      </c>
      <c r="CS69" s="2">
        <v>0</v>
      </c>
      <c r="CT69" s="2">
        <v>0</v>
      </c>
      <c r="CU69" s="2">
        <v>0</v>
      </c>
      <c r="CV69" s="2" t="s">
        <v>318</v>
      </c>
      <c r="CW69" s="2">
        <v>0</v>
      </c>
      <c r="CX69" s="2">
        <v>0</v>
      </c>
      <c r="CY69" s="2">
        <v>0</v>
      </c>
      <c r="CZ69" s="2">
        <v>0</v>
      </c>
      <c r="DA69" s="2">
        <v>0</v>
      </c>
      <c r="DB69" s="2">
        <v>0.03</v>
      </c>
      <c r="DC69" s="2">
        <v>0</v>
      </c>
      <c r="DD69" s="2">
        <v>0</v>
      </c>
      <c r="DE69" s="2">
        <v>0</v>
      </c>
      <c r="DF69" s="2">
        <v>0</v>
      </c>
      <c r="DG69" s="2">
        <v>0</v>
      </c>
      <c r="DH69" s="2">
        <v>0</v>
      </c>
      <c r="DI69" s="2">
        <v>265</v>
      </c>
      <c r="DJ69" s="2">
        <v>3282</v>
      </c>
      <c r="DK69" s="2">
        <v>1254</v>
      </c>
      <c r="DL69" s="2">
        <v>782</v>
      </c>
      <c r="DM69" s="2">
        <v>0</v>
      </c>
      <c r="DN69" s="2">
        <v>0</v>
      </c>
      <c r="DO69" s="2">
        <v>16.8</v>
      </c>
      <c r="DP69" s="2">
        <v>0</v>
      </c>
      <c r="DQ69" s="2">
        <v>17.8</v>
      </c>
      <c r="DR69" s="18">
        <v>44044</v>
      </c>
      <c r="DS69" s="18">
        <v>44439</v>
      </c>
      <c r="DT69" s="2">
        <v>286768</v>
      </c>
      <c r="DU69" s="2">
        <v>257500</v>
      </c>
      <c r="DV69" s="2">
        <v>3095384</v>
      </c>
      <c r="DW69" s="2">
        <v>0</v>
      </c>
      <c r="DX69" s="2">
        <v>0</v>
      </c>
      <c r="DY69" s="2">
        <v>40183</v>
      </c>
      <c r="DZ69" s="2">
        <v>7793.3714</v>
      </c>
      <c r="EA69" s="2">
        <v>0</v>
      </c>
      <c r="EB69" s="2">
        <v>52175.238100000002</v>
      </c>
      <c r="EC69" s="2">
        <v>0</v>
      </c>
      <c r="ED69" s="2">
        <v>0</v>
      </c>
      <c r="EE69" s="2">
        <v>13819.123799999999</v>
      </c>
      <c r="EF69" s="2">
        <v>0</v>
      </c>
      <c r="EG69" s="2">
        <v>4000.9142999999999</v>
      </c>
      <c r="EH69" s="2" t="s">
        <v>324</v>
      </c>
      <c r="EI69" s="2">
        <v>0</v>
      </c>
      <c r="EJ69" s="2" t="s">
        <v>324</v>
      </c>
      <c r="EK69" s="2">
        <v>0</v>
      </c>
      <c r="EL69" s="2">
        <v>5578.3618999999999</v>
      </c>
      <c r="EM69" s="2">
        <v>30529.828600000001</v>
      </c>
      <c r="EN69" s="2">
        <v>6360.9904999999999</v>
      </c>
      <c r="EO69" s="2">
        <v>89585.371400000004</v>
      </c>
      <c r="EP69" s="2">
        <v>0</v>
      </c>
      <c r="EQ69" s="2">
        <v>16905.752400000001</v>
      </c>
      <c r="ER69" s="2">
        <v>21719.771400000001</v>
      </c>
      <c r="ES69" s="2">
        <v>20275.2</v>
      </c>
      <c r="ET69" s="2" t="s">
        <v>582</v>
      </c>
      <c r="EU69" s="2">
        <v>39789.7143</v>
      </c>
      <c r="EV69" s="2" t="s">
        <v>324</v>
      </c>
      <c r="EW69" s="2">
        <v>0</v>
      </c>
      <c r="EX69" s="2">
        <v>149994</v>
      </c>
      <c r="EY69" s="2">
        <v>242204</v>
      </c>
      <c r="EZ69" s="2" t="s">
        <v>583</v>
      </c>
      <c r="FA69" s="2">
        <v>27994</v>
      </c>
      <c r="FB69" s="2" t="s">
        <v>584</v>
      </c>
      <c r="FC69" s="2">
        <v>142023</v>
      </c>
      <c r="FD69" s="2">
        <v>676447</v>
      </c>
      <c r="FE69" s="2">
        <v>0</v>
      </c>
      <c r="FF69" s="2"/>
      <c r="FG69" s="2"/>
      <c r="FH69" s="19">
        <v>44480.627395833333</v>
      </c>
      <c r="FI69" s="2" t="s">
        <v>345</v>
      </c>
      <c r="FJ69" s="2">
        <f>SUM(DATA[[#This Row],[Number of Home support clients:]],DATA[[#This Row],[Number of supported living clients:]])</f>
        <v>45</v>
      </c>
      <c r="FK69"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41-50</v>
      </c>
      <c r="FL69"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19.53</v>
      </c>
      <c r="FM69"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20.059999999999999</v>
      </c>
      <c r="FN69"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19.100000000000001</v>
      </c>
      <c r="FO69"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19.62</v>
      </c>
      <c r="FP69"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12.76</v>
      </c>
      <c r="FQ69"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12.76</v>
      </c>
      <c r="FR69"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12.48</v>
      </c>
      <c r="FS69"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12.48</v>
      </c>
      <c r="FT69"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69"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69"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69"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69"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69"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69"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69"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69"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69"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69"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69"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69"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10.15</v>
      </c>
      <c r="GG69"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10.65</v>
      </c>
      <c r="GH69"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9.9499999999999993</v>
      </c>
      <c r="GI69"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10.45</v>
      </c>
      <c r="GJ69"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9.1</v>
      </c>
      <c r="GK69"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9.6</v>
      </c>
      <c r="GL69"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8.9</v>
      </c>
      <c r="GM69"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9.4</v>
      </c>
      <c r="GN69"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69"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69"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69"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69"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69"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69"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69"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69"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69"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69"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69"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69"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69"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69"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69"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69"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69"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69"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69"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69"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69"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69"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69"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69"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69"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69"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69"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69"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69"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69"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69"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69"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19.53</v>
      </c>
      <c r="HU69"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20.059999999999999</v>
      </c>
      <c r="HV69"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19.100000000000001</v>
      </c>
      <c r="HW69"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19.62</v>
      </c>
      <c r="HX69"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12.76</v>
      </c>
      <c r="HY69"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12.76</v>
      </c>
      <c r="HZ69"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12.48</v>
      </c>
      <c r="IA69"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12.48</v>
      </c>
      <c r="IB69"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69"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69"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69"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69"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69"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69"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69"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69"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69"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69"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69"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69"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10.15</v>
      </c>
      <c r="IO69"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10.65</v>
      </c>
      <c r="IP69"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9.9499999999999993</v>
      </c>
      <c r="IQ69"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10.45</v>
      </c>
      <c r="IR69"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9.1</v>
      </c>
      <c r="IS69"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9.6</v>
      </c>
      <c r="IT69"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8.9</v>
      </c>
      <c r="IU69"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9.4</v>
      </c>
      <c r="IV69"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69"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69"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69"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69"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69"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69"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69"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69"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69"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69"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69"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69"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69"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69"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69"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69"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69"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69"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69"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69"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69"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69"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69"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69"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69"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69"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69"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69"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69"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69"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69"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69"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7</v>
      </c>
      <c r="KC69" s="21">
        <f>SUM(DATA[[#This Row],[Care Assistant 1: Numbers employed (Full Time Equivalent)]],DATA[[#This Row],[Care Assistant 2: Numbers employed (Full Time Equivalent)]],DATA[[#This Row],[Care Assistant 3: Numbers employed (Full Time Equivalent)]],DATA[[#This Row],[Care Assistant 4: Numbers employed (Full Time Equivalent)]])</f>
        <v>153</v>
      </c>
      <c r="KD69" s="21">
        <f>SUM(DATA[[#This Row],[Administrative Officer 1: Numbers employed (Full Time Equivalent)]],DATA[[#This Row],[Administrative Officer 2: Numbers employed (Full Time Equivalent)]])</f>
        <v>0</v>
      </c>
      <c r="KE69" s="21">
        <f>SUM(DATA[[#This Row],[Other staff 1: Numbers employed (Full Time Equivalent)]],DATA[[#This Row],[Other staff 2: Numbers employed (Full Time Equivalent)]],DATA[[#This Row],[Other staff 3: Numbers employed (Full Time Equivalent)]])</f>
        <v>0</v>
      </c>
      <c r="KF69" s="21">
        <f>SUM(DATA[[#This Row],[Total FTE Management Employees]:[Total FTE Other Employees]])</f>
        <v>160</v>
      </c>
      <c r="KG69" s="21" t="str">
        <f>IF(SUM(DATA[[#This Row],[Home Support service split percentage (Expenditure):]],DATA[[#This Row],[Supported Living service split percentage (Expenditure):]])&gt;0, IF(DATA[[#This Row],[Home Support service split percentage (Expenditure):]]&gt;0.5,"Home Support","Supported Living"), "Unknown")</f>
        <v>Supported Living</v>
      </c>
      <c r="KH69" s="21">
        <f>SUM(DATA[[#This Row],[Home Support: Birmingham City Council]:[Home Support: Self-funded]])</f>
        <v>0</v>
      </c>
      <c r="KI69" s="21">
        <f>SUM(DATA[[#This Row],[Supported Living: Birmingham City Council]:[Supported Living: Self-funded]])</f>
        <v>5583</v>
      </c>
      <c r="KJ69"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69"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69"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69"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69" s="21" t="b">
        <f>SUM(DATA[[#This Row],[Number of hours of care charged for in last full accounting year]:[Corporate Overheads: Other  - please specify (category) 1]])&gt;0</f>
        <v>1</v>
      </c>
      <c r="KO69" s="21">
        <f>SUM(DATA[[#This Row],[Total annual expenditure: Management staff]:[Total annual expenditure: Training and development]])</f>
        <v>3453035.6095000003</v>
      </c>
      <c r="KP69" s="21">
        <f>SUM(DATA[[#This Row],[Recruitment &amp; advertising (including DBS checks)]:[Non-Staffing Direct Cost: Other  - please specify (amount) 2]])</f>
        <v>17820.038099999998</v>
      </c>
      <c r="KQ69" s="21">
        <f>SUM(DATA[[#This Row],[Insurance ]:[Indirect costs: Other 2 - please specify (amount)]])</f>
        <v>230744.99049999999</v>
      </c>
      <c r="KR69" s="21">
        <f>SUM(DATA[[#This Row],[Central / Regional Management]],DATA[[#This Row],[Support Services (finance / HR / Payroll / legal etc.)]],DATA[[#This Row],[Corporate Overheads: Other  - please specify (amount) 1]],DATA[[#This Row],[Corporate Overheads: Other  - please specify (amount) 2]])</f>
        <v>562215</v>
      </c>
      <c r="KS69"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0.89793840316911233</v>
      </c>
      <c r="KT69"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10.794035596719299</v>
      </c>
      <c r="KU69"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69"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69" s="30">
        <f>IF(OR(NOT(DATA[[#This Row],[Total annual expenditure: Agency staff]]&gt;0),NOT(DATA[[#This Row],[Number of hours of care charged for in last full accounting year]]&gt;0)),0,DATA[[#This Row],[Total annual expenditure: Agency staff]]/DATA[[#This Row],[Number of hours of care charged for in last full accounting year]])</f>
        <v>0.14012372370696871</v>
      </c>
      <c r="KX69" s="30">
        <f>IF(OR(NOT(DATA[[#This Row],[Total annual expenditure: Travel Cost]]&gt;0),NOT(DATA[[#This Row],[Number of hours of care charged for in last full accounting year]]&gt;0)),0,DATA[[#This Row],[Total annual expenditure: Travel Cost]]/DATA[[#This Row],[Number of hours of care charged for in last full accounting year]])</f>
        <v>2.7176572699882832E-2</v>
      </c>
      <c r="KY69"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69"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0.1819423300368242</v>
      </c>
      <c r="LA69"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69"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69" s="30">
        <f>IF(OR(NOT(DATA[[#This Row],[Care consumables &amp; uniforms]]&gt;0),NOT(DATA[[#This Row],[Number of hours of care charged for in last full accounting year]]&gt;0)),0,DATA[[#This Row],[Care consumables &amp; uniforms]]/DATA[[#This Row],[Number of hours of care charged for in last full accounting year]])</f>
        <v>4.8189211488032138E-2</v>
      </c>
      <c r="LD69" s="30">
        <f>IF(OR(NOT(DATA[[#This Row],[Electronic call monitoring]]&gt;0),NOT(DATA[[#This Row],[Number of hours of care charged for in last full accounting year]]&gt;0)),0,DATA[[#This Row],[Electronic call monitoring]]/DATA[[#This Row],[Number of hours of care charged for in last full accounting year]])</f>
        <v>0</v>
      </c>
      <c r="LE69" s="30">
        <f>IF(OR(NOT(DATA[[#This Row],[IT Equipment &amp; Telephoney]]&gt;0),NOT(DATA[[#This Row],[Number of hours of care charged for in last full accounting year]]&gt;0)),0,DATA[[#This Row],[IT Equipment &amp; Telephoney]]/DATA[[#This Row],[Number of hours of care charged for in last full accounting year]])</f>
        <v>1.3951746010712493E-2</v>
      </c>
      <c r="LF69"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69"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69" s="30">
        <f>IF(OR(NOT(DATA[[#This Row],[Insurance ]]&gt;0),NOT(DATA[[#This Row],[Number of hours of care charged for in last full accounting year]]&gt;0)),0,DATA[[#This Row],[Insurance ]]/DATA[[#This Row],[Number of hours of care charged for in last full accounting year]])</f>
        <v>1.9452525735088991E-2</v>
      </c>
      <c r="LI69"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0.10646176909557552</v>
      </c>
      <c r="LJ69" s="30">
        <f>IF(OR(NOT(DATA[[#This Row],[Repairs and maintenance]]&gt;0),NOT(DATA[[#This Row],[Number of hours of care charged for in last full accounting year]]&gt;0)),0,DATA[[#This Row],[Repairs and maintenance]]/DATA[[#This Row],[Number of hours of care charged for in last full accounting year]])</f>
        <v>2.2181660785024829E-2</v>
      </c>
      <c r="LK69"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0.31239668094069073</v>
      </c>
      <c r="LL69" s="30">
        <f>IF(OR(NOT(DATA[[#This Row],[Registration &amp; Inspection fees ]]&gt;0),NOT(DATA[[#This Row],[Number of hours of care charged for in last full accounting year]]&gt;0)),0,DATA[[#This Row],[Registration &amp; Inspection fees ]]/DATA[[#This Row],[Number of hours of care charged for in last full accounting year]])</f>
        <v>0</v>
      </c>
      <c r="LM69" s="30">
        <f>IF(OR(NOT(DATA[[#This Row],[Subscriptions]]&gt;0),NOT(DATA[[#This Row],[Number of hours of care charged for in last full accounting year]]&gt;0)),0,DATA[[#This Row],[Subscriptions]]/DATA[[#This Row],[Number of hours of care charged for in last full accounting year]])</f>
        <v>5.8952715784187919E-2</v>
      </c>
      <c r="LN69" s="30">
        <f>IF(OR(NOT(DATA[[#This Row],[Cost of finance]]&gt;0),NOT(DATA[[#This Row],[Number of hours of care charged for in last full accounting year]]&gt;0)),0,DATA[[#This Row],[Cost of finance]]/DATA[[#This Row],[Number of hours of care charged for in last full accounting year]])</f>
        <v>7.5739871254812255E-2</v>
      </c>
      <c r="LO69" s="30">
        <f>IF(OR(NOT(DATA[[#This Row],[Other non-staff current expenses]]&gt;0),NOT(DATA[[#This Row],[Number of hours of care charged for in last full accounting year]]&gt;0)),0,DATA[[#This Row],[Other non-staff current expenses]]/DATA[[#This Row],[Number of hours of care charged for in last full accounting year]])</f>
        <v>7.0702449366735476E-2</v>
      </c>
      <c r="LP69"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0.13875228163532891</v>
      </c>
      <c r="LQ69"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69" s="30">
        <f>IF(OR(NOT(DATA[[#This Row],[Central / Regional Management]]&gt;0),NOT(DATA[[#This Row],[Number of hours of care charged for in last full accounting year]]&gt;0)),0,DATA[[#This Row],[Central / Regional Management]]/DATA[[#This Row],[Number of hours of care charged for in last full accounting year]])</f>
        <v>0.52304999163086541</v>
      </c>
      <c r="LS69"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0.8445991184511521</v>
      </c>
      <c r="LT69"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9.761898119734419E-2</v>
      </c>
      <c r="LU69"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0.49525400323606539</v>
      </c>
      <c r="LV69" s="30">
        <f>SUM(DATA[[#This Row],[Management staff HOURLY RATE]:[Corporate Overheads: Other  - please specify (amount) 2 HOURLY RATE]])</f>
        <v>14.8685196329437</v>
      </c>
      <c r="LW69" s="30">
        <f>IF(OR(NOT(DATA[[#This Row],[Net Operating Profit]]&gt;0),NOT(DATA[[#This Row],[Number of hours of care charged for in last full accounting year]]&gt;0)),"",DATA[[#This Row],[Net Operating Profit]]/DATA[[#This Row],[Number of hours of care charged for in last full accounting year]])</f>
        <v>2.3588650058583944</v>
      </c>
      <c r="LX69" s="30">
        <f>IF(OR(NOT(DATA[[#This Row],[Return on Capital employed]]&gt;0),NOT(DATA[[#This Row],[Number of hours of care charged for in last full accounting year]]&gt;0)),0,DATA[[#This Row],[Return on Capital employed]]/DATA[[#This Row],[Number of hours of care charged for in last full accounting year]])</f>
        <v>0</v>
      </c>
      <c r="LY69" s="31">
        <v>64</v>
      </c>
      <c r="LZ69" s="30" t="s">
        <v>345</v>
      </c>
      <c r="MA69" s="30" t="b">
        <f>DATA[[#This Row],[Number of Home support clients:]]&gt;0</f>
        <v>0</v>
      </c>
      <c r="MB69" s="30" t="b">
        <f>DATA[[#This Row],[Number of supported living clients:]]&gt;0</f>
        <v>1</v>
      </c>
      <c r="MC69" s="30" t="b">
        <f>DATA[[#This Row],[Total Home Support Hours]]&gt;0</f>
        <v>0</v>
      </c>
      <c r="MD69" s="30" t="b">
        <f>DATA[[#This Row],[Total Supported Living Hours]]&gt;0</f>
        <v>1</v>
      </c>
      <c r="ME69" s="30" t="b">
        <f>DATA[[#This Row],[Home Support service split percentage (Expenditure):]]&gt;0.5</f>
        <v>0</v>
      </c>
      <c r="MF69" s="30" t="b">
        <f>DATA[[#This Row],[Agency staff HOURLY RATE]]=0</f>
        <v>0</v>
      </c>
      <c r="MG69" s="30">
        <f>IFERROR(IF(AVERAGE(DATA[[#This Row],[Registered manager: Current 2021/22 Minimum hourly pay rate ADJUSTED]],DATA[[#This Row],[Registered manager: Current 2021/22 Maximum hourly pay rate ADJUSTED]])&lt;LIVING_WAGE_22_23,DATA[[#This Row],[Registered manager: Numbers employed (Full Time Equivalent)]],0),"")</f>
        <v>0</v>
      </c>
      <c r="MH69" s="30">
        <f>IFERROR(IF(AVERAGE(DATA[[#This Row],[Deputy manager: Current 2021/22 Minimum hourly pay rate ADJUSTED]],DATA[[#This Row],[Deputy manager: Current 2021/22 Maximum hourly pay rate ADJUSTED]])&lt;LIVING_WAGE_22_23,DATA[[#This Row],[Deputy manager: Numbers employed (Full Time Equivalent)]],0),"")</f>
        <v>0</v>
      </c>
      <c r="MI69" s="30" t="str">
        <f>IFERROR(IF(AVERAGE(DATA[[#This Row],[Other manager 1: Current 2021/22 Minimum hourly pay rate ADJUSTED]],DATA[[#This Row],[Other manager 1: Current 2021/22 Maximum hourly pay rate ADJUSTED]])&lt;LIVING_WAGE_22_23,DATA[[#This Row],[Other manager 1: Numbers employed (Full Time Equivalent)]],0),"")</f>
        <v/>
      </c>
      <c r="MJ69" s="30" t="str">
        <f>IFERROR(IF(AVERAGE(DATA[[#This Row],[Other manager 2: Current 2021/22 Minimum hourly pay rate ADJUSTED]],DATA[[#This Row],[Other manager 2: Current 2021/22 Maximum hourly pay rate ADJUSTED]])&lt;LIVING_WAGE_22_23,DATA[[#This Row],[Other manager 2: Numbers employed (Full Time Equivalent)]],0),"")</f>
        <v/>
      </c>
      <c r="MK69" s="30" t="str">
        <f>IFERROR(IF(AVERAGE(DATA[[#This Row],[Other manager 3: Current 2021/22 Minimum hourly pay rate ADJUSTED]],DATA[[#This Row],[Other manager 3: Current 2021/22 Maximum hourly pay rate ADJUSTED]])&lt;LIVING_WAGE_22_23,DATA[[#This Row],[Other manager 3: Numbers employed (Full Time Equivalent)]],0),"")</f>
        <v/>
      </c>
      <c r="ML69" s="30">
        <f>IFERROR(IF(AVERAGE(DATA[[#This Row],[Care Assistant 1: Current 2021/22 Minimum hourly pay rate ADJUSTED]],DATA[[#This Row],[Care Assistant 1: Current 2021/22 Maximum hourly pay rate ADJUSTED]])&lt;LIVING_WAGE_22_23,DATA[[#This Row],[Care Assistant 1: Numbers employed (Full Time Equivalent)]],0),"")</f>
        <v>0</v>
      </c>
      <c r="MM69" s="30">
        <f>IFERROR(IF(AVERAGE(DATA[[#This Row],[Care Assistant 2: Current 2021/22 Minimum hourly pay rate ADJUSTED]],DATA[[#This Row],[Care Assistant 2: Current 2021/22 Maximum hourly pay rate ADJUSTED]])&lt;LIVING_WAGE_22_23,DATA[[#This Row],[Care Assistant 2: Numbers employed (Full Time Equivalent)]],0),"")</f>
        <v>143</v>
      </c>
      <c r="MN69" s="30" t="str">
        <f>IFERROR(IF(AVERAGE(DATA[[#This Row],[Care Assistant 3: Current 2021/22 Minimum hourly pay rate ADJUSTED]],DATA[[#This Row],[Care Assistant 3: Current 2021/22 Maximum hourly pay rate ADJUSTED]])&lt;LIVING_WAGE_22_23,DATA[[#This Row],[Care Assistant 3: Numbers employed (Full Time Equivalent)]],0),"")</f>
        <v/>
      </c>
      <c r="MO69" s="30" t="str">
        <f>IFERROR(IF(AVERAGE(DATA[[#This Row],[Care Assistant 4: Current 2021/22 Minimum hourly pay rate ADJUSTED]],DATA[[#This Row],[Care Assistant 4: Current 2021/22 Maximum hourly pay rate ADJUSTED]])&lt;LIVING_WAGE_22_23,DATA[[#This Row],[Care Assistant 4: Numbers employed (Full Time Equivalent)]],0),"")</f>
        <v/>
      </c>
      <c r="MP69"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69"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69" s="30" t="str">
        <f>IFERROR(IF(AVERAGE(DATA[[#This Row],[Other staff 1: Current 2021/22 Minimum hourly pay rate ADJUSTED]],DATA[[#This Row],[Other staff 1: Current 2021/22 Maximum hourly pay rate ADJUSTED]])&lt;LIVING_WAGE_22_23,DATA[[#This Row],[Other staff 1: Numbers employed (Full Time Equivalent)]],0),"")</f>
        <v/>
      </c>
      <c r="MS69" s="30" t="str">
        <f>IFERROR(IF(AVERAGE(DATA[[#This Row],[Other staff 2: Current 2021/22 Minimum hourly pay rate ADJUSTED]],DATA[[#This Row],[Other staff 2: Current 2021/22 Maximum hourly pay rate ADJUSTED]])&lt;LIVING_WAGE_22_23,DATA[[#This Row],[Other staff 2: Numbers employed (Full Time Equivalent)]],0),"")</f>
        <v/>
      </c>
      <c r="MT69" s="30" t="str">
        <f>IFERROR(IF(AVERAGE(DATA[[#This Row],[Other staff 3: Current 2021/22 Minimum hourly pay rate ADJUSTED]],DATA[[#This Row],[Other staff 3: Current 2021/22 Maximum hourly pay rate ADJUSTED]])&lt;LIVING_WAGE_22_23,DATA[[#This Row],[Other staff 3: Numbers employed (Full Time Equivalent)]],0),"")</f>
        <v/>
      </c>
      <c r="MU69" s="30">
        <f>SUM(DATA[[#This Row],[Registered Manager FTE earning less than NLW 23yrs 2022/23]:[Other staff 3 FTE earning less than NLW 23yrs 2022/23]])</f>
        <v>143</v>
      </c>
      <c r="MV69"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69"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69"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69"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69"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69"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69"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21.450000000000053</v>
      </c>
      <c r="NC69"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69"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69"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69"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69"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69"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69"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69" s="30" t="b">
        <v>0</v>
      </c>
      <c r="NK69" s="30" t="b">
        <v>0</v>
      </c>
      <c r="NL69" s="30" t="s">
        <v>971</v>
      </c>
      <c r="NM69" s="30">
        <f>SUM(DATA[[#This Row],[Management staff HOURLY RATE]:[Training and development HOURLY RATE]])</f>
        <v>12.041216626332087</v>
      </c>
      <c r="NN69" s="30">
        <f>SUM(DATA[[#This Row],[Recruitment &amp; advertising (including DBS checks) HOURLY RATE]:[Non-Staffing Direct Cost: Other  - please specify (amount) 2 HOURLY RATE]])</f>
        <v>6.2140957498744633E-2</v>
      </c>
      <c r="NO69" s="30">
        <f>SUM(DATA[[#This Row],[Insurance  HOURLY RATE]:[Indirect costs: Other  - please specify (amount) 2 HOURLY RATE]])</f>
        <v>0.80463995459744464</v>
      </c>
      <c r="NP69" s="30">
        <f>SUM(DATA[[#This Row],[Central / Regional Management HOURLY RATE]:[Corporate Overheads: Other  - please specify (amount) 2 HOURLY RATE]])</f>
        <v>1.9605220945154271</v>
      </c>
      <c r="NQ69"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69" s="30">
        <f>IFERROR(IF(AVERAGE(DATA[[#This Row],[Deputy manager: Current 2021/22 Minimum hourly pay rate ADJUSTED]],DATA[[#This Row],[Deputy manager: Current 2021/22 Maximum hourly pay rate ADJUSTED]])&lt;REAL_LIVING_WAGE_22_23,DATA[[#This Row],[Deputy manager: Numbers employed (Full Time Equivalent)]],0),"")</f>
        <v>0</v>
      </c>
      <c r="NS69" s="30" t="str">
        <f>IFERROR(IF(AVERAGE(DATA[[#This Row],[Other manager 1: Current 2021/22 Minimum hourly pay rate ADJUSTED]],DATA[[#This Row],[Other manager 1: Current 2021/22 Maximum hourly pay rate ADJUSTED]])&lt;REAL_LIVING_WAGE_22_23,DATA[[#This Row],[Other manager 1: Numbers employed (Full Time Equivalent)]],0),"")</f>
        <v/>
      </c>
      <c r="NT69" s="30" t="str">
        <f>IFERROR(IF(AVERAGE(DATA[[#This Row],[Other manager 2: Current 2021/22 Minimum hourly pay rate ADJUSTED]],DATA[[#This Row],[Other manager 2: Current 2021/22 Maximum hourly pay rate ADJUSTED]])&lt;REAL_LIVING_WAGE_22_23,DATA[[#This Row],[Other manager 2: Numbers employed (Full Time Equivalent)]],0),"")</f>
        <v/>
      </c>
      <c r="NU69" s="30" t="str">
        <f>IFERROR(IF(AVERAGE(DATA[[#This Row],[Other manager 3: Current 2021/22 Minimum hourly pay rate ADJUSTED]],DATA[[#This Row],[Other manager 3: Current 2021/22 Maximum hourly pay rate ADJUSTED]])&lt;REAL_LIVING_WAGE_22_23,DATA[[#This Row],[Other manager 3: Numbers employed (Full Time Equivalent)]],0),"")</f>
        <v/>
      </c>
      <c r="NV69" s="30">
        <f>IFERROR(IF(AVERAGE(DATA[[#This Row],[Care Assistant 1: Current 2021/22 Minimum hourly pay rate ADJUSTED]],DATA[[#This Row],[Care Assistant 1: Current 2021/22 Maximum hourly pay rate ADJUSTED]])&lt;REAL_LIVING_WAGE_22_23,DATA[[#This Row],[Care Assistant 1: Numbers employed (Full Time Equivalent)]],0),"")</f>
        <v>0</v>
      </c>
      <c r="NW69" s="30">
        <f>IFERROR(IF(AVERAGE(DATA[[#This Row],[Care Assistant 2: Current 2021/22 Minimum hourly pay rate ADJUSTED]],DATA[[#This Row],[Care Assistant 2: Current 2021/22 Maximum hourly pay rate ADJUSTED]])&lt;REAL_LIVING_WAGE_22_23,DATA[[#This Row],[Care Assistant 2: Numbers employed (Full Time Equivalent)]],0),"")</f>
        <v>143</v>
      </c>
      <c r="NX69"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69"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69"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69"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69" s="30" t="str">
        <f>IFERROR(IF(AVERAGE(DATA[[#This Row],[Other staff 1: Current 2021/22 Minimum hourly pay rate ADJUSTED]],DATA[[#This Row],[Other staff 1: Current 2021/22 Maximum hourly pay rate ADJUSTED]])&lt;REAL_LIVING_WAGE_22_23,DATA[[#This Row],[Other staff 1: Numbers employed (Full Time Equivalent)]],0),"")</f>
        <v/>
      </c>
      <c r="OC69" s="30" t="str">
        <f>IFERROR(IF(AVERAGE(DATA[[#This Row],[Other staff 2: Current 2021/22 Minimum hourly pay rate ADJUSTED]],DATA[[#This Row],[Other staff 2: Current 2021/22 Maximum hourly pay rate ADJUSTED]])&lt;REAL_LIVING_WAGE_22_23,DATA[[#This Row],[Other staff 2: Numbers employed (Full Time Equivalent)]],0),"")</f>
        <v/>
      </c>
      <c r="OD69" s="30" t="str">
        <f>IFERROR(IF(AVERAGE(DATA[[#This Row],[Other staff 3: Current 2021/22 Minimum hourly pay rate ADJUSTED]],DATA[[#This Row],[Other staff 3: Current 2021/22 Maximum hourly pay rate ADJUSTED]])&lt;REAL_LIVING_WAGE_22_23,DATA[[#This Row],[Other staff 3: Numbers employed (Full Time Equivalent)]],0),"")</f>
        <v/>
      </c>
      <c r="OE69" s="30">
        <f>SUM(DATA[[#This Row],[Registered Manager FTE earning less than RLW 23yrs 2022/23]:[Other staff 3 FTE earning less than RLW 23yrs 2022/23]])</f>
        <v>143</v>
      </c>
      <c r="OF69"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69"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69"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69"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69"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69"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69"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78.650000000000105</v>
      </c>
      <c r="OM69"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69"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69"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69"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69"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69"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69"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69" s="30">
        <f>IFERROR(IF(DATA[[#This Row],[Registered manager: Numbers employed (Full Time Equivalent)]]=0,"",DATA[[#This Row],[Registered manager: Current 2021/22 Minimum hourly pay rate ADJUSTED 2]]*DATA[[#This Row],[Registered manager: Numbers employed (Full Time Equivalent)]]),"")</f>
        <v>78.12</v>
      </c>
      <c r="OU69" s="30">
        <f>IFERROR(IF(DATA[[#This Row],[Registered manager: Numbers employed (Full Time Equivalent)]]=0,"",DATA[[#This Row],[Registered manager: Current 2021/22 Maximum hourly pay rate ADJUSTED 2]]*DATA[[#This Row],[Registered manager: Numbers employed (Full Time Equivalent)]]),"")</f>
        <v>80.239999999999995</v>
      </c>
      <c r="OV69" s="30">
        <f>IFERROR(IF(DATA[[#This Row],[Registered manager: Numbers employed (Full Time Equivalent)]]=0,"",DATA[[#This Row],[Registered manager: Previous 2020/21 Minimum hourly pay rate ADJUSTED 2]]*DATA[[#This Row],[Registered manager: Numbers employed (Full Time Equivalent)]]),"")</f>
        <v>76.400000000000006</v>
      </c>
      <c r="OW69" s="30">
        <f>IFERROR(IF(DATA[[#This Row],[Registered manager: Numbers employed (Full Time Equivalent)]]=0,"",DATA[[#This Row],[Registered manager: Previous 2020/21 Maximum hourly pay rate ADJUSTED 2]]*DATA[[#This Row],[Registered manager: Numbers employed (Full Time Equivalent)]]),"")</f>
        <v>78.48</v>
      </c>
      <c r="OX69" s="30">
        <f>IFERROR(IF(DATA[[#This Row],[Deputy manager: Numbers employed (Full Time Equivalent)]]=0,"",DATA[[#This Row],[Deputy manager: Current 2021/22 Minimum hourly pay rate ADJUSTED 2]]*DATA[[#This Row],[Deputy manager: Numbers employed (Full Time Equivalent)]]),"")</f>
        <v>38.28</v>
      </c>
      <c r="OY69" s="30">
        <f>IFERROR(IF(DATA[[#This Row],[Deputy manager: Numbers employed (Full Time Equivalent)]]=0,"",DATA[[#This Row],[Deputy manager: Current 2021/22 Maximum hourly pay rate ADJUSTED 2]]*DATA[[#This Row],[Deputy manager: Numbers employed (Full Time Equivalent)]]),"")</f>
        <v>38.28</v>
      </c>
      <c r="OZ69" s="30">
        <f>IFERROR(IF(DATA[[#This Row],[Deputy manager: Numbers employed (Full Time Equivalent)]]=0,"",DATA[[#This Row],[Deputy manager: Previous 2020/21 Minimum hourly pay rate ADJUSTED 2]]*DATA[[#This Row],[Deputy manager: Numbers employed (Full Time Equivalent)]]),"")</f>
        <v>37.44</v>
      </c>
      <c r="PA69" s="30">
        <f>IFERROR(IF(DATA[[#This Row],[Deputy manager: Numbers employed (Full Time Equivalent)]]=0,"",DATA[[#This Row],[Deputy manager: Previous 2020/21 Maximum hourly pay rate ADJUSTED 2]]*DATA[[#This Row],[Deputy manager: Numbers employed (Full Time Equivalent)]]),"")</f>
        <v>37.44</v>
      </c>
      <c r="PB69" s="30" t="str">
        <f>IFERROR(IF(DATA[[#This Row],[Other manager 1: Numbers employed (Full Time Equivalent)]]=0,"",DATA[[#This Row],[Other manager 1: Current 2021/22 Minimum hourly pay rate ADJUSTED 2]]*DATA[[#This Row],[Other manager 1: Numbers employed (Full Time Equivalent)]]),"")</f>
        <v/>
      </c>
      <c r="PC69" s="30" t="str">
        <f>IFERROR(IF(DATA[[#This Row],[Other manager 1: Numbers employed (Full Time Equivalent)]]=0,"",DATA[[#This Row],[Other manager 1: Current 2021/22 Maximum hourly pay rate ADJUSTED 2]]*DATA[[#This Row],[Other manager 1: Numbers employed (Full Time Equivalent)]]),"")</f>
        <v/>
      </c>
      <c r="PD69" s="30" t="str">
        <f>IFERROR(IF(DATA[[#This Row],[Other manager 1: Numbers employed (Full Time Equivalent)]]=0,"",DATA[[#This Row],[Other manager 1: Previous 2020/21 Minimum hourly pay rate ADJUSTED 2]]*DATA[[#This Row],[Other manager 1: Numbers employed (Full Time Equivalent)]]),"")</f>
        <v/>
      </c>
      <c r="PE69" s="30" t="str">
        <f>IFERROR(IF(DATA[[#This Row],[Other manager 1: Numbers employed (Full Time Equivalent)]]=0,"",DATA[[#This Row],[Other manager 1: Previous 2020/21 Maximum hourly pay rate ADJUSTED 2]]*DATA[[#This Row],[Other manager 1: Numbers employed (Full Time Equivalent)]]),"")</f>
        <v/>
      </c>
      <c r="PF69" s="30" t="str">
        <f>IFERROR(IF(DATA[[#This Row],[Other manager 2: Numbers employed (Full Time Equivalent)]]=0,"",DATA[[#This Row],[Other manager 2: Current 2021/22 Minimum hourly pay rate ADJUSTED 2]]*DATA[[#This Row],[Other manager 2: Numbers employed (Full Time Equivalent)]]),"")</f>
        <v/>
      </c>
      <c r="PG69" s="30" t="str">
        <f>IFERROR(IF(DATA[[#This Row],[Other manager 2: Numbers employed (Full Time Equivalent)]]=0,"",DATA[[#This Row],[Other manager 2: Current 2021/22 Maximum hourly pay rate ADJUSTED 2]]*DATA[[#This Row],[Other manager 2: Numbers employed (Full Time Equivalent)]]),"")</f>
        <v/>
      </c>
      <c r="PH69" s="30" t="str">
        <f>IFERROR(IF(DATA[[#This Row],[Other manager 2: Numbers employed (Full Time Equivalent)]]=0,"",DATA[[#This Row],[Other manager 2: Previous 2020/21 Minimum hourly pay rate ADJUSTED 2]]*DATA[[#This Row],[Other manager 2: Numbers employed (Full Time Equivalent)]]),"")</f>
        <v/>
      </c>
      <c r="PI69" s="30" t="str">
        <f>IFERROR(IF(DATA[[#This Row],[Other manager 2: Numbers employed (Full Time Equivalent)]]=0,"",DATA[[#This Row],[Other manager 2: Previous 2020/21 Maximum hourly pay rate ADJUSTED 2]]*DATA[[#This Row],[Other manager 2: Numbers employed (Full Time Equivalent)]]),"")</f>
        <v/>
      </c>
      <c r="PJ69" s="30" t="str">
        <f>IFERROR(IF(DATA[[#This Row],[Other manager 3: Numbers employed (Full Time Equivalent)]]=0,"",DATA[[#This Row],[Other manager 3: Current 2021/22 Minimum hourly pay rate ADJUSTED 2]]*DATA[[#This Row],[Other manager 3: Numbers employed (Full Time Equivalent)]]),"")</f>
        <v/>
      </c>
      <c r="PK69" s="30" t="str">
        <f>IFERROR(IF(DATA[[#This Row],[Other manager 3: Numbers employed (Full Time Equivalent)]]=0,"",DATA[[#This Row],[Other manager 3: Current 2021/22 Maximum hourly pay rate ADJUSTED 2]]*DATA[[#This Row],[Other manager 3: Numbers employed (Full Time Equivalent)]]),"")</f>
        <v/>
      </c>
      <c r="PL69" s="30" t="str">
        <f>IFERROR(IF(DATA[[#This Row],[Other manager 3: Numbers employed (Full Time Equivalent)]]=0,"",DATA[[#This Row],[Other manager 3: Previous 2020/21 Minimum hourly pay rate ADJUSTED 2]]*DATA[[#This Row],[Other manager 3: Numbers employed (Full Time Equivalent)]]),"")</f>
        <v/>
      </c>
      <c r="PM69" s="30" t="str">
        <f>IFERROR(IF(DATA[[#This Row],[Other manager 3: Numbers employed (Full Time Equivalent)]]=0,"",DATA[[#This Row],[Other manager 3: Previous 2020/21 Maximum hourly pay rate ADJUSTED 2]]*DATA[[#This Row],[Other manager 3: Numbers employed (Full Time Equivalent)]]),"")</f>
        <v/>
      </c>
      <c r="PN69" s="30">
        <f>IFERROR(IF(DATA[[#This Row],[Care Assistant 1: Numbers employed (Full Time Equivalent)]]=0,"",DATA[[#This Row],[Care Assistant 1: Current 2021/22 Minimum hourly pay rate ADJUSTED 2]]*DATA[[#This Row],[Care Assistant 1: Numbers employed (Full Time Equivalent)]]),"")</f>
        <v>101.5</v>
      </c>
      <c r="PO69" s="30">
        <f>IFERROR(IF(DATA[[#This Row],[Care Assistant 1: Numbers employed (Full Time Equivalent)]]=0,"",DATA[[#This Row],[Care Assistant 1: Current 2021/22 Maximum hourly pay rate ADJUSTED 2]]*DATA[[#This Row],[Care Assistant 1: Numbers employed (Full Time Equivalent)]]),"")</f>
        <v>106.5</v>
      </c>
      <c r="PP69" s="30">
        <f>IFERROR(IF(DATA[[#This Row],[Care Assistant 1: Numbers employed (Full Time Equivalent)]]=0,"",DATA[[#This Row],[Care Assistant 1: Previous 2020/21 Minimum hourly pay rate ADJUSTED 2]]*DATA[[#This Row],[Care Assistant 1: Numbers employed (Full Time Equivalent)]]),"")</f>
        <v>99.5</v>
      </c>
      <c r="PQ69" s="30">
        <f>IFERROR(IF(DATA[[#This Row],[Care Assistant 1: Numbers employed (Full Time Equivalent)]]=0,"",DATA[[#This Row],[Care Assistant 1: Previous 2020/21 Maximum hourly pay rate ADJUSTED 2]]*DATA[[#This Row],[Care Assistant 1: Numbers employed (Full Time Equivalent)]]),"")</f>
        <v>104.5</v>
      </c>
      <c r="PR69" s="30">
        <f>IFERROR(IF(DATA[[#This Row],[Care Assistant 2: Numbers employed (Full Time Equivalent)]]=0,"",DATA[[#This Row],[Care Assistant 2: Current 2021/22 Minimum hourly pay rate ADJUSTED 2]]*DATA[[#This Row],[Care Assistant 2: Numbers employed (Full Time Equivalent)]]),"")</f>
        <v>1301.3</v>
      </c>
      <c r="PS69" s="30">
        <f>IFERROR(IF(DATA[[#This Row],[Care Assistant 2: Numbers employed (Full Time Equivalent)]]=0,"",DATA[[#This Row],[Care Assistant 2: Current 2021/22 Maximum hourly pay rate ADJUSTED 2]]*DATA[[#This Row],[Care Assistant 2: Numbers employed (Full Time Equivalent)]]),"")</f>
        <v>1372.8</v>
      </c>
      <c r="PT69" s="30">
        <f>IFERROR(IF(DATA[[#This Row],[Care Assistant 2: Numbers employed (Full Time Equivalent)]]=0,"",DATA[[#This Row],[Care Assistant 2: Previous 2020/21 Minimum hourly pay rate ADJUSTED 2]]*DATA[[#This Row],[Care Assistant 2: Numbers employed (Full Time Equivalent)]]),"")</f>
        <v>1272.7</v>
      </c>
      <c r="PU69" s="30">
        <f>IFERROR(IF(DATA[[#This Row],[Care Assistant 2: Numbers employed (Full Time Equivalent)]]=0,"",DATA[[#This Row],[Care Assistant 2: Previous 2020/21 Maximum hourly pay rate ADJUSTED 2]]*DATA[[#This Row],[Care Assistant 2: Numbers employed (Full Time Equivalent)]]),"")</f>
        <v>1344.2</v>
      </c>
      <c r="PV69" s="30" t="str">
        <f>IFERROR(IF(DATA[[#This Row],[Care Assistant 3: Numbers employed (Full Time Equivalent)]]=0,"",DATA[[#This Row],[Care Assistant 3: Current 2021/22 Minimum hourly pay rate ADJUSTED 2]]*DATA[[#This Row],[Care Assistant 3: Numbers employed (Full Time Equivalent)]]),"")</f>
        <v/>
      </c>
      <c r="PW69" s="30" t="str">
        <f>IFERROR(IF(DATA[[#This Row],[Care Assistant 3: Numbers employed (Full Time Equivalent)]]=0,"",DATA[[#This Row],[Care Assistant 3: Current 2021/22 Maximum hourly pay rate ADJUSTED 2]]*DATA[[#This Row],[Care Assistant 3: Numbers employed (Full Time Equivalent)]]),"")</f>
        <v/>
      </c>
      <c r="PX69" s="30" t="str">
        <f>IFERROR(IF(DATA[[#This Row],[Care Assistant 3: Numbers employed (Full Time Equivalent)]]=0,"",DATA[[#This Row],[Care Assistant 3: Previous 2020/21 Minimum hourly pay rate ADJUSTED 2]]*DATA[[#This Row],[Care Assistant 3: Numbers employed (Full Time Equivalent)]]),"")</f>
        <v/>
      </c>
      <c r="PY69" s="30" t="str">
        <f>IFERROR(IF(DATA[[#This Row],[Care Assistant 3: Numbers employed (Full Time Equivalent)]]=0,"",DATA[[#This Row],[Care Assistant 3: Previous 2020/21 Maximum hourly pay rate ADJUSTED 2]]*DATA[[#This Row],[Care Assistant 3: Numbers employed (Full Time Equivalent)]]),"")</f>
        <v/>
      </c>
      <c r="PZ69" s="30" t="str">
        <f>IFERROR(IF(DATA[[#This Row],[Care Assistant 4: Numbers employed (Full Time Equivalent)]]=0,"",DATA[[#This Row],[Care Assistant 4: Current 2021/22 Minimum hourly pay rate ADJUSTED 2]]*DATA[[#This Row],[Care Assistant 4: Numbers employed (Full Time Equivalent)]]),"")</f>
        <v/>
      </c>
      <c r="QA69" s="30" t="str">
        <f>IFERROR(IF(DATA[[#This Row],[Care Assistant 4: Numbers employed (Full Time Equivalent)]]=0,"",DATA[[#This Row],[Care Assistant 4: Current 2021/22 Maximum hourly pay rate ADJUSTED 2]]*DATA[[#This Row],[Care Assistant 4: Numbers employed (Full Time Equivalent)]]),"")</f>
        <v/>
      </c>
      <c r="QB69" s="30" t="str">
        <f>IFERROR(IF(DATA[[#This Row],[Care Assistant 4: Numbers employed (Full Time Equivalent)]]=0,"",DATA[[#This Row],[Care Assistant 4: Previous 2020/21 Minimum hourly pay rate ADJUSTED 2]]*DATA[[#This Row],[Care Assistant 4: Numbers employed (Full Time Equivalent)]]),"")</f>
        <v/>
      </c>
      <c r="QC69" s="30" t="str">
        <f>IFERROR(IF(DATA[[#This Row],[Care Assistant 4: Numbers employed (Full Time Equivalent)]]=0,"",DATA[[#This Row],[Care Assistant 4: Previous 2020/21 Maximum hourly pay rate ADJUSTED 2]]*DATA[[#This Row],[Care Assistant 4: Numbers employed (Full Time Equivalent)]]),"")</f>
        <v/>
      </c>
      <c r="QD69" s="30" t="str">
        <f>IFERROR(IF(DATA[[#This Row],[Administrative Officer 1: Numbers employed (Full Time Equivalent)]]=0,"",DATA[[#This Row],[Administrative Officer 1: Current 2021/22 Minimum hourly pay rate ADJUSTED 2]]*DATA[[#This Row],[Administrative Officer 1: Numbers employed (Full Time Equivalent)]]),"")</f>
        <v/>
      </c>
      <c r="QE69" s="30" t="str">
        <f>IFERROR(IF(DATA[[#This Row],[Administrative Officer 1: Numbers employed (Full Time Equivalent)]]=0,"",DATA[[#This Row],[Administrative Officer 1: Current 2021/22 Maximum hourly pay rate ADJUSTED 2]]*DATA[[#This Row],[Administrative Officer 1: Numbers employed (Full Time Equivalent)]]),"")</f>
        <v/>
      </c>
      <c r="QF69" s="30" t="str">
        <f>IFERROR(IF(DATA[[#This Row],[Administrative Officer 1: Numbers employed (Full Time Equivalent)]]=0,"",DATA[[#This Row],[Administrative Officer 1: Previous 2020/21 Minimum hourly pay rate ADJUSTED 2]]*DATA[[#This Row],[Administrative Officer 1: Numbers employed (Full Time Equivalent)]]),"")</f>
        <v/>
      </c>
      <c r="QG69" s="30" t="str">
        <f>IFERROR(IF(DATA[[#This Row],[Administrative Officer 1: Numbers employed (Full Time Equivalent)]]=0,"",DATA[[#This Row],[Administrative Officer 1: Previous 2020/21 Maximum hourly pay rate ADJUSTED 2]]*DATA[[#This Row],[Administrative Officer 1: Numbers employed (Full Time Equivalent)]]),"")</f>
        <v/>
      </c>
      <c r="QH69" s="30" t="str">
        <f>IFERROR(IF(DATA[[#This Row],[Administrative Officer 2: Numbers employed (Full Time Equivalent)]]=0,"",DATA[[#This Row],[Administrative Officer 2: Current 2021/22 Minimum hourly pay rate ADJUSTED 2]]*DATA[[#This Row],[Administrative Officer 2: Numbers employed (Full Time Equivalent)]]),"")</f>
        <v/>
      </c>
      <c r="QI69" s="30" t="str">
        <f>IFERROR(IF(DATA[[#This Row],[Administrative Officer 2: Numbers employed (Full Time Equivalent)]]=0,"",DATA[[#This Row],[Administrative Officer 2: Current 2021/22 Maximum hourly pay rate ADJUSTED 2]]*DATA[[#This Row],[Administrative Officer 2: Numbers employed (Full Time Equivalent)]]),"")</f>
        <v/>
      </c>
      <c r="QJ69" s="30" t="str">
        <f>IFERROR(IF(DATA[[#This Row],[Administrative Officer 2: Numbers employed (Full Time Equivalent)]]=0,"",DATA[[#This Row],[Administrative Officer 2: Previous 2020/21 Minimum hourly pay rate ADJUSTED 2]]*DATA[[#This Row],[Administrative Officer 2: Numbers employed (Full Time Equivalent)]]),"")</f>
        <v/>
      </c>
      <c r="QK69" s="30" t="str">
        <f>IFERROR(IF(DATA[[#This Row],[Administrative Officer 2: Numbers employed (Full Time Equivalent)]]=0,"",DATA[[#This Row],[Administrative Officer 2: Previous 2020/21 Maximum hourly pay rate ADJUSTED 2]]*DATA[[#This Row],[Administrative Officer 2: Numbers employed (Full Time Equivalent)]]),"")</f>
        <v/>
      </c>
      <c r="QL69" s="30" t="str">
        <f>IFERROR(IF(DATA[[#This Row],[Administrative Officer 3: Numbers employed (Full Time Equivalent)]]=0,"",DATA[[#This Row],[Administrative Officer 3: Current 2021/22 Minimum hourly pay rate ADJUSTED 2]]*DATA[[#This Row],[Administrative Officer 3: Numbers employed (Full Time Equivalent)]]),"")</f>
        <v/>
      </c>
      <c r="QM69" s="30" t="str">
        <f>IFERROR(IF(DATA[[#This Row],[Administrative Officer 3: Numbers employed (Full Time Equivalent)]]=0,"",DATA[[#This Row],[Administrative Officer 3: Current 2021/22 Maximum hourly pay rate ADJUSTED 2]]*DATA[[#This Row],[Administrative Officer 3: Numbers employed (Full Time Equivalent)]]),"")</f>
        <v/>
      </c>
      <c r="QN69" s="30" t="str">
        <f>IFERROR(IF(DATA[[#This Row],[Administrative Officer 3: Numbers employed (Full Time Equivalent)]]=0,"",DATA[[#This Row],[Administrative Officer 3: Previous 2020/21 Minimum hourly pay rate ADJUSTED 2]]*DATA[[#This Row],[Administrative Officer 3: Numbers employed (Full Time Equivalent)]]),"")</f>
        <v/>
      </c>
      <c r="QO69" s="30" t="str">
        <f>IFERROR(IF(DATA[[#This Row],[Administrative Officer 3: Numbers employed (Full Time Equivalent)]]=0,"",DATA[[#This Row],[Administrative Officer 3: Previous 2020/21 Maximum hourly pay rate ADJUSTED 2]]*DATA[[#This Row],[Administrative Officer 3: Numbers employed (Full Time Equivalent)]]),"")</f>
        <v/>
      </c>
      <c r="QP69" s="28" t="str">
        <f>IFERROR(IF(DATA[[#This Row],[Other staff 1: Numbers employed (Full Time Equivalent)]]=0,"",DATA[[#This Row],[Other staff 1: Current 2021/22 Minimum hourly pay rate ADJUSTED 2]]*DATA[[#This Row],[Other staff 1: Numbers employed (Full Time Equivalent)]]),"")</f>
        <v/>
      </c>
      <c r="QQ69" s="28" t="str">
        <f>IFERROR(IF(DATA[[#This Row],[Other staff 1: Numbers employed (Full Time Equivalent)]]=0,"",DATA[[#This Row],[Other staff 1: Current 2021/22 Maximum hourly pay rate ADJUSTED 2]]*DATA[[#This Row],[Other staff 1: Numbers employed (Full Time Equivalent)]]),"")</f>
        <v/>
      </c>
      <c r="QR69" s="28" t="str">
        <f>IFERROR(IF(DATA[[#This Row],[Other staff 1: Numbers employed (Full Time Equivalent)]]=0,"",DATA[[#This Row],[Other staff 1: Previous 2020/21 Minimum hourly pay rate ADJUSTED 2]]*DATA[[#This Row],[Other staff 1: Numbers employed (Full Time Equivalent)]]),"")</f>
        <v/>
      </c>
      <c r="QS69" s="28" t="str">
        <f>IFERROR(IF(DATA[[#This Row],[Other staff 1: Numbers employed (Full Time Equivalent)]]=0,"",DATA[[#This Row],[Other staff 1: Previous 2020/21 Maximum hourly pay rate ADJUSTED 2]]*DATA[[#This Row],[Other staff 1: Numbers employed (Full Time Equivalent)]]),"")</f>
        <v/>
      </c>
      <c r="QT69" s="28" t="str">
        <f>IFERROR(IF(DATA[[#This Row],[Other staff 2: Numbers employed (Full Time Equivalent)]]=0,"",DATA[[#This Row],[Other staff 2: Current 2021/22 Minimum hourly pay rate ADJUSTED 2]]*DATA[[#This Row],[Other staff 2: Numbers employed (Full Time Equivalent)]]),"")</f>
        <v/>
      </c>
      <c r="QU69" s="28" t="str">
        <f>IFERROR(IF(DATA[[#This Row],[Other staff 2: Numbers employed (Full Time Equivalent)]]=0,"",DATA[[#This Row],[Other staff 2: Current 2021/22 Maximum hourly pay rate ADJUSTED 2]]*DATA[[#This Row],[Other staff 2: Numbers employed (Full Time Equivalent)]]),"")</f>
        <v/>
      </c>
      <c r="QV69" s="28" t="str">
        <f>IFERROR(IF(DATA[[#This Row],[Other staff 2: Numbers employed (Full Time Equivalent)]]=0,"",DATA[[#This Row],[Other staff 2: Previous 2020/21 Minimum hourly pay rate ADJUSTED 2]]*DATA[[#This Row],[Other staff 2: Numbers employed (Full Time Equivalent)]]),"")</f>
        <v/>
      </c>
      <c r="QW69" s="28" t="str">
        <f>IFERROR(IF(DATA[[#This Row],[Other staff 2: Numbers employed (Full Time Equivalent)]]=0,"",DATA[[#This Row],[Other staff 2: Previous 2020/21 Maximum hourly pay rate ADJUSTED 2]]*DATA[[#This Row],[Other staff 2: Numbers employed (Full Time Equivalent)]]),"")</f>
        <v/>
      </c>
      <c r="QX69" s="28" t="str">
        <f>IFERROR(IF(DATA[[#This Row],[Other staff 3: Numbers employed (Full Time Equivalent)]]=0,"",DATA[[#This Row],[Other staff 3: Current 2021/22 Minimum hourly pay rate ADJUSTED 2]]*DATA[[#This Row],[Other staff 3: Numbers employed (Full Time Equivalent)]]),"")</f>
        <v/>
      </c>
      <c r="QY69" s="28" t="str">
        <f>IFERROR(IF(DATA[[#This Row],[Other staff 3: Numbers employed (Full Time Equivalent)]]=0,"",DATA[[#This Row],[Other staff 3: Current 2021/22 Maximum hourly pay rate ADJUSTED 2]]*DATA[[#This Row],[Other staff 3: Numbers employed (Full Time Equivalent)]]),"")</f>
        <v/>
      </c>
      <c r="QZ69" s="28" t="str">
        <f>IFERROR(IF(DATA[[#This Row],[Other staff 3: Numbers employed (Full Time Equivalent)]]=0,"",DATA[[#This Row],[Other staff 3: Previous 2020/21 Minimum hourly pay rate ADJUSTED 2]]*DATA[[#This Row],[Other staff 3: Numbers employed (Full Time Equivalent)]]),"")</f>
        <v/>
      </c>
      <c r="RA69" s="28" t="str">
        <f>IFERROR(IF(DATA[[#This Row],[Other staff 3: Numbers employed (Full Time Equivalent)]]=0,"",DATA[[#This Row],[Other staff 3: Previous 2020/21 Maximum hourly pay rate ADJUSTED 2]]*DATA[[#This Row],[Other staff 3: Numbers employed (Full Time Equivalent)]]),"")</f>
        <v/>
      </c>
      <c r="RB69"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4</v>
      </c>
      <c r="RC69"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3</v>
      </c>
      <c r="RD69"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69"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69"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69"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10</v>
      </c>
      <c r="RH69"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143</v>
      </c>
      <c r="RI69"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69"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69"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69"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69"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69"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69"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69"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0" spans="7:484" x14ac:dyDescent="0.25">
      <c r="G70" s="2">
        <v>64</v>
      </c>
      <c r="H70" s="2">
        <v>0</v>
      </c>
      <c r="I70" s="2">
        <v>8</v>
      </c>
      <c r="J70" s="2">
        <v>0</v>
      </c>
      <c r="K70" s="2">
        <v>1</v>
      </c>
      <c r="L70" s="2" t="s">
        <v>328</v>
      </c>
      <c r="M70" s="2" t="s">
        <v>328</v>
      </c>
      <c r="R70" s="2">
        <v>15.38</v>
      </c>
      <c r="S70" s="2">
        <v>15.38</v>
      </c>
      <c r="T70" s="2">
        <v>15.38</v>
      </c>
      <c r="U70" s="2">
        <v>15.38</v>
      </c>
      <c r="V70" s="2">
        <v>1</v>
      </c>
      <c r="W70" s="2">
        <v>13.75</v>
      </c>
      <c r="X70" s="2">
        <v>13.75</v>
      </c>
      <c r="Y70" s="2">
        <v>13.75</v>
      </c>
      <c r="Z70" s="2">
        <v>13.75</v>
      </c>
      <c r="AA70" s="2">
        <v>1</v>
      </c>
      <c r="AB70" s="2" t="s">
        <v>315</v>
      </c>
      <c r="AC70" s="2">
        <v>9.5</v>
      </c>
      <c r="AD70" s="2">
        <v>9.5</v>
      </c>
      <c r="AE70" s="2">
        <v>0</v>
      </c>
      <c r="AF70" s="2">
        <v>0</v>
      </c>
      <c r="AG70" s="2">
        <v>2</v>
      </c>
      <c r="AH70" s="2" t="s">
        <v>315</v>
      </c>
      <c r="AI70" s="2">
        <v>0</v>
      </c>
      <c r="AJ70" s="2">
        <v>0</v>
      </c>
      <c r="AK70" s="2">
        <v>0</v>
      </c>
      <c r="AL70" s="2">
        <v>0</v>
      </c>
      <c r="AM70" s="2">
        <v>0</v>
      </c>
      <c r="AN70" s="2" t="s">
        <v>315</v>
      </c>
      <c r="AO70" s="2">
        <v>0</v>
      </c>
      <c r="AP70" s="2">
        <v>0</v>
      </c>
      <c r="AQ70" s="2">
        <v>0</v>
      </c>
      <c r="AR70" s="2">
        <v>0</v>
      </c>
      <c r="AS70" s="2">
        <v>0</v>
      </c>
      <c r="AT70" s="2" t="s">
        <v>316</v>
      </c>
      <c r="AU70" s="2">
        <v>9.25</v>
      </c>
      <c r="AV70" s="2">
        <v>9.25</v>
      </c>
      <c r="AW70" s="2">
        <v>9.25</v>
      </c>
      <c r="AX70" s="2">
        <v>9.25</v>
      </c>
      <c r="AY70" s="2">
        <v>15</v>
      </c>
      <c r="AZ70" s="2" t="s">
        <v>316</v>
      </c>
      <c r="BA70" s="2">
        <v>0</v>
      </c>
      <c r="BB70" s="2">
        <v>0</v>
      </c>
      <c r="BC70" s="2">
        <v>0</v>
      </c>
      <c r="BD70" s="2">
        <v>0</v>
      </c>
      <c r="BE70" s="2">
        <v>0</v>
      </c>
      <c r="BF70" s="2" t="s">
        <v>316</v>
      </c>
      <c r="BG70" s="2">
        <v>0</v>
      </c>
      <c r="BH70" s="2">
        <v>0</v>
      </c>
      <c r="BI70" s="2">
        <v>0</v>
      </c>
      <c r="BJ70" s="2">
        <v>0</v>
      </c>
      <c r="BK70" s="2">
        <v>0</v>
      </c>
      <c r="BL70" s="2" t="s">
        <v>316</v>
      </c>
      <c r="BM70" s="2">
        <v>0</v>
      </c>
      <c r="BN70" s="2">
        <v>0</v>
      </c>
      <c r="BO70" s="2">
        <v>0</v>
      </c>
      <c r="BP70" s="2">
        <v>0</v>
      </c>
      <c r="BQ70" s="2">
        <v>0</v>
      </c>
      <c r="BR70" s="2" t="s">
        <v>317</v>
      </c>
      <c r="BS70" s="2">
        <v>9.5</v>
      </c>
      <c r="BT70" s="2">
        <v>9.5</v>
      </c>
      <c r="BU70" s="2">
        <v>9.5</v>
      </c>
      <c r="BV70" s="2">
        <v>9.5</v>
      </c>
      <c r="BW70" s="2">
        <v>1</v>
      </c>
      <c r="BX70" s="2" t="s">
        <v>317</v>
      </c>
      <c r="BY70" s="2">
        <v>0</v>
      </c>
      <c r="BZ70" s="2">
        <v>0</v>
      </c>
      <c r="CA70" s="2">
        <v>0</v>
      </c>
      <c r="CB70" s="2">
        <v>0</v>
      </c>
      <c r="CC70" s="2">
        <v>0</v>
      </c>
      <c r="CD70" s="2" t="s">
        <v>317</v>
      </c>
      <c r="CE70" s="2">
        <v>0</v>
      </c>
      <c r="CF70" s="2">
        <v>0</v>
      </c>
      <c r="CG70" s="2">
        <v>0</v>
      </c>
      <c r="CH70" s="2">
        <v>0</v>
      </c>
      <c r="CI70" s="2">
        <v>0</v>
      </c>
      <c r="CJ70" s="2" t="s">
        <v>318</v>
      </c>
      <c r="CK70" s="2">
        <v>0</v>
      </c>
      <c r="CL70" s="2">
        <v>0</v>
      </c>
      <c r="CM70" s="2">
        <v>0</v>
      </c>
      <c r="CN70" s="2">
        <v>0</v>
      </c>
      <c r="CO70" s="2">
        <v>0</v>
      </c>
      <c r="CP70" s="2" t="s">
        <v>318</v>
      </c>
      <c r="CQ70" s="2">
        <v>0</v>
      </c>
      <c r="CR70" s="2">
        <v>0</v>
      </c>
      <c r="CS70" s="2">
        <v>0</v>
      </c>
      <c r="CT70" s="2">
        <v>0</v>
      </c>
      <c r="CU70" s="2">
        <v>0</v>
      </c>
      <c r="CV70" s="2" t="s">
        <v>318</v>
      </c>
      <c r="CW70" s="2">
        <v>0</v>
      </c>
      <c r="CX70" s="2">
        <v>0</v>
      </c>
      <c r="CY70" s="2">
        <v>0</v>
      </c>
      <c r="CZ70" s="2">
        <v>0</v>
      </c>
      <c r="DA70" s="2">
        <v>0</v>
      </c>
      <c r="DB70" s="2"/>
      <c r="DC70" s="2">
        <v>0</v>
      </c>
      <c r="DD70" s="2">
        <v>0</v>
      </c>
      <c r="DE70" s="2">
        <v>0</v>
      </c>
      <c r="DF70" s="2">
        <v>0</v>
      </c>
      <c r="DG70" s="2">
        <v>0</v>
      </c>
      <c r="DH70" s="2">
        <v>0</v>
      </c>
      <c r="DI70" s="2">
        <v>504</v>
      </c>
      <c r="DJ70" s="2">
        <v>0</v>
      </c>
      <c r="DK70" s="2">
        <v>0</v>
      </c>
      <c r="DL70" s="2">
        <v>70</v>
      </c>
      <c r="DM70" s="2">
        <v>0</v>
      </c>
      <c r="DN70" s="2">
        <v>0</v>
      </c>
      <c r="DO70" s="2">
        <v>0</v>
      </c>
      <c r="DP70" s="2">
        <v>0</v>
      </c>
      <c r="DQ70" s="2">
        <v>15.57</v>
      </c>
      <c r="DR70" s="18">
        <v>44105</v>
      </c>
      <c r="DS70" s="18">
        <v>44469</v>
      </c>
      <c r="DT70" s="2">
        <v>29848</v>
      </c>
      <c r="DU70" s="2">
        <v>58400</v>
      </c>
      <c r="DV70" s="2">
        <v>276094</v>
      </c>
      <c r="DW70" s="2">
        <v>24700</v>
      </c>
      <c r="DX70" s="2">
        <v>3000</v>
      </c>
      <c r="DY70" s="2">
        <v>2000</v>
      </c>
      <c r="DZ70" s="2">
        <v>3200</v>
      </c>
      <c r="EA70" s="2">
        <v>0</v>
      </c>
      <c r="EB70" s="2">
        <v>5600</v>
      </c>
      <c r="EC70" s="2">
        <v>1500</v>
      </c>
      <c r="ED70" s="2">
        <v>0</v>
      </c>
      <c r="EE70" s="2">
        <v>4550</v>
      </c>
      <c r="EF70" s="2">
        <v>0</v>
      </c>
      <c r="EG70" s="2">
        <v>1250</v>
      </c>
      <c r="EH70" s="2" t="s">
        <v>324</v>
      </c>
      <c r="EI70" s="2">
        <v>0</v>
      </c>
      <c r="EJ70" s="2" t="s">
        <v>324</v>
      </c>
      <c r="EK70" s="2">
        <v>0</v>
      </c>
      <c r="EL70" s="2">
        <v>1530</v>
      </c>
      <c r="EM70" s="2">
        <v>3600</v>
      </c>
      <c r="EN70" s="2">
        <v>6940</v>
      </c>
      <c r="EO70" s="2">
        <v>29820</v>
      </c>
      <c r="EP70" s="2">
        <v>800</v>
      </c>
      <c r="EQ70" s="2">
        <v>5600</v>
      </c>
      <c r="ER70" s="2">
        <v>0</v>
      </c>
      <c r="ES70" s="2">
        <v>0</v>
      </c>
      <c r="ET70" s="2" t="s">
        <v>324</v>
      </c>
      <c r="EU70" s="2">
        <v>0</v>
      </c>
      <c r="EV70" s="2" t="s">
        <v>324</v>
      </c>
      <c r="EW70" s="2">
        <v>0</v>
      </c>
      <c r="EX70" s="2">
        <v>0</v>
      </c>
      <c r="EY70" s="2">
        <v>3120</v>
      </c>
      <c r="EZ70" s="2" t="s">
        <v>326</v>
      </c>
      <c r="FA70" s="2">
        <v>0</v>
      </c>
      <c r="FB70" s="2" t="s">
        <v>326</v>
      </c>
      <c r="FC70" s="2">
        <v>0</v>
      </c>
      <c r="FD70" s="2"/>
      <c r="FE70" s="2">
        <v>0</v>
      </c>
      <c r="FF70" s="2">
        <v>0</v>
      </c>
      <c r="FG70" s="2"/>
      <c r="FH70" s="19">
        <v>44480.627418981479</v>
      </c>
      <c r="FI70" s="2" t="s">
        <v>345</v>
      </c>
      <c r="FJ70" s="2">
        <f>SUM(DATA[[#This Row],[Number of Home support clients:]],DATA[[#This Row],[Number of supported living clients:]])</f>
        <v>8</v>
      </c>
      <c r="FK70"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70"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15.38</v>
      </c>
      <c r="FM70"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15.38</v>
      </c>
      <c r="FN70"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15.38</v>
      </c>
      <c r="FO70"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15.38</v>
      </c>
      <c r="FP70"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13.75</v>
      </c>
      <c r="FQ70"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13.75</v>
      </c>
      <c r="FR70"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13.75</v>
      </c>
      <c r="FS70"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13.75</v>
      </c>
      <c r="FT70"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9.5</v>
      </c>
      <c r="FU70"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9.5</v>
      </c>
      <c r="FV70"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70"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70"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70"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70"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0"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0"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0"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0"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0"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0"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9.25</v>
      </c>
      <c r="GG70"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9.25</v>
      </c>
      <c r="GH70"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9.25</v>
      </c>
      <c r="GI70"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9.25</v>
      </c>
      <c r="GJ70"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70"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70"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70"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70"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70"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70"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0"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0"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70"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70"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0"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0"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9.5</v>
      </c>
      <c r="GW70"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9.5</v>
      </c>
      <c r="GX70"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9.5</v>
      </c>
      <c r="GY70"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9.5</v>
      </c>
      <c r="GZ70"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0"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0"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0"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0"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0"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0"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0"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0"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0"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0"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0"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0"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0"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0"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0"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0"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0"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0"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0"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0"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15.38</v>
      </c>
      <c r="HU70"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15.38</v>
      </c>
      <c r="HV70"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15.38</v>
      </c>
      <c r="HW70"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15.38</v>
      </c>
      <c r="HX70"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13.75</v>
      </c>
      <c r="HY70"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13.75</v>
      </c>
      <c r="HZ70"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13.75</v>
      </c>
      <c r="IA70"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13.75</v>
      </c>
      <c r="IB70"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9.5</v>
      </c>
      <c r="IC70"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9.5</v>
      </c>
      <c r="ID70"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9.5</v>
      </c>
      <c r="IE70"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9.5</v>
      </c>
      <c r="IF70"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70"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70"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70"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70"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0"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0"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0"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0"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9.25</v>
      </c>
      <c r="IO70"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9.25</v>
      </c>
      <c r="IP70"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9.25</v>
      </c>
      <c r="IQ70"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9.25</v>
      </c>
      <c r="IR70"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70"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70"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70"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70"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70"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70"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70"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70"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70"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70"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70"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70"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9.5</v>
      </c>
      <c r="JE70"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9.5</v>
      </c>
      <c r="JF70"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9.5</v>
      </c>
      <c r="JG70"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9.5</v>
      </c>
      <c r="JH70"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0"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0"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0"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0"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0"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0"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0"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0"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0"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0"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0"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0"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0"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0"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0"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0"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0"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0"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0"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0"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v>
      </c>
      <c r="KC70" s="21">
        <f>SUM(DATA[[#This Row],[Care Assistant 1: Numbers employed (Full Time Equivalent)]],DATA[[#This Row],[Care Assistant 2: Numbers employed (Full Time Equivalent)]],DATA[[#This Row],[Care Assistant 3: Numbers employed (Full Time Equivalent)]],DATA[[#This Row],[Care Assistant 4: Numbers employed (Full Time Equivalent)]])</f>
        <v>15</v>
      </c>
      <c r="KD70" s="21">
        <f>SUM(DATA[[#This Row],[Administrative Officer 1: Numbers employed (Full Time Equivalent)]],DATA[[#This Row],[Administrative Officer 2: Numbers employed (Full Time Equivalent)]])</f>
        <v>1</v>
      </c>
      <c r="KE70" s="21">
        <f>SUM(DATA[[#This Row],[Other staff 1: Numbers employed (Full Time Equivalent)]],DATA[[#This Row],[Other staff 2: Numbers employed (Full Time Equivalent)]],DATA[[#This Row],[Other staff 3: Numbers employed (Full Time Equivalent)]])</f>
        <v>0</v>
      </c>
      <c r="KF70" s="21">
        <f>SUM(DATA[[#This Row],[Total FTE Management Employees]:[Total FTE Other Employees]])</f>
        <v>20</v>
      </c>
      <c r="KG70" s="21" t="str">
        <f>IF(SUM(DATA[[#This Row],[Home Support service split percentage (Expenditure):]],DATA[[#This Row],[Supported Living service split percentage (Expenditure):]])&gt;0, IF(DATA[[#This Row],[Home Support service split percentage (Expenditure):]]&gt;0.5,"Home Support","Supported Living"), "Unknown")</f>
        <v>Supported Living</v>
      </c>
      <c r="KH70" s="21">
        <f>SUM(DATA[[#This Row],[Home Support: Birmingham City Council]:[Home Support: Self-funded]])</f>
        <v>0</v>
      </c>
      <c r="KI70" s="21">
        <f>SUM(DATA[[#This Row],[Supported Living: Birmingham City Council]:[Supported Living: Self-funded]])</f>
        <v>574</v>
      </c>
      <c r="KJ70"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0"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0"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0"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0" s="21" t="b">
        <f>SUM(DATA[[#This Row],[Number of hours of care charged for in last full accounting year]:[Corporate Overheads: Other  - please specify (category) 1]])&gt;0</f>
        <v>1</v>
      </c>
      <c r="KO70" s="21">
        <f>SUM(DATA[[#This Row],[Total annual expenditure: Management staff]:[Total annual expenditure: Training and development]])</f>
        <v>372994</v>
      </c>
      <c r="KP70" s="21">
        <f>SUM(DATA[[#This Row],[Recruitment &amp; advertising (including DBS checks)]:[Non-Staffing Direct Cost: Other  - please specify (amount) 2]])</f>
        <v>7300</v>
      </c>
      <c r="KQ70" s="21">
        <f>SUM(DATA[[#This Row],[Insurance ]:[Indirect costs: Other 2 - please specify (amount)]])</f>
        <v>48290</v>
      </c>
      <c r="KR70" s="21">
        <f>SUM(DATA[[#This Row],[Central / Regional Management]],DATA[[#This Row],[Support Services (finance / HR / Payroll / legal etc.)]],DATA[[#This Row],[Corporate Overheads: Other  - please specify (amount) 1]],DATA[[#This Row],[Corporate Overheads: Other  - please specify (amount) 2]])</f>
        <v>3120</v>
      </c>
      <c r="KS70"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1.9565800053604931</v>
      </c>
      <c r="KT70"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9.25</v>
      </c>
      <c r="KU70"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0.82752613240418116</v>
      </c>
      <c r="KV70" s="30">
        <f>IF(OR(NOT(DATA[[#This Row],[Total annual expenditure: Other staff]]&gt;0),NOT(DATA[[#This Row],[Number of hours of care charged for in last full accounting year]]&gt;0)),0,DATA[[#This Row],[Total annual expenditure: Other staff]]/DATA[[#This Row],[Number of hours of care charged for in last full accounting year]])</f>
        <v>0.10050924685071026</v>
      </c>
      <c r="KW70" s="30">
        <f>IF(OR(NOT(DATA[[#This Row],[Total annual expenditure: Agency staff]]&gt;0),NOT(DATA[[#This Row],[Number of hours of care charged for in last full accounting year]]&gt;0)),0,DATA[[#This Row],[Total annual expenditure: Agency staff]]/DATA[[#This Row],[Number of hours of care charged for in last full accounting year]])</f>
        <v>6.7006164567140175E-2</v>
      </c>
      <c r="KX70" s="30">
        <f>IF(OR(NOT(DATA[[#This Row],[Total annual expenditure: Travel Cost]]&gt;0),NOT(DATA[[#This Row],[Number of hours of care charged for in last full accounting year]]&gt;0)),0,DATA[[#This Row],[Total annual expenditure: Travel Cost]]/DATA[[#This Row],[Number of hours of care charged for in last full accounting year]])</f>
        <v>0.10720986330742428</v>
      </c>
      <c r="KY70"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0"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0.18761726078799248</v>
      </c>
      <c r="LA70"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5.0254623425355131E-2</v>
      </c>
      <c r="LB70"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70" s="30">
        <f>IF(OR(NOT(DATA[[#This Row],[Care consumables &amp; uniforms]]&gt;0),NOT(DATA[[#This Row],[Number of hours of care charged for in last full accounting year]]&gt;0)),0,DATA[[#This Row],[Care consumables &amp; uniforms]]/DATA[[#This Row],[Number of hours of care charged for in last full accounting year]])</f>
        <v>0.1524390243902439</v>
      </c>
      <c r="LD70" s="30">
        <f>IF(OR(NOT(DATA[[#This Row],[Electronic call monitoring]]&gt;0),NOT(DATA[[#This Row],[Number of hours of care charged for in last full accounting year]]&gt;0)),0,DATA[[#This Row],[Electronic call monitoring]]/DATA[[#This Row],[Number of hours of care charged for in last full accounting year]])</f>
        <v>0</v>
      </c>
      <c r="LE70" s="30">
        <f>IF(OR(NOT(DATA[[#This Row],[IT Equipment &amp; Telephoney]]&gt;0),NOT(DATA[[#This Row],[Number of hours of care charged for in last full accounting year]]&gt;0)),0,DATA[[#This Row],[IT Equipment &amp; Telephoney]]/DATA[[#This Row],[Number of hours of care charged for in last full accounting year]])</f>
        <v>4.1878852854462613E-2</v>
      </c>
      <c r="LF70"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70"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0" s="30">
        <f>IF(OR(NOT(DATA[[#This Row],[Insurance ]]&gt;0),NOT(DATA[[#This Row],[Number of hours of care charged for in last full accounting year]]&gt;0)),0,DATA[[#This Row],[Insurance ]]/DATA[[#This Row],[Number of hours of care charged for in last full accounting year]])</f>
        <v>5.1259715893862239E-2</v>
      </c>
      <c r="LI70"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0.12061109622085232</v>
      </c>
      <c r="LJ70" s="30">
        <f>IF(OR(NOT(DATA[[#This Row],[Repairs and maintenance]]&gt;0),NOT(DATA[[#This Row],[Number of hours of care charged for in last full accounting year]]&gt;0)),0,DATA[[#This Row],[Repairs and maintenance]]/DATA[[#This Row],[Number of hours of care charged for in last full accounting year]])</f>
        <v>0.23251139104797641</v>
      </c>
      <c r="LK70"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0.99906191369606001</v>
      </c>
      <c r="LL70" s="30">
        <f>IF(OR(NOT(DATA[[#This Row],[Registration &amp; Inspection fees ]]&gt;0),NOT(DATA[[#This Row],[Number of hours of care charged for in last full accounting year]]&gt;0)),0,DATA[[#This Row],[Registration &amp; Inspection fees ]]/DATA[[#This Row],[Number of hours of care charged for in last full accounting year]])</f>
        <v>2.6802465826856071E-2</v>
      </c>
      <c r="LM70" s="30">
        <f>IF(OR(NOT(DATA[[#This Row],[Subscriptions]]&gt;0),NOT(DATA[[#This Row],[Number of hours of care charged for in last full accounting year]]&gt;0)),0,DATA[[#This Row],[Subscriptions]]/DATA[[#This Row],[Number of hours of care charged for in last full accounting year]])</f>
        <v>0.18761726078799248</v>
      </c>
      <c r="LN70" s="30">
        <f>IF(OR(NOT(DATA[[#This Row],[Cost of finance]]&gt;0),NOT(DATA[[#This Row],[Number of hours of care charged for in last full accounting year]]&gt;0)),0,DATA[[#This Row],[Cost of finance]]/DATA[[#This Row],[Number of hours of care charged for in last full accounting year]])</f>
        <v>0</v>
      </c>
      <c r="LO70" s="30">
        <f>IF(OR(NOT(DATA[[#This Row],[Other non-staff current expenses]]&gt;0),NOT(DATA[[#This Row],[Number of hours of care charged for in last full accounting year]]&gt;0)),0,DATA[[#This Row],[Other non-staff current expenses]]/DATA[[#This Row],[Number of hours of care charged for in last full accounting year]])</f>
        <v>0</v>
      </c>
      <c r="LP70"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70"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0" s="30">
        <f>IF(OR(NOT(DATA[[#This Row],[Central / Regional Management]]&gt;0),NOT(DATA[[#This Row],[Number of hours of care charged for in last full accounting year]]&gt;0)),0,DATA[[#This Row],[Central / Regional Management]]/DATA[[#This Row],[Number of hours of care charged for in last full accounting year]])</f>
        <v>0</v>
      </c>
      <c r="LS70"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0.10452961672473868</v>
      </c>
      <c r="LT70"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0"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0" s="30">
        <f>SUM(DATA[[#This Row],[Management staff HOURLY RATE]:[Corporate Overheads: Other  - please specify (amount) 2 HOURLY RATE]])</f>
        <v>14.463414634146341</v>
      </c>
      <c r="LW70" s="30" t="str">
        <f>IF(OR(NOT(DATA[[#This Row],[Net Operating Profit]]&gt;0),NOT(DATA[[#This Row],[Number of hours of care charged for in last full accounting year]]&gt;0)),"",DATA[[#This Row],[Net Operating Profit]]/DATA[[#This Row],[Number of hours of care charged for in last full accounting year]])</f>
        <v/>
      </c>
      <c r="LX70" s="30">
        <f>IF(OR(NOT(DATA[[#This Row],[Return on Capital employed]]&gt;0),NOT(DATA[[#This Row],[Number of hours of care charged for in last full accounting year]]&gt;0)),0,DATA[[#This Row],[Return on Capital employed]]/DATA[[#This Row],[Number of hours of care charged for in last full accounting year]])</f>
        <v>0</v>
      </c>
      <c r="LY70" s="31">
        <v>65</v>
      </c>
      <c r="LZ70" s="30" t="s">
        <v>345</v>
      </c>
      <c r="MA70" s="30" t="b">
        <f>DATA[[#This Row],[Number of Home support clients:]]&gt;0</f>
        <v>0</v>
      </c>
      <c r="MB70" s="30" t="b">
        <f>DATA[[#This Row],[Number of supported living clients:]]&gt;0</f>
        <v>1</v>
      </c>
      <c r="MC70" s="30" t="b">
        <f>DATA[[#This Row],[Total Home Support Hours]]&gt;0</f>
        <v>0</v>
      </c>
      <c r="MD70" s="30" t="b">
        <f>DATA[[#This Row],[Total Supported Living Hours]]&gt;0</f>
        <v>1</v>
      </c>
      <c r="ME70" s="30" t="b">
        <f>DATA[[#This Row],[Home Support service split percentage (Expenditure):]]&gt;0.5</f>
        <v>0</v>
      </c>
      <c r="MF70" s="30" t="b">
        <f>DATA[[#This Row],[Agency staff HOURLY RATE]]=0</f>
        <v>0</v>
      </c>
      <c r="MG70" s="30">
        <f>IFERROR(IF(AVERAGE(DATA[[#This Row],[Registered manager: Current 2021/22 Minimum hourly pay rate ADJUSTED]],DATA[[#This Row],[Registered manager: Current 2021/22 Maximum hourly pay rate ADJUSTED]])&lt;LIVING_WAGE_22_23,DATA[[#This Row],[Registered manager: Numbers employed (Full Time Equivalent)]],0),"")</f>
        <v>0</v>
      </c>
      <c r="MH70" s="30">
        <f>IFERROR(IF(AVERAGE(DATA[[#This Row],[Deputy manager: Current 2021/22 Minimum hourly pay rate ADJUSTED]],DATA[[#This Row],[Deputy manager: Current 2021/22 Maximum hourly pay rate ADJUSTED]])&lt;LIVING_WAGE_22_23,DATA[[#This Row],[Deputy manager: Numbers employed (Full Time Equivalent)]],0),"")</f>
        <v>0</v>
      </c>
      <c r="MI70" s="30">
        <f>IFERROR(IF(AVERAGE(DATA[[#This Row],[Other manager 1: Current 2021/22 Minimum hourly pay rate ADJUSTED]],DATA[[#This Row],[Other manager 1: Current 2021/22 Maximum hourly pay rate ADJUSTED]])&lt;LIVING_WAGE_22_23,DATA[[#This Row],[Other manager 1: Numbers employed (Full Time Equivalent)]],0),"")</f>
        <v>0</v>
      </c>
      <c r="MJ70" s="30" t="str">
        <f>IFERROR(IF(AVERAGE(DATA[[#This Row],[Other manager 2: Current 2021/22 Minimum hourly pay rate ADJUSTED]],DATA[[#This Row],[Other manager 2: Current 2021/22 Maximum hourly pay rate ADJUSTED]])&lt;LIVING_WAGE_22_23,DATA[[#This Row],[Other manager 2: Numbers employed (Full Time Equivalent)]],0),"")</f>
        <v/>
      </c>
      <c r="MK70" s="30" t="str">
        <f>IFERROR(IF(AVERAGE(DATA[[#This Row],[Other manager 3: Current 2021/22 Minimum hourly pay rate ADJUSTED]],DATA[[#This Row],[Other manager 3: Current 2021/22 Maximum hourly pay rate ADJUSTED]])&lt;LIVING_WAGE_22_23,DATA[[#This Row],[Other manager 3: Numbers employed (Full Time Equivalent)]],0),"")</f>
        <v/>
      </c>
      <c r="ML70" s="30">
        <f>IFERROR(IF(AVERAGE(DATA[[#This Row],[Care Assistant 1: Current 2021/22 Minimum hourly pay rate ADJUSTED]],DATA[[#This Row],[Care Assistant 1: Current 2021/22 Maximum hourly pay rate ADJUSTED]])&lt;LIVING_WAGE_22_23,DATA[[#This Row],[Care Assistant 1: Numbers employed (Full Time Equivalent)]],0),"")</f>
        <v>15</v>
      </c>
      <c r="MM70" s="30" t="str">
        <f>IFERROR(IF(AVERAGE(DATA[[#This Row],[Care Assistant 2: Current 2021/22 Minimum hourly pay rate ADJUSTED]],DATA[[#This Row],[Care Assistant 2: Current 2021/22 Maximum hourly pay rate ADJUSTED]])&lt;LIVING_WAGE_22_23,DATA[[#This Row],[Care Assistant 2: Numbers employed (Full Time Equivalent)]],0),"")</f>
        <v/>
      </c>
      <c r="MN70" s="30" t="str">
        <f>IFERROR(IF(AVERAGE(DATA[[#This Row],[Care Assistant 3: Current 2021/22 Minimum hourly pay rate ADJUSTED]],DATA[[#This Row],[Care Assistant 3: Current 2021/22 Maximum hourly pay rate ADJUSTED]])&lt;LIVING_WAGE_22_23,DATA[[#This Row],[Care Assistant 3: Numbers employed (Full Time Equivalent)]],0),"")</f>
        <v/>
      </c>
      <c r="MO70" s="30" t="str">
        <f>IFERROR(IF(AVERAGE(DATA[[#This Row],[Care Assistant 4: Current 2021/22 Minimum hourly pay rate ADJUSTED]],DATA[[#This Row],[Care Assistant 4: Current 2021/22 Maximum hourly pay rate ADJUSTED]])&lt;LIVING_WAGE_22_23,DATA[[#This Row],[Care Assistant 4: Numbers employed (Full Time Equivalent)]],0),"")</f>
        <v/>
      </c>
      <c r="MP70"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70"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0" s="30" t="str">
        <f>IFERROR(IF(AVERAGE(DATA[[#This Row],[Other staff 1: Current 2021/22 Minimum hourly pay rate ADJUSTED]],DATA[[#This Row],[Other staff 1: Current 2021/22 Maximum hourly pay rate ADJUSTED]])&lt;LIVING_WAGE_22_23,DATA[[#This Row],[Other staff 1: Numbers employed (Full Time Equivalent)]],0),"")</f>
        <v/>
      </c>
      <c r="MS70" s="30" t="str">
        <f>IFERROR(IF(AVERAGE(DATA[[#This Row],[Other staff 2: Current 2021/22 Minimum hourly pay rate ADJUSTED]],DATA[[#This Row],[Other staff 2: Current 2021/22 Maximum hourly pay rate ADJUSTED]])&lt;LIVING_WAGE_22_23,DATA[[#This Row],[Other staff 2: Numbers employed (Full Time Equivalent)]],0),"")</f>
        <v/>
      </c>
      <c r="MT70" s="30" t="str">
        <f>IFERROR(IF(AVERAGE(DATA[[#This Row],[Other staff 3: Current 2021/22 Minimum hourly pay rate ADJUSTED]],DATA[[#This Row],[Other staff 3: Current 2021/22 Maximum hourly pay rate ADJUSTED]])&lt;LIVING_WAGE_22_23,DATA[[#This Row],[Other staff 3: Numbers employed (Full Time Equivalent)]],0),"")</f>
        <v/>
      </c>
      <c r="MU70" s="30">
        <f>SUM(DATA[[#This Row],[Registered Manager FTE earning less than NLW 23yrs 2022/23]:[Other staff 3 FTE earning less than NLW 23yrs 2022/23]])</f>
        <v>15</v>
      </c>
      <c r="MV70"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70"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70"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70"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70"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0"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3.75</v>
      </c>
      <c r="NB70"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70"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70"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70"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70"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0"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0"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0"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0" s="30" t="b">
        <v>1</v>
      </c>
      <c r="NK70" s="30" t="b">
        <v>1</v>
      </c>
      <c r="NL70" s="30" t="s">
        <v>505</v>
      </c>
      <c r="NM70" s="30">
        <f>SUM(DATA[[#This Row],[Management staff HOURLY RATE]:[Training and development HOURLY RATE]])</f>
        <v>12.496448673277941</v>
      </c>
      <c r="NN70" s="30">
        <f>SUM(DATA[[#This Row],[Recruitment &amp; advertising (including DBS checks) HOURLY RATE]:[Non-Staffing Direct Cost: Other  - please specify (amount) 2 HOURLY RATE]])</f>
        <v>0.24457250067006164</v>
      </c>
      <c r="NO70" s="30">
        <f>SUM(DATA[[#This Row],[Insurance  HOURLY RATE]:[Indirect costs: Other  - please specify (amount) 2 HOURLY RATE]])</f>
        <v>1.6178638434735995</v>
      </c>
      <c r="NP70" s="30">
        <f>SUM(DATA[[#This Row],[Central / Regional Management HOURLY RATE]:[Corporate Overheads: Other  - please specify (amount) 2 HOURLY RATE]])</f>
        <v>0.10452961672473868</v>
      </c>
      <c r="NQ70"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70" s="30">
        <f>IFERROR(IF(AVERAGE(DATA[[#This Row],[Deputy manager: Current 2021/22 Minimum hourly pay rate ADJUSTED]],DATA[[#This Row],[Deputy manager: Current 2021/22 Maximum hourly pay rate ADJUSTED]])&lt;REAL_LIVING_WAGE_22_23,DATA[[#This Row],[Deputy manager: Numbers employed (Full Time Equivalent)]],0),"")</f>
        <v>0</v>
      </c>
      <c r="NS70" s="30">
        <f>IFERROR(IF(AVERAGE(DATA[[#This Row],[Other manager 1: Current 2021/22 Minimum hourly pay rate ADJUSTED]],DATA[[#This Row],[Other manager 1: Current 2021/22 Maximum hourly pay rate ADJUSTED]])&lt;REAL_LIVING_WAGE_22_23,DATA[[#This Row],[Other manager 1: Numbers employed (Full Time Equivalent)]],0),"")</f>
        <v>2</v>
      </c>
      <c r="NT70" s="30" t="str">
        <f>IFERROR(IF(AVERAGE(DATA[[#This Row],[Other manager 2: Current 2021/22 Minimum hourly pay rate ADJUSTED]],DATA[[#This Row],[Other manager 2: Current 2021/22 Maximum hourly pay rate ADJUSTED]])&lt;REAL_LIVING_WAGE_22_23,DATA[[#This Row],[Other manager 2: Numbers employed (Full Time Equivalent)]],0),"")</f>
        <v/>
      </c>
      <c r="NU70" s="30" t="str">
        <f>IFERROR(IF(AVERAGE(DATA[[#This Row],[Other manager 3: Current 2021/22 Minimum hourly pay rate ADJUSTED]],DATA[[#This Row],[Other manager 3: Current 2021/22 Maximum hourly pay rate ADJUSTED]])&lt;REAL_LIVING_WAGE_22_23,DATA[[#This Row],[Other manager 3: Numbers employed (Full Time Equivalent)]],0),"")</f>
        <v/>
      </c>
      <c r="NV70" s="30">
        <f>IFERROR(IF(AVERAGE(DATA[[#This Row],[Care Assistant 1: Current 2021/22 Minimum hourly pay rate ADJUSTED]],DATA[[#This Row],[Care Assistant 1: Current 2021/22 Maximum hourly pay rate ADJUSTED]])&lt;REAL_LIVING_WAGE_22_23,DATA[[#This Row],[Care Assistant 1: Numbers employed (Full Time Equivalent)]],0),"")</f>
        <v>15</v>
      </c>
      <c r="NW70"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70"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70"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70"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70"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0" s="30" t="str">
        <f>IFERROR(IF(AVERAGE(DATA[[#This Row],[Other staff 1: Current 2021/22 Minimum hourly pay rate ADJUSTED]],DATA[[#This Row],[Other staff 1: Current 2021/22 Maximum hourly pay rate ADJUSTED]])&lt;REAL_LIVING_WAGE_22_23,DATA[[#This Row],[Other staff 1: Numbers employed (Full Time Equivalent)]],0),"")</f>
        <v/>
      </c>
      <c r="OC70" s="30" t="str">
        <f>IFERROR(IF(AVERAGE(DATA[[#This Row],[Other staff 2: Current 2021/22 Minimum hourly pay rate ADJUSTED]],DATA[[#This Row],[Other staff 2: Current 2021/22 Maximum hourly pay rate ADJUSTED]])&lt;REAL_LIVING_WAGE_22_23,DATA[[#This Row],[Other staff 2: Numbers employed (Full Time Equivalent)]],0),"")</f>
        <v/>
      </c>
      <c r="OD70" s="30" t="str">
        <f>IFERROR(IF(AVERAGE(DATA[[#This Row],[Other staff 3: Current 2021/22 Minimum hourly pay rate ADJUSTED]],DATA[[#This Row],[Other staff 3: Current 2021/22 Maximum hourly pay rate ADJUSTED]])&lt;REAL_LIVING_WAGE_22_23,DATA[[#This Row],[Other staff 3: Numbers employed (Full Time Equivalent)]],0),"")</f>
        <v/>
      </c>
      <c r="OE70" s="30">
        <f>SUM(DATA[[#This Row],[Registered Manager FTE earning less than RLW 23yrs 2022/23]:[Other staff 3 FTE earning less than RLW 23yrs 2022/23]])</f>
        <v>18</v>
      </c>
      <c r="OF70"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70"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70"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0.80000000000000071</v>
      </c>
      <c r="OI70"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70"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0"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9.7500000000000053</v>
      </c>
      <c r="OL70"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70"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70"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70"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0.40000000000000036</v>
      </c>
      <c r="OP70"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0"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0"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0"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0" s="30">
        <f>IFERROR(IF(DATA[[#This Row],[Registered manager: Numbers employed (Full Time Equivalent)]]=0,"",DATA[[#This Row],[Registered manager: Current 2021/22 Minimum hourly pay rate ADJUSTED 2]]*DATA[[#This Row],[Registered manager: Numbers employed (Full Time Equivalent)]]),"")</f>
        <v>15.38</v>
      </c>
      <c r="OU70" s="30">
        <f>IFERROR(IF(DATA[[#This Row],[Registered manager: Numbers employed (Full Time Equivalent)]]=0,"",DATA[[#This Row],[Registered manager: Current 2021/22 Maximum hourly pay rate ADJUSTED 2]]*DATA[[#This Row],[Registered manager: Numbers employed (Full Time Equivalent)]]),"")</f>
        <v>15.38</v>
      </c>
      <c r="OV70" s="30">
        <f>IFERROR(IF(DATA[[#This Row],[Registered manager: Numbers employed (Full Time Equivalent)]]=0,"",DATA[[#This Row],[Registered manager: Previous 2020/21 Minimum hourly pay rate ADJUSTED 2]]*DATA[[#This Row],[Registered manager: Numbers employed (Full Time Equivalent)]]),"")</f>
        <v>15.38</v>
      </c>
      <c r="OW70" s="30">
        <f>IFERROR(IF(DATA[[#This Row],[Registered manager: Numbers employed (Full Time Equivalent)]]=0,"",DATA[[#This Row],[Registered manager: Previous 2020/21 Maximum hourly pay rate ADJUSTED 2]]*DATA[[#This Row],[Registered manager: Numbers employed (Full Time Equivalent)]]),"")</f>
        <v>15.38</v>
      </c>
      <c r="OX70" s="30">
        <f>IFERROR(IF(DATA[[#This Row],[Deputy manager: Numbers employed (Full Time Equivalent)]]=0,"",DATA[[#This Row],[Deputy manager: Current 2021/22 Minimum hourly pay rate ADJUSTED 2]]*DATA[[#This Row],[Deputy manager: Numbers employed (Full Time Equivalent)]]),"")</f>
        <v>13.75</v>
      </c>
      <c r="OY70" s="30">
        <f>IFERROR(IF(DATA[[#This Row],[Deputy manager: Numbers employed (Full Time Equivalent)]]=0,"",DATA[[#This Row],[Deputy manager: Current 2021/22 Maximum hourly pay rate ADJUSTED 2]]*DATA[[#This Row],[Deputy manager: Numbers employed (Full Time Equivalent)]]),"")</f>
        <v>13.75</v>
      </c>
      <c r="OZ70" s="30">
        <f>IFERROR(IF(DATA[[#This Row],[Deputy manager: Numbers employed (Full Time Equivalent)]]=0,"",DATA[[#This Row],[Deputy manager: Previous 2020/21 Minimum hourly pay rate ADJUSTED 2]]*DATA[[#This Row],[Deputy manager: Numbers employed (Full Time Equivalent)]]),"")</f>
        <v>13.75</v>
      </c>
      <c r="PA70" s="30">
        <f>IFERROR(IF(DATA[[#This Row],[Deputy manager: Numbers employed (Full Time Equivalent)]]=0,"",DATA[[#This Row],[Deputy manager: Previous 2020/21 Maximum hourly pay rate ADJUSTED 2]]*DATA[[#This Row],[Deputy manager: Numbers employed (Full Time Equivalent)]]),"")</f>
        <v>13.75</v>
      </c>
      <c r="PB70" s="30">
        <f>IFERROR(IF(DATA[[#This Row],[Other manager 1: Numbers employed (Full Time Equivalent)]]=0,"",DATA[[#This Row],[Other manager 1: Current 2021/22 Minimum hourly pay rate ADJUSTED 2]]*DATA[[#This Row],[Other manager 1: Numbers employed (Full Time Equivalent)]]),"")</f>
        <v>19</v>
      </c>
      <c r="PC70" s="30">
        <f>IFERROR(IF(DATA[[#This Row],[Other manager 1: Numbers employed (Full Time Equivalent)]]=0,"",DATA[[#This Row],[Other manager 1: Current 2021/22 Maximum hourly pay rate ADJUSTED 2]]*DATA[[#This Row],[Other manager 1: Numbers employed (Full Time Equivalent)]]),"")</f>
        <v>19</v>
      </c>
      <c r="PD70" s="30">
        <f>IFERROR(IF(DATA[[#This Row],[Other manager 1: Numbers employed (Full Time Equivalent)]]=0,"",DATA[[#This Row],[Other manager 1: Previous 2020/21 Minimum hourly pay rate ADJUSTED 2]]*DATA[[#This Row],[Other manager 1: Numbers employed (Full Time Equivalent)]]),"")</f>
        <v>19</v>
      </c>
      <c r="PE70" s="30">
        <f>IFERROR(IF(DATA[[#This Row],[Other manager 1: Numbers employed (Full Time Equivalent)]]=0,"",DATA[[#This Row],[Other manager 1: Previous 2020/21 Maximum hourly pay rate ADJUSTED 2]]*DATA[[#This Row],[Other manager 1: Numbers employed (Full Time Equivalent)]]),"")</f>
        <v>19</v>
      </c>
      <c r="PF70" s="30" t="str">
        <f>IFERROR(IF(DATA[[#This Row],[Other manager 2: Numbers employed (Full Time Equivalent)]]=0,"",DATA[[#This Row],[Other manager 2: Current 2021/22 Minimum hourly pay rate ADJUSTED 2]]*DATA[[#This Row],[Other manager 2: Numbers employed (Full Time Equivalent)]]),"")</f>
        <v/>
      </c>
      <c r="PG70" s="30" t="str">
        <f>IFERROR(IF(DATA[[#This Row],[Other manager 2: Numbers employed (Full Time Equivalent)]]=0,"",DATA[[#This Row],[Other manager 2: Current 2021/22 Maximum hourly pay rate ADJUSTED 2]]*DATA[[#This Row],[Other manager 2: Numbers employed (Full Time Equivalent)]]),"")</f>
        <v/>
      </c>
      <c r="PH70" s="30" t="str">
        <f>IFERROR(IF(DATA[[#This Row],[Other manager 2: Numbers employed (Full Time Equivalent)]]=0,"",DATA[[#This Row],[Other manager 2: Previous 2020/21 Minimum hourly pay rate ADJUSTED 2]]*DATA[[#This Row],[Other manager 2: Numbers employed (Full Time Equivalent)]]),"")</f>
        <v/>
      </c>
      <c r="PI70" s="30" t="str">
        <f>IFERROR(IF(DATA[[#This Row],[Other manager 2: Numbers employed (Full Time Equivalent)]]=0,"",DATA[[#This Row],[Other manager 2: Previous 2020/21 Maximum hourly pay rate ADJUSTED 2]]*DATA[[#This Row],[Other manager 2: Numbers employed (Full Time Equivalent)]]),"")</f>
        <v/>
      </c>
      <c r="PJ70" s="30" t="str">
        <f>IFERROR(IF(DATA[[#This Row],[Other manager 3: Numbers employed (Full Time Equivalent)]]=0,"",DATA[[#This Row],[Other manager 3: Current 2021/22 Minimum hourly pay rate ADJUSTED 2]]*DATA[[#This Row],[Other manager 3: Numbers employed (Full Time Equivalent)]]),"")</f>
        <v/>
      </c>
      <c r="PK70" s="30" t="str">
        <f>IFERROR(IF(DATA[[#This Row],[Other manager 3: Numbers employed (Full Time Equivalent)]]=0,"",DATA[[#This Row],[Other manager 3: Current 2021/22 Maximum hourly pay rate ADJUSTED 2]]*DATA[[#This Row],[Other manager 3: Numbers employed (Full Time Equivalent)]]),"")</f>
        <v/>
      </c>
      <c r="PL70" s="30" t="str">
        <f>IFERROR(IF(DATA[[#This Row],[Other manager 3: Numbers employed (Full Time Equivalent)]]=0,"",DATA[[#This Row],[Other manager 3: Previous 2020/21 Minimum hourly pay rate ADJUSTED 2]]*DATA[[#This Row],[Other manager 3: Numbers employed (Full Time Equivalent)]]),"")</f>
        <v/>
      </c>
      <c r="PM70" s="30" t="str">
        <f>IFERROR(IF(DATA[[#This Row],[Other manager 3: Numbers employed (Full Time Equivalent)]]=0,"",DATA[[#This Row],[Other manager 3: Previous 2020/21 Maximum hourly pay rate ADJUSTED 2]]*DATA[[#This Row],[Other manager 3: Numbers employed (Full Time Equivalent)]]),"")</f>
        <v/>
      </c>
      <c r="PN70" s="30">
        <f>IFERROR(IF(DATA[[#This Row],[Care Assistant 1: Numbers employed (Full Time Equivalent)]]=0,"",DATA[[#This Row],[Care Assistant 1: Current 2021/22 Minimum hourly pay rate ADJUSTED 2]]*DATA[[#This Row],[Care Assistant 1: Numbers employed (Full Time Equivalent)]]),"")</f>
        <v>138.75</v>
      </c>
      <c r="PO70" s="30">
        <f>IFERROR(IF(DATA[[#This Row],[Care Assistant 1: Numbers employed (Full Time Equivalent)]]=0,"",DATA[[#This Row],[Care Assistant 1: Current 2021/22 Maximum hourly pay rate ADJUSTED 2]]*DATA[[#This Row],[Care Assistant 1: Numbers employed (Full Time Equivalent)]]),"")</f>
        <v>138.75</v>
      </c>
      <c r="PP70" s="30">
        <f>IFERROR(IF(DATA[[#This Row],[Care Assistant 1: Numbers employed (Full Time Equivalent)]]=0,"",DATA[[#This Row],[Care Assistant 1: Previous 2020/21 Minimum hourly pay rate ADJUSTED 2]]*DATA[[#This Row],[Care Assistant 1: Numbers employed (Full Time Equivalent)]]),"")</f>
        <v>138.75</v>
      </c>
      <c r="PQ70" s="30">
        <f>IFERROR(IF(DATA[[#This Row],[Care Assistant 1: Numbers employed (Full Time Equivalent)]]=0,"",DATA[[#This Row],[Care Assistant 1: Previous 2020/21 Maximum hourly pay rate ADJUSTED 2]]*DATA[[#This Row],[Care Assistant 1: Numbers employed (Full Time Equivalent)]]),"")</f>
        <v>138.75</v>
      </c>
      <c r="PR70" s="30" t="str">
        <f>IFERROR(IF(DATA[[#This Row],[Care Assistant 2: Numbers employed (Full Time Equivalent)]]=0,"",DATA[[#This Row],[Care Assistant 2: Current 2021/22 Minimum hourly pay rate ADJUSTED 2]]*DATA[[#This Row],[Care Assistant 2: Numbers employed (Full Time Equivalent)]]),"")</f>
        <v/>
      </c>
      <c r="PS70" s="30" t="str">
        <f>IFERROR(IF(DATA[[#This Row],[Care Assistant 2: Numbers employed (Full Time Equivalent)]]=0,"",DATA[[#This Row],[Care Assistant 2: Current 2021/22 Maximum hourly pay rate ADJUSTED 2]]*DATA[[#This Row],[Care Assistant 2: Numbers employed (Full Time Equivalent)]]),"")</f>
        <v/>
      </c>
      <c r="PT70" s="30" t="str">
        <f>IFERROR(IF(DATA[[#This Row],[Care Assistant 2: Numbers employed (Full Time Equivalent)]]=0,"",DATA[[#This Row],[Care Assistant 2: Previous 2020/21 Minimum hourly pay rate ADJUSTED 2]]*DATA[[#This Row],[Care Assistant 2: Numbers employed (Full Time Equivalent)]]),"")</f>
        <v/>
      </c>
      <c r="PU70" s="30" t="str">
        <f>IFERROR(IF(DATA[[#This Row],[Care Assistant 2: Numbers employed (Full Time Equivalent)]]=0,"",DATA[[#This Row],[Care Assistant 2: Previous 2020/21 Maximum hourly pay rate ADJUSTED 2]]*DATA[[#This Row],[Care Assistant 2: Numbers employed (Full Time Equivalent)]]),"")</f>
        <v/>
      </c>
      <c r="PV70" s="30" t="str">
        <f>IFERROR(IF(DATA[[#This Row],[Care Assistant 3: Numbers employed (Full Time Equivalent)]]=0,"",DATA[[#This Row],[Care Assistant 3: Current 2021/22 Minimum hourly pay rate ADJUSTED 2]]*DATA[[#This Row],[Care Assistant 3: Numbers employed (Full Time Equivalent)]]),"")</f>
        <v/>
      </c>
      <c r="PW70" s="30" t="str">
        <f>IFERROR(IF(DATA[[#This Row],[Care Assistant 3: Numbers employed (Full Time Equivalent)]]=0,"",DATA[[#This Row],[Care Assistant 3: Current 2021/22 Maximum hourly pay rate ADJUSTED 2]]*DATA[[#This Row],[Care Assistant 3: Numbers employed (Full Time Equivalent)]]),"")</f>
        <v/>
      </c>
      <c r="PX70" s="30" t="str">
        <f>IFERROR(IF(DATA[[#This Row],[Care Assistant 3: Numbers employed (Full Time Equivalent)]]=0,"",DATA[[#This Row],[Care Assistant 3: Previous 2020/21 Minimum hourly pay rate ADJUSTED 2]]*DATA[[#This Row],[Care Assistant 3: Numbers employed (Full Time Equivalent)]]),"")</f>
        <v/>
      </c>
      <c r="PY70" s="30" t="str">
        <f>IFERROR(IF(DATA[[#This Row],[Care Assistant 3: Numbers employed (Full Time Equivalent)]]=0,"",DATA[[#This Row],[Care Assistant 3: Previous 2020/21 Maximum hourly pay rate ADJUSTED 2]]*DATA[[#This Row],[Care Assistant 3: Numbers employed (Full Time Equivalent)]]),"")</f>
        <v/>
      </c>
      <c r="PZ70" s="30" t="str">
        <f>IFERROR(IF(DATA[[#This Row],[Care Assistant 4: Numbers employed (Full Time Equivalent)]]=0,"",DATA[[#This Row],[Care Assistant 4: Current 2021/22 Minimum hourly pay rate ADJUSTED 2]]*DATA[[#This Row],[Care Assistant 4: Numbers employed (Full Time Equivalent)]]),"")</f>
        <v/>
      </c>
      <c r="QA70" s="30" t="str">
        <f>IFERROR(IF(DATA[[#This Row],[Care Assistant 4: Numbers employed (Full Time Equivalent)]]=0,"",DATA[[#This Row],[Care Assistant 4: Current 2021/22 Maximum hourly pay rate ADJUSTED 2]]*DATA[[#This Row],[Care Assistant 4: Numbers employed (Full Time Equivalent)]]),"")</f>
        <v/>
      </c>
      <c r="QB70" s="30" t="str">
        <f>IFERROR(IF(DATA[[#This Row],[Care Assistant 4: Numbers employed (Full Time Equivalent)]]=0,"",DATA[[#This Row],[Care Assistant 4: Previous 2020/21 Minimum hourly pay rate ADJUSTED 2]]*DATA[[#This Row],[Care Assistant 4: Numbers employed (Full Time Equivalent)]]),"")</f>
        <v/>
      </c>
      <c r="QC70" s="30" t="str">
        <f>IFERROR(IF(DATA[[#This Row],[Care Assistant 4: Numbers employed (Full Time Equivalent)]]=0,"",DATA[[#This Row],[Care Assistant 4: Previous 2020/21 Maximum hourly pay rate ADJUSTED 2]]*DATA[[#This Row],[Care Assistant 4: Numbers employed (Full Time Equivalent)]]),"")</f>
        <v/>
      </c>
      <c r="QD70" s="30">
        <f>IFERROR(IF(DATA[[#This Row],[Administrative Officer 1: Numbers employed (Full Time Equivalent)]]=0,"",DATA[[#This Row],[Administrative Officer 1: Current 2021/22 Minimum hourly pay rate ADJUSTED 2]]*DATA[[#This Row],[Administrative Officer 1: Numbers employed (Full Time Equivalent)]]),"")</f>
        <v>9.5</v>
      </c>
      <c r="QE70" s="30">
        <f>IFERROR(IF(DATA[[#This Row],[Administrative Officer 1: Numbers employed (Full Time Equivalent)]]=0,"",DATA[[#This Row],[Administrative Officer 1: Current 2021/22 Maximum hourly pay rate ADJUSTED 2]]*DATA[[#This Row],[Administrative Officer 1: Numbers employed (Full Time Equivalent)]]),"")</f>
        <v>9.5</v>
      </c>
      <c r="QF70" s="30">
        <f>IFERROR(IF(DATA[[#This Row],[Administrative Officer 1: Numbers employed (Full Time Equivalent)]]=0,"",DATA[[#This Row],[Administrative Officer 1: Previous 2020/21 Minimum hourly pay rate ADJUSTED 2]]*DATA[[#This Row],[Administrative Officer 1: Numbers employed (Full Time Equivalent)]]),"")</f>
        <v>9.5</v>
      </c>
      <c r="QG70" s="30">
        <f>IFERROR(IF(DATA[[#This Row],[Administrative Officer 1: Numbers employed (Full Time Equivalent)]]=0,"",DATA[[#This Row],[Administrative Officer 1: Previous 2020/21 Maximum hourly pay rate ADJUSTED 2]]*DATA[[#This Row],[Administrative Officer 1: Numbers employed (Full Time Equivalent)]]),"")</f>
        <v>9.5</v>
      </c>
      <c r="QH70" s="30" t="str">
        <f>IFERROR(IF(DATA[[#This Row],[Administrative Officer 2: Numbers employed (Full Time Equivalent)]]=0,"",DATA[[#This Row],[Administrative Officer 2: Current 2021/22 Minimum hourly pay rate ADJUSTED 2]]*DATA[[#This Row],[Administrative Officer 2: Numbers employed (Full Time Equivalent)]]),"")</f>
        <v/>
      </c>
      <c r="QI70" s="30" t="str">
        <f>IFERROR(IF(DATA[[#This Row],[Administrative Officer 2: Numbers employed (Full Time Equivalent)]]=0,"",DATA[[#This Row],[Administrative Officer 2: Current 2021/22 Maximum hourly pay rate ADJUSTED 2]]*DATA[[#This Row],[Administrative Officer 2: Numbers employed (Full Time Equivalent)]]),"")</f>
        <v/>
      </c>
      <c r="QJ70" s="30" t="str">
        <f>IFERROR(IF(DATA[[#This Row],[Administrative Officer 2: Numbers employed (Full Time Equivalent)]]=0,"",DATA[[#This Row],[Administrative Officer 2: Previous 2020/21 Minimum hourly pay rate ADJUSTED 2]]*DATA[[#This Row],[Administrative Officer 2: Numbers employed (Full Time Equivalent)]]),"")</f>
        <v/>
      </c>
      <c r="QK70" s="30" t="str">
        <f>IFERROR(IF(DATA[[#This Row],[Administrative Officer 2: Numbers employed (Full Time Equivalent)]]=0,"",DATA[[#This Row],[Administrative Officer 2: Previous 2020/21 Maximum hourly pay rate ADJUSTED 2]]*DATA[[#This Row],[Administrative Officer 2: Numbers employed (Full Time Equivalent)]]),"")</f>
        <v/>
      </c>
      <c r="QL70" s="30" t="str">
        <f>IFERROR(IF(DATA[[#This Row],[Administrative Officer 3: Numbers employed (Full Time Equivalent)]]=0,"",DATA[[#This Row],[Administrative Officer 3: Current 2021/22 Minimum hourly pay rate ADJUSTED 2]]*DATA[[#This Row],[Administrative Officer 3: Numbers employed (Full Time Equivalent)]]),"")</f>
        <v/>
      </c>
      <c r="QM70" s="30" t="str">
        <f>IFERROR(IF(DATA[[#This Row],[Administrative Officer 3: Numbers employed (Full Time Equivalent)]]=0,"",DATA[[#This Row],[Administrative Officer 3: Current 2021/22 Maximum hourly pay rate ADJUSTED 2]]*DATA[[#This Row],[Administrative Officer 3: Numbers employed (Full Time Equivalent)]]),"")</f>
        <v/>
      </c>
      <c r="QN70" s="30" t="str">
        <f>IFERROR(IF(DATA[[#This Row],[Administrative Officer 3: Numbers employed (Full Time Equivalent)]]=0,"",DATA[[#This Row],[Administrative Officer 3: Previous 2020/21 Minimum hourly pay rate ADJUSTED 2]]*DATA[[#This Row],[Administrative Officer 3: Numbers employed (Full Time Equivalent)]]),"")</f>
        <v/>
      </c>
      <c r="QO70" s="30" t="str">
        <f>IFERROR(IF(DATA[[#This Row],[Administrative Officer 3: Numbers employed (Full Time Equivalent)]]=0,"",DATA[[#This Row],[Administrative Officer 3: Previous 2020/21 Maximum hourly pay rate ADJUSTED 2]]*DATA[[#This Row],[Administrative Officer 3: Numbers employed (Full Time Equivalent)]]),"")</f>
        <v/>
      </c>
      <c r="QP70" s="28" t="str">
        <f>IFERROR(IF(DATA[[#This Row],[Other staff 1: Numbers employed (Full Time Equivalent)]]=0,"",DATA[[#This Row],[Other staff 1: Current 2021/22 Minimum hourly pay rate ADJUSTED 2]]*DATA[[#This Row],[Other staff 1: Numbers employed (Full Time Equivalent)]]),"")</f>
        <v/>
      </c>
      <c r="QQ70" s="28" t="str">
        <f>IFERROR(IF(DATA[[#This Row],[Other staff 1: Numbers employed (Full Time Equivalent)]]=0,"",DATA[[#This Row],[Other staff 1: Current 2021/22 Maximum hourly pay rate ADJUSTED 2]]*DATA[[#This Row],[Other staff 1: Numbers employed (Full Time Equivalent)]]),"")</f>
        <v/>
      </c>
      <c r="QR70" s="28" t="str">
        <f>IFERROR(IF(DATA[[#This Row],[Other staff 1: Numbers employed (Full Time Equivalent)]]=0,"",DATA[[#This Row],[Other staff 1: Previous 2020/21 Minimum hourly pay rate ADJUSTED 2]]*DATA[[#This Row],[Other staff 1: Numbers employed (Full Time Equivalent)]]),"")</f>
        <v/>
      </c>
      <c r="QS70" s="28" t="str">
        <f>IFERROR(IF(DATA[[#This Row],[Other staff 1: Numbers employed (Full Time Equivalent)]]=0,"",DATA[[#This Row],[Other staff 1: Previous 2020/21 Maximum hourly pay rate ADJUSTED 2]]*DATA[[#This Row],[Other staff 1: Numbers employed (Full Time Equivalent)]]),"")</f>
        <v/>
      </c>
      <c r="QT70" s="28" t="str">
        <f>IFERROR(IF(DATA[[#This Row],[Other staff 2: Numbers employed (Full Time Equivalent)]]=0,"",DATA[[#This Row],[Other staff 2: Current 2021/22 Minimum hourly pay rate ADJUSTED 2]]*DATA[[#This Row],[Other staff 2: Numbers employed (Full Time Equivalent)]]),"")</f>
        <v/>
      </c>
      <c r="QU70" s="28" t="str">
        <f>IFERROR(IF(DATA[[#This Row],[Other staff 2: Numbers employed (Full Time Equivalent)]]=0,"",DATA[[#This Row],[Other staff 2: Current 2021/22 Maximum hourly pay rate ADJUSTED 2]]*DATA[[#This Row],[Other staff 2: Numbers employed (Full Time Equivalent)]]),"")</f>
        <v/>
      </c>
      <c r="QV70" s="28" t="str">
        <f>IFERROR(IF(DATA[[#This Row],[Other staff 2: Numbers employed (Full Time Equivalent)]]=0,"",DATA[[#This Row],[Other staff 2: Previous 2020/21 Minimum hourly pay rate ADJUSTED 2]]*DATA[[#This Row],[Other staff 2: Numbers employed (Full Time Equivalent)]]),"")</f>
        <v/>
      </c>
      <c r="QW70" s="28" t="str">
        <f>IFERROR(IF(DATA[[#This Row],[Other staff 2: Numbers employed (Full Time Equivalent)]]=0,"",DATA[[#This Row],[Other staff 2: Previous 2020/21 Maximum hourly pay rate ADJUSTED 2]]*DATA[[#This Row],[Other staff 2: Numbers employed (Full Time Equivalent)]]),"")</f>
        <v/>
      </c>
      <c r="QX70" s="28" t="str">
        <f>IFERROR(IF(DATA[[#This Row],[Other staff 3: Numbers employed (Full Time Equivalent)]]=0,"",DATA[[#This Row],[Other staff 3: Current 2021/22 Minimum hourly pay rate ADJUSTED 2]]*DATA[[#This Row],[Other staff 3: Numbers employed (Full Time Equivalent)]]),"")</f>
        <v/>
      </c>
      <c r="QY70" s="28" t="str">
        <f>IFERROR(IF(DATA[[#This Row],[Other staff 3: Numbers employed (Full Time Equivalent)]]=0,"",DATA[[#This Row],[Other staff 3: Current 2021/22 Maximum hourly pay rate ADJUSTED 2]]*DATA[[#This Row],[Other staff 3: Numbers employed (Full Time Equivalent)]]),"")</f>
        <v/>
      </c>
      <c r="QZ70" s="28" t="str">
        <f>IFERROR(IF(DATA[[#This Row],[Other staff 3: Numbers employed (Full Time Equivalent)]]=0,"",DATA[[#This Row],[Other staff 3: Previous 2020/21 Minimum hourly pay rate ADJUSTED 2]]*DATA[[#This Row],[Other staff 3: Numbers employed (Full Time Equivalent)]]),"")</f>
        <v/>
      </c>
      <c r="RA70" s="28" t="str">
        <f>IFERROR(IF(DATA[[#This Row],[Other staff 3: Numbers employed (Full Time Equivalent)]]=0,"",DATA[[#This Row],[Other staff 3: Previous 2020/21 Maximum hourly pay rate ADJUSTED 2]]*DATA[[#This Row],[Other staff 3: Numbers employed (Full Time Equivalent)]]),"")</f>
        <v/>
      </c>
      <c r="RB70"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70"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70"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2</v>
      </c>
      <c r="RE70"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70"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0"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15</v>
      </c>
      <c r="RH70"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70"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0"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0"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70"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0"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0"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0"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0"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1" spans="7:484" x14ac:dyDescent="0.25">
      <c r="G71" s="2">
        <v>65</v>
      </c>
      <c r="H71" s="2">
        <v>3</v>
      </c>
      <c r="I71" s="2">
        <v>2</v>
      </c>
      <c r="J71" s="2">
        <v>0.65</v>
      </c>
      <c r="K71" s="2">
        <v>0.45</v>
      </c>
      <c r="R71" s="2">
        <v>10</v>
      </c>
      <c r="S71" s="2">
        <v>10</v>
      </c>
      <c r="T71" s="2">
        <v>12</v>
      </c>
      <c r="U71" s="2">
        <v>0</v>
      </c>
      <c r="V71" s="2">
        <v>3</v>
      </c>
      <c r="W71" s="2">
        <v>0</v>
      </c>
      <c r="X71" s="2">
        <v>0</v>
      </c>
      <c r="Y71" s="2">
        <v>0</v>
      </c>
      <c r="Z71" s="2">
        <v>0</v>
      </c>
      <c r="AA71" s="2">
        <v>0</v>
      </c>
      <c r="AB71" s="2" t="s">
        <v>315</v>
      </c>
      <c r="AC71" s="2">
        <v>0</v>
      </c>
      <c r="AD71" s="2">
        <v>0</v>
      </c>
      <c r="AE71" s="2">
        <v>0</v>
      </c>
      <c r="AF71" s="2">
        <v>0</v>
      </c>
      <c r="AG71" s="2">
        <v>0</v>
      </c>
      <c r="AH71" s="2" t="s">
        <v>315</v>
      </c>
      <c r="AI71" s="2">
        <v>0</v>
      </c>
      <c r="AJ71" s="2">
        <v>0</v>
      </c>
      <c r="AK71" s="2">
        <v>0</v>
      </c>
      <c r="AL71" s="2">
        <v>0</v>
      </c>
      <c r="AM71" s="2">
        <v>0</v>
      </c>
      <c r="AN71" s="2" t="s">
        <v>315</v>
      </c>
      <c r="AO71" s="2">
        <v>0</v>
      </c>
      <c r="AP71" s="2">
        <v>0</v>
      </c>
      <c r="AQ71" s="2">
        <v>0</v>
      </c>
      <c r="AR71" s="2">
        <v>0</v>
      </c>
      <c r="AS71" s="2">
        <v>0</v>
      </c>
      <c r="AT71" s="2" t="s">
        <v>316</v>
      </c>
      <c r="AU71" s="2">
        <v>9</v>
      </c>
      <c r="AV71" s="2">
        <v>9</v>
      </c>
      <c r="AW71" s="2">
        <v>9</v>
      </c>
      <c r="AX71" s="2">
        <v>9.5</v>
      </c>
      <c r="AY71" s="2">
        <v>8</v>
      </c>
      <c r="AZ71" s="2" t="s">
        <v>316</v>
      </c>
      <c r="BA71" s="2">
        <v>0</v>
      </c>
      <c r="BB71" s="2">
        <v>0</v>
      </c>
      <c r="BC71" s="2">
        <v>0</v>
      </c>
      <c r="BD71" s="2">
        <v>0</v>
      </c>
      <c r="BE71" s="2">
        <v>0</v>
      </c>
      <c r="BF71" s="2" t="s">
        <v>316</v>
      </c>
      <c r="BG71" s="2">
        <v>0</v>
      </c>
      <c r="BH71" s="2">
        <v>0</v>
      </c>
      <c r="BI71" s="2">
        <v>0</v>
      </c>
      <c r="BJ71" s="2">
        <v>0</v>
      </c>
      <c r="BK71" s="2">
        <v>0</v>
      </c>
      <c r="BL71" s="2" t="s">
        <v>316</v>
      </c>
      <c r="BM71" s="2">
        <v>0</v>
      </c>
      <c r="BN71" s="2">
        <v>0</v>
      </c>
      <c r="BO71" s="2">
        <v>0</v>
      </c>
      <c r="BP71" s="2">
        <v>0</v>
      </c>
      <c r="BQ71" s="2">
        <v>0</v>
      </c>
      <c r="BR71" s="2" t="s">
        <v>317</v>
      </c>
      <c r="BS71" s="2">
        <v>0</v>
      </c>
      <c r="BT71" s="2">
        <v>0</v>
      </c>
      <c r="BU71" s="2">
        <v>0</v>
      </c>
      <c r="BV71" s="2">
        <v>0</v>
      </c>
      <c r="BW71" s="2">
        <v>0</v>
      </c>
      <c r="BX71" s="2" t="s">
        <v>317</v>
      </c>
      <c r="BY71" s="2">
        <v>0</v>
      </c>
      <c r="BZ71" s="2">
        <v>0</v>
      </c>
      <c r="CA71" s="2">
        <v>0</v>
      </c>
      <c r="CB71" s="2">
        <v>0</v>
      </c>
      <c r="CC71" s="2">
        <v>0</v>
      </c>
      <c r="CD71" s="2" t="s">
        <v>317</v>
      </c>
      <c r="CE71" s="2">
        <v>0</v>
      </c>
      <c r="CF71" s="2">
        <v>0</v>
      </c>
      <c r="CG71" s="2">
        <v>0</v>
      </c>
      <c r="CH71" s="2">
        <v>0</v>
      </c>
      <c r="CI71" s="2">
        <v>0</v>
      </c>
      <c r="CJ71" s="2" t="s">
        <v>318</v>
      </c>
      <c r="CK71" s="2">
        <v>0</v>
      </c>
      <c r="CL71" s="2">
        <v>0</v>
      </c>
      <c r="CM71" s="2">
        <v>0</v>
      </c>
      <c r="CN71" s="2">
        <v>0</v>
      </c>
      <c r="CO71" s="2">
        <v>0</v>
      </c>
      <c r="CP71" s="2" t="s">
        <v>318</v>
      </c>
      <c r="CQ71" s="2">
        <v>0</v>
      </c>
      <c r="CR71" s="2">
        <v>0</v>
      </c>
      <c r="CS71" s="2">
        <v>0</v>
      </c>
      <c r="CT71" s="2">
        <v>0</v>
      </c>
      <c r="CU71" s="2">
        <v>0</v>
      </c>
      <c r="CV71" s="2" t="s">
        <v>318</v>
      </c>
      <c r="CW71" s="2">
        <v>0</v>
      </c>
      <c r="CX71" s="2">
        <v>0</v>
      </c>
      <c r="CY71" s="2">
        <v>0</v>
      </c>
      <c r="CZ71" s="2">
        <v>0</v>
      </c>
      <c r="DA71" s="2">
        <v>0</v>
      </c>
      <c r="DB71" s="2">
        <v>0.03</v>
      </c>
      <c r="DC71" s="2"/>
      <c r="DD71" s="2">
        <v>0</v>
      </c>
      <c r="DE71" s="2">
        <v>0</v>
      </c>
      <c r="DF71" s="2">
        <v>0</v>
      </c>
      <c r="DG71" s="2">
        <v>0</v>
      </c>
      <c r="DH71" s="2">
        <v>0</v>
      </c>
      <c r="DI71" s="2">
        <v>0</v>
      </c>
      <c r="DJ71" s="2">
        <v>0</v>
      </c>
      <c r="DK71" s="2">
        <v>0</v>
      </c>
      <c r="DL71" s="2">
        <v>0</v>
      </c>
      <c r="DM71" s="2">
        <v>0</v>
      </c>
      <c r="DN71" s="2">
        <v>0</v>
      </c>
      <c r="DO71" s="2">
        <v>0</v>
      </c>
      <c r="DP71" s="2">
        <v>0</v>
      </c>
      <c r="DQ71" s="2">
        <v>0</v>
      </c>
      <c r="DR71" s="18" t="s">
        <v>585</v>
      </c>
      <c r="DS71" s="18" t="s">
        <v>585</v>
      </c>
      <c r="DT71" s="2">
        <v>0</v>
      </c>
      <c r="DU71" s="2">
        <v>0</v>
      </c>
      <c r="DV71" s="2">
        <v>0</v>
      </c>
      <c r="DW71" s="2">
        <v>0</v>
      </c>
      <c r="DX71" s="2">
        <v>0</v>
      </c>
      <c r="DY71" s="2">
        <v>0</v>
      </c>
      <c r="DZ71" s="2">
        <v>0</v>
      </c>
      <c r="EA71" s="2">
        <v>0</v>
      </c>
      <c r="EB71" s="2">
        <v>0</v>
      </c>
      <c r="EC71" s="2">
        <v>0</v>
      </c>
      <c r="ED71" s="2">
        <v>0</v>
      </c>
      <c r="EE71" s="2">
        <v>0</v>
      </c>
      <c r="EF71" s="2">
        <v>0</v>
      </c>
      <c r="EG71" s="2">
        <v>0</v>
      </c>
      <c r="EH71" s="2" t="s">
        <v>324</v>
      </c>
      <c r="EI71" s="2">
        <v>0</v>
      </c>
      <c r="EJ71" s="2" t="s">
        <v>324</v>
      </c>
      <c r="EK71" s="2">
        <v>0</v>
      </c>
      <c r="EL71" s="2">
        <v>0</v>
      </c>
      <c r="EM71" s="2">
        <v>0</v>
      </c>
      <c r="EN71" s="2">
        <v>0</v>
      </c>
      <c r="EO71" s="2">
        <v>0</v>
      </c>
      <c r="EP71" s="2">
        <v>0</v>
      </c>
      <c r="EQ71" s="2">
        <v>0</v>
      </c>
      <c r="ER71" s="2">
        <v>0</v>
      </c>
      <c r="ES71" s="2">
        <v>0</v>
      </c>
      <c r="ET71" s="2" t="s">
        <v>324</v>
      </c>
      <c r="EU71" s="2">
        <v>0</v>
      </c>
      <c r="EV71" s="2" t="s">
        <v>324</v>
      </c>
      <c r="EW71" s="2">
        <v>0</v>
      </c>
      <c r="EX71" s="2">
        <v>0</v>
      </c>
      <c r="EY71" s="2">
        <v>0</v>
      </c>
      <c r="EZ71" s="2" t="s">
        <v>326</v>
      </c>
      <c r="FA71" s="2">
        <v>0</v>
      </c>
      <c r="FB71" s="2" t="s">
        <v>326</v>
      </c>
      <c r="FC71" s="2">
        <v>0</v>
      </c>
      <c r="FD71" s="2"/>
      <c r="FE71" s="2">
        <v>0</v>
      </c>
      <c r="FF71" s="2">
        <v>0</v>
      </c>
      <c r="FG71" s="2"/>
      <c r="FH71" s="19">
        <v>44480.627465277779</v>
      </c>
      <c r="FI71" s="2" t="s">
        <v>345</v>
      </c>
      <c r="FJ71" s="2">
        <f>SUM(DATA[[#This Row],[Number of Home support clients:]],DATA[[#This Row],[Number of supported living clients:]])</f>
        <v>5</v>
      </c>
      <c r="FK71"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71"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10</v>
      </c>
      <c r="FM71"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10</v>
      </c>
      <c r="FN71"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12</v>
      </c>
      <c r="FO71"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12</v>
      </c>
      <c r="FP71"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71"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71"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71"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71"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71"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71"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71"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71"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71"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71"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1"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1"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1"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1"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1"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1"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v>
      </c>
      <c r="GG71"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v>
      </c>
      <c r="GH71"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v>
      </c>
      <c r="GI71"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9.5</v>
      </c>
      <c r="GJ71"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71"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71"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71"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71"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71"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71"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1"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1"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71"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71"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1"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1"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71"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71"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71"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71"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1"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1"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1"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1"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1"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1"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1"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1"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1"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1"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1"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1"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1"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1"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1"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1"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1"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1"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1"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1"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10</v>
      </c>
      <c r="HU71"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10</v>
      </c>
      <c r="HV71"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12</v>
      </c>
      <c r="HW71"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12</v>
      </c>
      <c r="HX71"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71"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71"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71"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71"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71"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71"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71"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71"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71"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71"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71"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71"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1"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1"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1"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1"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v>
      </c>
      <c r="IO71"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v>
      </c>
      <c r="IP71"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v>
      </c>
      <c r="IQ71"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9.5</v>
      </c>
      <c r="IR71"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71"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71"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71"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71"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71"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71"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71"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71"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71"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71"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71"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71"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71"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71"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71"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71"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1"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1"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1"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1"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1"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1"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1"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1"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1"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1"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1"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1"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1"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1"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1"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1"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1"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1"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1"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1"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71" s="21">
        <f>SUM(DATA[[#This Row],[Care Assistant 1: Numbers employed (Full Time Equivalent)]],DATA[[#This Row],[Care Assistant 2: Numbers employed (Full Time Equivalent)]],DATA[[#This Row],[Care Assistant 3: Numbers employed (Full Time Equivalent)]],DATA[[#This Row],[Care Assistant 4: Numbers employed (Full Time Equivalent)]])</f>
        <v>8</v>
      </c>
      <c r="KD71" s="21">
        <f>SUM(DATA[[#This Row],[Administrative Officer 1: Numbers employed (Full Time Equivalent)]],DATA[[#This Row],[Administrative Officer 2: Numbers employed (Full Time Equivalent)]])</f>
        <v>0</v>
      </c>
      <c r="KE71" s="21">
        <f>SUM(DATA[[#This Row],[Other staff 1: Numbers employed (Full Time Equivalent)]],DATA[[#This Row],[Other staff 2: Numbers employed (Full Time Equivalent)]],DATA[[#This Row],[Other staff 3: Numbers employed (Full Time Equivalent)]])</f>
        <v>0</v>
      </c>
      <c r="KF71" s="21">
        <f>SUM(DATA[[#This Row],[Total FTE Management Employees]:[Total FTE Other Employees]])</f>
        <v>11</v>
      </c>
      <c r="KG71" s="21" t="str">
        <f>IF(SUM(DATA[[#This Row],[Home Support service split percentage (Expenditure):]],DATA[[#This Row],[Supported Living service split percentage (Expenditure):]])&gt;0, IF(DATA[[#This Row],[Home Support service split percentage (Expenditure):]]&gt;0.5,"Home Support","Supported Living"), "Unknown")</f>
        <v>Home Support</v>
      </c>
      <c r="KH71" s="21">
        <f>SUM(DATA[[#This Row],[Home Support: Birmingham City Council]:[Home Support: Self-funded]])</f>
        <v>0</v>
      </c>
      <c r="KI71" s="21">
        <f>SUM(DATA[[#This Row],[Supported Living: Birmingham City Council]:[Supported Living: Self-funded]])</f>
        <v>0</v>
      </c>
      <c r="KJ71"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1"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1"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1"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1" s="21" t="b">
        <f>SUM(DATA[[#This Row],[Number of hours of care charged for in last full accounting year]:[Corporate Overheads: Other  - please specify (category) 1]])&gt;0</f>
        <v>0</v>
      </c>
      <c r="KO71" s="21">
        <f>SUM(DATA[[#This Row],[Total annual expenditure: Management staff]:[Total annual expenditure: Training and development]])</f>
        <v>0</v>
      </c>
      <c r="KP71" s="21">
        <f>SUM(DATA[[#This Row],[Recruitment &amp; advertising (including DBS checks)]:[Non-Staffing Direct Cost: Other  - please specify (amount) 2]])</f>
        <v>0</v>
      </c>
      <c r="KQ71" s="21">
        <f>SUM(DATA[[#This Row],[Insurance ]:[Indirect costs: Other 2 - please specify (amount)]])</f>
        <v>0</v>
      </c>
      <c r="KR71" s="21">
        <f>SUM(DATA[[#This Row],[Central / Regional Management]],DATA[[#This Row],[Support Services (finance / HR / Payroll / legal etc.)]],DATA[[#This Row],[Corporate Overheads: Other  - please specify (amount) 1]],DATA[[#This Row],[Corporate Overheads: Other  - please specify (amount) 2]])</f>
        <v>0</v>
      </c>
      <c r="KS71"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71"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71"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71"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71"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71"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71"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1"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71"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71"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71" s="30">
        <f>IF(OR(NOT(DATA[[#This Row],[Care consumables &amp; uniforms]]&gt;0),NOT(DATA[[#This Row],[Number of hours of care charged for in last full accounting year]]&gt;0)),0,DATA[[#This Row],[Care consumables &amp; uniforms]]/DATA[[#This Row],[Number of hours of care charged for in last full accounting year]])</f>
        <v>0</v>
      </c>
      <c r="LD71" s="30">
        <f>IF(OR(NOT(DATA[[#This Row],[Electronic call monitoring]]&gt;0),NOT(DATA[[#This Row],[Number of hours of care charged for in last full accounting year]]&gt;0)),0,DATA[[#This Row],[Electronic call monitoring]]/DATA[[#This Row],[Number of hours of care charged for in last full accounting year]])</f>
        <v>0</v>
      </c>
      <c r="LE71" s="30">
        <f>IF(OR(NOT(DATA[[#This Row],[IT Equipment &amp; Telephoney]]&gt;0),NOT(DATA[[#This Row],[Number of hours of care charged for in last full accounting year]]&gt;0)),0,DATA[[#This Row],[IT Equipment &amp; Telephoney]]/DATA[[#This Row],[Number of hours of care charged for in last full accounting year]])</f>
        <v>0</v>
      </c>
      <c r="LF71"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71"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1" s="30">
        <f>IF(OR(NOT(DATA[[#This Row],[Insurance ]]&gt;0),NOT(DATA[[#This Row],[Number of hours of care charged for in last full accounting year]]&gt;0)),0,DATA[[#This Row],[Insurance ]]/DATA[[#This Row],[Number of hours of care charged for in last full accounting year]])</f>
        <v>0</v>
      </c>
      <c r="LI71"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71" s="30">
        <f>IF(OR(NOT(DATA[[#This Row],[Repairs and maintenance]]&gt;0),NOT(DATA[[#This Row],[Number of hours of care charged for in last full accounting year]]&gt;0)),0,DATA[[#This Row],[Repairs and maintenance]]/DATA[[#This Row],[Number of hours of care charged for in last full accounting year]])</f>
        <v>0</v>
      </c>
      <c r="LK71"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71" s="30">
        <f>IF(OR(NOT(DATA[[#This Row],[Registration &amp; Inspection fees ]]&gt;0),NOT(DATA[[#This Row],[Number of hours of care charged for in last full accounting year]]&gt;0)),0,DATA[[#This Row],[Registration &amp; Inspection fees ]]/DATA[[#This Row],[Number of hours of care charged for in last full accounting year]])</f>
        <v>0</v>
      </c>
      <c r="LM71" s="30">
        <f>IF(OR(NOT(DATA[[#This Row],[Subscriptions]]&gt;0),NOT(DATA[[#This Row],[Number of hours of care charged for in last full accounting year]]&gt;0)),0,DATA[[#This Row],[Subscriptions]]/DATA[[#This Row],[Number of hours of care charged for in last full accounting year]])</f>
        <v>0</v>
      </c>
      <c r="LN71" s="30">
        <f>IF(OR(NOT(DATA[[#This Row],[Cost of finance]]&gt;0),NOT(DATA[[#This Row],[Number of hours of care charged for in last full accounting year]]&gt;0)),0,DATA[[#This Row],[Cost of finance]]/DATA[[#This Row],[Number of hours of care charged for in last full accounting year]])</f>
        <v>0</v>
      </c>
      <c r="LO71" s="30">
        <f>IF(OR(NOT(DATA[[#This Row],[Other non-staff current expenses]]&gt;0),NOT(DATA[[#This Row],[Number of hours of care charged for in last full accounting year]]&gt;0)),0,DATA[[#This Row],[Other non-staff current expenses]]/DATA[[#This Row],[Number of hours of care charged for in last full accounting year]])</f>
        <v>0</v>
      </c>
      <c r="LP71"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71"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1" s="30">
        <f>IF(OR(NOT(DATA[[#This Row],[Central / Regional Management]]&gt;0),NOT(DATA[[#This Row],[Number of hours of care charged for in last full accounting year]]&gt;0)),0,DATA[[#This Row],[Central / Regional Management]]/DATA[[#This Row],[Number of hours of care charged for in last full accounting year]])</f>
        <v>0</v>
      </c>
      <c r="LS71"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71"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1"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1" s="30">
        <f>SUM(DATA[[#This Row],[Management staff HOURLY RATE]:[Corporate Overheads: Other  - please specify (amount) 2 HOURLY RATE]])</f>
        <v>0</v>
      </c>
      <c r="LW71" s="30" t="str">
        <f>IF(OR(NOT(DATA[[#This Row],[Net Operating Profit]]&gt;0),NOT(DATA[[#This Row],[Number of hours of care charged for in last full accounting year]]&gt;0)),"",DATA[[#This Row],[Net Operating Profit]]/DATA[[#This Row],[Number of hours of care charged for in last full accounting year]])</f>
        <v/>
      </c>
      <c r="LX71" s="30">
        <f>IF(OR(NOT(DATA[[#This Row],[Return on Capital employed]]&gt;0),NOT(DATA[[#This Row],[Number of hours of care charged for in last full accounting year]]&gt;0)),0,DATA[[#This Row],[Return on Capital employed]]/DATA[[#This Row],[Number of hours of care charged for in last full accounting year]])</f>
        <v>0</v>
      </c>
      <c r="LY71" s="31">
        <v>66</v>
      </c>
      <c r="LZ71" s="30" t="s">
        <v>345</v>
      </c>
      <c r="MA71" s="30" t="b">
        <f>DATA[[#This Row],[Number of Home support clients:]]&gt;0</f>
        <v>1</v>
      </c>
      <c r="MB71" s="30" t="b">
        <f>DATA[[#This Row],[Number of supported living clients:]]&gt;0</f>
        <v>1</v>
      </c>
      <c r="MC71" s="30" t="b">
        <f>DATA[[#This Row],[Total Home Support Hours]]&gt;0</f>
        <v>0</v>
      </c>
      <c r="MD71" s="30" t="b">
        <f>DATA[[#This Row],[Total Supported Living Hours]]&gt;0</f>
        <v>0</v>
      </c>
      <c r="ME71" s="30" t="b">
        <f>DATA[[#This Row],[Home Support service split percentage (Expenditure):]]&gt;0.5</f>
        <v>1</v>
      </c>
      <c r="MF71" s="30" t="b">
        <f>DATA[[#This Row],[Agency staff HOURLY RATE]]=0</f>
        <v>1</v>
      </c>
      <c r="MG71" s="30">
        <f>IFERROR(IF(AVERAGE(DATA[[#This Row],[Registered manager: Current 2021/22 Minimum hourly pay rate ADJUSTED]],DATA[[#This Row],[Registered manager: Current 2021/22 Maximum hourly pay rate ADJUSTED]])&lt;LIVING_WAGE_22_23,DATA[[#This Row],[Registered manager: Numbers employed (Full Time Equivalent)]],0),"")</f>
        <v>0</v>
      </c>
      <c r="MH71" s="30" t="str">
        <f>IFERROR(IF(AVERAGE(DATA[[#This Row],[Deputy manager: Current 2021/22 Minimum hourly pay rate ADJUSTED]],DATA[[#This Row],[Deputy manager: Current 2021/22 Maximum hourly pay rate ADJUSTED]])&lt;LIVING_WAGE_22_23,DATA[[#This Row],[Deputy manager: Numbers employed (Full Time Equivalent)]],0),"")</f>
        <v/>
      </c>
      <c r="MI71" s="30" t="str">
        <f>IFERROR(IF(AVERAGE(DATA[[#This Row],[Other manager 1: Current 2021/22 Minimum hourly pay rate ADJUSTED]],DATA[[#This Row],[Other manager 1: Current 2021/22 Maximum hourly pay rate ADJUSTED]])&lt;LIVING_WAGE_22_23,DATA[[#This Row],[Other manager 1: Numbers employed (Full Time Equivalent)]],0),"")</f>
        <v/>
      </c>
      <c r="MJ71" s="30" t="str">
        <f>IFERROR(IF(AVERAGE(DATA[[#This Row],[Other manager 2: Current 2021/22 Minimum hourly pay rate ADJUSTED]],DATA[[#This Row],[Other manager 2: Current 2021/22 Maximum hourly pay rate ADJUSTED]])&lt;LIVING_WAGE_22_23,DATA[[#This Row],[Other manager 2: Numbers employed (Full Time Equivalent)]],0),"")</f>
        <v/>
      </c>
      <c r="MK71" s="30" t="str">
        <f>IFERROR(IF(AVERAGE(DATA[[#This Row],[Other manager 3: Current 2021/22 Minimum hourly pay rate ADJUSTED]],DATA[[#This Row],[Other manager 3: Current 2021/22 Maximum hourly pay rate ADJUSTED]])&lt;LIVING_WAGE_22_23,DATA[[#This Row],[Other manager 3: Numbers employed (Full Time Equivalent)]],0),"")</f>
        <v/>
      </c>
      <c r="ML71" s="30">
        <f>IFERROR(IF(AVERAGE(DATA[[#This Row],[Care Assistant 1: Current 2021/22 Minimum hourly pay rate ADJUSTED]],DATA[[#This Row],[Care Assistant 1: Current 2021/22 Maximum hourly pay rate ADJUSTED]])&lt;LIVING_WAGE_22_23,DATA[[#This Row],[Care Assistant 1: Numbers employed (Full Time Equivalent)]],0),"")</f>
        <v>8</v>
      </c>
      <c r="MM71" s="30" t="str">
        <f>IFERROR(IF(AVERAGE(DATA[[#This Row],[Care Assistant 2: Current 2021/22 Minimum hourly pay rate ADJUSTED]],DATA[[#This Row],[Care Assistant 2: Current 2021/22 Maximum hourly pay rate ADJUSTED]])&lt;LIVING_WAGE_22_23,DATA[[#This Row],[Care Assistant 2: Numbers employed (Full Time Equivalent)]],0),"")</f>
        <v/>
      </c>
      <c r="MN71" s="30" t="str">
        <f>IFERROR(IF(AVERAGE(DATA[[#This Row],[Care Assistant 3: Current 2021/22 Minimum hourly pay rate ADJUSTED]],DATA[[#This Row],[Care Assistant 3: Current 2021/22 Maximum hourly pay rate ADJUSTED]])&lt;LIVING_WAGE_22_23,DATA[[#This Row],[Care Assistant 3: Numbers employed (Full Time Equivalent)]],0),"")</f>
        <v/>
      </c>
      <c r="MO71" s="30" t="str">
        <f>IFERROR(IF(AVERAGE(DATA[[#This Row],[Care Assistant 4: Current 2021/22 Minimum hourly pay rate ADJUSTED]],DATA[[#This Row],[Care Assistant 4: Current 2021/22 Maximum hourly pay rate ADJUSTED]])&lt;LIVING_WAGE_22_23,DATA[[#This Row],[Care Assistant 4: Numbers employed (Full Time Equivalent)]],0),"")</f>
        <v/>
      </c>
      <c r="MP71"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71"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1" s="30" t="str">
        <f>IFERROR(IF(AVERAGE(DATA[[#This Row],[Other staff 1: Current 2021/22 Minimum hourly pay rate ADJUSTED]],DATA[[#This Row],[Other staff 1: Current 2021/22 Maximum hourly pay rate ADJUSTED]])&lt;LIVING_WAGE_22_23,DATA[[#This Row],[Other staff 1: Numbers employed (Full Time Equivalent)]],0),"")</f>
        <v/>
      </c>
      <c r="MS71" s="30" t="str">
        <f>IFERROR(IF(AVERAGE(DATA[[#This Row],[Other staff 2: Current 2021/22 Minimum hourly pay rate ADJUSTED]],DATA[[#This Row],[Other staff 2: Current 2021/22 Maximum hourly pay rate ADJUSTED]])&lt;LIVING_WAGE_22_23,DATA[[#This Row],[Other staff 2: Numbers employed (Full Time Equivalent)]],0),"")</f>
        <v/>
      </c>
      <c r="MT71" s="30" t="str">
        <f>IFERROR(IF(AVERAGE(DATA[[#This Row],[Other staff 3: Current 2021/22 Minimum hourly pay rate ADJUSTED]],DATA[[#This Row],[Other staff 3: Current 2021/22 Maximum hourly pay rate ADJUSTED]])&lt;LIVING_WAGE_22_23,DATA[[#This Row],[Other staff 3: Numbers employed (Full Time Equivalent)]],0),"")</f>
        <v/>
      </c>
      <c r="MU71" s="30">
        <f>SUM(DATA[[#This Row],[Registered Manager FTE earning less than NLW 23yrs 2022/23]:[Other staff 3 FTE earning less than NLW 23yrs 2022/23]])</f>
        <v>8</v>
      </c>
      <c r="MV71"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71"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71"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71"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71"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1"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4</v>
      </c>
      <c r="NB71"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71"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71"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71"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71"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1"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1"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1"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1" s="30" t="b">
        <v>0</v>
      </c>
      <c r="NK71" s="30" t="b">
        <v>1</v>
      </c>
      <c r="NL71" s="30" t="s">
        <v>972</v>
      </c>
      <c r="NM71" s="30">
        <f>SUM(DATA[[#This Row],[Management staff HOURLY RATE]:[Training and development HOURLY RATE]])</f>
        <v>0</v>
      </c>
      <c r="NN71" s="30">
        <f>SUM(DATA[[#This Row],[Recruitment &amp; advertising (including DBS checks) HOURLY RATE]:[Non-Staffing Direct Cost: Other  - please specify (amount) 2 HOURLY RATE]])</f>
        <v>0</v>
      </c>
      <c r="NO71" s="30">
        <f>SUM(DATA[[#This Row],[Insurance  HOURLY RATE]:[Indirect costs: Other  - please specify (amount) 2 HOURLY RATE]])</f>
        <v>0</v>
      </c>
      <c r="NP71" s="30">
        <f>SUM(DATA[[#This Row],[Central / Regional Management HOURLY RATE]:[Corporate Overheads: Other  - please specify (amount) 2 HOURLY RATE]])</f>
        <v>0</v>
      </c>
      <c r="NQ71"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71" s="30" t="str">
        <f>IFERROR(IF(AVERAGE(DATA[[#This Row],[Deputy manager: Current 2021/22 Minimum hourly pay rate ADJUSTED]],DATA[[#This Row],[Deputy manager: Current 2021/22 Maximum hourly pay rate ADJUSTED]])&lt;REAL_LIVING_WAGE_22_23,DATA[[#This Row],[Deputy manager: Numbers employed (Full Time Equivalent)]],0),"")</f>
        <v/>
      </c>
      <c r="NS71" s="30" t="str">
        <f>IFERROR(IF(AVERAGE(DATA[[#This Row],[Other manager 1: Current 2021/22 Minimum hourly pay rate ADJUSTED]],DATA[[#This Row],[Other manager 1: Current 2021/22 Maximum hourly pay rate ADJUSTED]])&lt;REAL_LIVING_WAGE_22_23,DATA[[#This Row],[Other manager 1: Numbers employed (Full Time Equivalent)]],0),"")</f>
        <v/>
      </c>
      <c r="NT71" s="30" t="str">
        <f>IFERROR(IF(AVERAGE(DATA[[#This Row],[Other manager 2: Current 2021/22 Minimum hourly pay rate ADJUSTED]],DATA[[#This Row],[Other manager 2: Current 2021/22 Maximum hourly pay rate ADJUSTED]])&lt;REAL_LIVING_WAGE_22_23,DATA[[#This Row],[Other manager 2: Numbers employed (Full Time Equivalent)]],0),"")</f>
        <v/>
      </c>
      <c r="NU71" s="30" t="str">
        <f>IFERROR(IF(AVERAGE(DATA[[#This Row],[Other manager 3: Current 2021/22 Minimum hourly pay rate ADJUSTED]],DATA[[#This Row],[Other manager 3: Current 2021/22 Maximum hourly pay rate ADJUSTED]])&lt;REAL_LIVING_WAGE_22_23,DATA[[#This Row],[Other manager 3: Numbers employed (Full Time Equivalent)]],0),"")</f>
        <v/>
      </c>
      <c r="NV71" s="30">
        <f>IFERROR(IF(AVERAGE(DATA[[#This Row],[Care Assistant 1: Current 2021/22 Minimum hourly pay rate ADJUSTED]],DATA[[#This Row],[Care Assistant 1: Current 2021/22 Maximum hourly pay rate ADJUSTED]])&lt;REAL_LIVING_WAGE_22_23,DATA[[#This Row],[Care Assistant 1: Numbers employed (Full Time Equivalent)]],0),"")</f>
        <v>8</v>
      </c>
      <c r="NW71"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71"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71"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71"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71"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1" s="30" t="str">
        <f>IFERROR(IF(AVERAGE(DATA[[#This Row],[Other staff 1: Current 2021/22 Minimum hourly pay rate ADJUSTED]],DATA[[#This Row],[Other staff 1: Current 2021/22 Maximum hourly pay rate ADJUSTED]])&lt;REAL_LIVING_WAGE_22_23,DATA[[#This Row],[Other staff 1: Numbers employed (Full Time Equivalent)]],0),"")</f>
        <v/>
      </c>
      <c r="OC71" s="30" t="str">
        <f>IFERROR(IF(AVERAGE(DATA[[#This Row],[Other staff 2: Current 2021/22 Minimum hourly pay rate ADJUSTED]],DATA[[#This Row],[Other staff 2: Current 2021/22 Maximum hourly pay rate ADJUSTED]])&lt;REAL_LIVING_WAGE_22_23,DATA[[#This Row],[Other staff 2: Numbers employed (Full Time Equivalent)]],0),"")</f>
        <v/>
      </c>
      <c r="OD71" s="30" t="str">
        <f>IFERROR(IF(AVERAGE(DATA[[#This Row],[Other staff 3: Current 2021/22 Minimum hourly pay rate ADJUSTED]],DATA[[#This Row],[Other staff 3: Current 2021/22 Maximum hourly pay rate ADJUSTED]])&lt;REAL_LIVING_WAGE_22_23,DATA[[#This Row],[Other staff 3: Numbers employed (Full Time Equivalent)]],0),"")</f>
        <v/>
      </c>
      <c r="OE71" s="30">
        <f>SUM(DATA[[#This Row],[Registered Manager FTE earning less than RLW 23yrs 2022/23]:[Other staff 3 FTE earning less than RLW 23yrs 2022/23]])</f>
        <v>8</v>
      </c>
      <c r="OF71"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71"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71"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71"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71"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1"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7.2000000000000028</v>
      </c>
      <c r="OL71"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71"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71"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71"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71"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1"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1"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1"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1" s="30">
        <f>IFERROR(IF(DATA[[#This Row],[Registered manager: Numbers employed (Full Time Equivalent)]]=0,"",DATA[[#This Row],[Registered manager: Current 2021/22 Minimum hourly pay rate ADJUSTED 2]]*DATA[[#This Row],[Registered manager: Numbers employed (Full Time Equivalent)]]),"")</f>
        <v>30</v>
      </c>
      <c r="OU71" s="30">
        <f>IFERROR(IF(DATA[[#This Row],[Registered manager: Numbers employed (Full Time Equivalent)]]=0,"",DATA[[#This Row],[Registered manager: Current 2021/22 Maximum hourly pay rate ADJUSTED 2]]*DATA[[#This Row],[Registered manager: Numbers employed (Full Time Equivalent)]]),"")</f>
        <v>30</v>
      </c>
      <c r="OV71" s="30">
        <f>IFERROR(IF(DATA[[#This Row],[Registered manager: Numbers employed (Full Time Equivalent)]]=0,"",DATA[[#This Row],[Registered manager: Previous 2020/21 Minimum hourly pay rate ADJUSTED 2]]*DATA[[#This Row],[Registered manager: Numbers employed (Full Time Equivalent)]]),"")</f>
        <v>36</v>
      </c>
      <c r="OW71" s="30">
        <f>IFERROR(IF(DATA[[#This Row],[Registered manager: Numbers employed (Full Time Equivalent)]]=0,"",DATA[[#This Row],[Registered manager: Previous 2020/21 Maximum hourly pay rate ADJUSTED 2]]*DATA[[#This Row],[Registered manager: Numbers employed (Full Time Equivalent)]]),"")</f>
        <v>36</v>
      </c>
      <c r="OX71" s="30" t="str">
        <f>IFERROR(IF(DATA[[#This Row],[Deputy manager: Numbers employed (Full Time Equivalent)]]=0,"",DATA[[#This Row],[Deputy manager: Current 2021/22 Minimum hourly pay rate ADJUSTED 2]]*DATA[[#This Row],[Deputy manager: Numbers employed (Full Time Equivalent)]]),"")</f>
        <v/>
      </c>
      <c r="OY71" s="30" t="str">
        <f>IFERROR(IF(DATA[[#This Row],[Deputy manager: Numbers employed (Full Time Equivalent)]]=0,"",DATA[[#This Row],[Deputy manager: Current 2021/22 Maximum hourly pay rate ADJUSTED 2]]*DATA[[#This Row],[Deputy manager: Numbers employed (Full Time Equivalent)]]),"")</f>
        <v/>
      </c>
      <c r="OZ71" s="30" t="str">
        <f>IFERROR(IF(DATA[[#This Row],[Deputy manager: Numbers employed (Full Time Equivalent)]]=0,"",DATA[[#This Row],[Deputy manager: Previous 2020/21 Minimum hourly pay rate ADJUSTED 2]]*DATA[[#This Row],[Deputy manager: Numbers employed (Full Time Equivalent)]]),"")</f>
        <v/>
      </c>
      <c r="PA71" s="30" t="str">
        <f>IFERROR(IF(DATA[[#This Row],[Deputy manager: Numbers employed (Full Time Equivalent)]]=0,"",DATA[[#This Row],[Deputy manager: Previous 2020/21 Maximum hourly pay rate ADJUSTED 2]]*DATA[[#This Row],[Deputy manager: Numbers employed (Full Time Equivalent)]]),"")</f>
        <v/>
      </c>
      <c r="PB71" s="30" t="str">
        <f>IFERROR(IF(DATA[[#This Row],[Other manager 1: Numbers employed (Full Time Equivalent)]]=0,"",DATA[[#This Row],[Other manager 1: Current 2021/22 Minimum hourly pay rate ADJUSTED 2]]*DATA[[#This Row],[Other manager 1: Numbers employed (Full Time Equivalent)]]),"")</f>
        <v/>
      </c>
      <c r="PC71" s="30" t="str">
        <f>IFERROR(IF(DATA[[#This Row],[Other manager 1: Numbers employed (Full Time Equivalent)]]=0,"",DATA[[#This Row],[Other manager 1: Current 2021/22 Maximum hourly pay rate ADJUSTED 2]]*DATA[[#This Row],[Other manager 1: Numbers employed (Full Time Equivalent)]]),"")</f>
        <v/>
      </c>
      <c r="PD71" s="30" t="str">
        <f>IFERROR(IF(DATA[[#This Row],[Other manager 1: Numbers employed (Full Time Equivalent)]]=0,"",DATA[[#This Row],[Other manager 1: Previous 2020/21 Minimum hourly pay rate ADJUSTED 2]]*DATA[[#This Row],[Other manager 1: Numbers employed (Full Time Equivalent)]]),"")</f>
        <v/>
      </c>
      <c r="PE71" s="30" t="str">
        <f>IFERROR(IF(DATA[[#This Row],[Other manager 1: Numbers employed (Full Time Equivalent)]]=0,"",DATA[[#This Row],[Other manager 1: Previous 2020/21 Maximum hourly pay rate ADJUSTED 2]]*DATA[[#This Row],[Other manager 1: Numbers employed (Full Time Equivalent)]]),"")</f>
        <v/>
      </c>
      <c r="PF71" s="30" t="str">
        <f>IFERROR(IF(DATA[[#This Row],[Other manager 2: Numbers employed (Full Time Equivalent)]]=0,"",DATA[[#This Row],[Other manager 2: Current 2021/22 Minimum hourly pay rate ADJUSTED 2]]*DATA[[#This Row],[Other manager 2: Numbers employed (Full Time Equivalent)]]),"")</f>
        <v/>
      </c>
      <c r="PG71" s="30" t="str">
        <f>IFERROR(IF(DATA[[#This Row],[Other manager 2: Numbers employed (Full Time Equivalent)]]=0,"",DATA[[#This Row],[Other manager 2: Current 2021/22 Maximum hourly pay rate ADJUSTED 2]]*DATA[[#This Row],[Other manager 2: Numbers employed (Full Time Equivalent)]]),"")</f>
        <v/>
      </c>
      <c r="PH71" s="30" t="str">
        <f>IFERROR(IF(DATA[[#This Row],[Other manager 2: Numbers employed (Full Time Equivalent)]]=0,"",DATA[[#This Row],[Other manager 2: Previous 2020/21 Minimum hourly pay rate ADJUSTED 2]]*DATA[[#This Row],[Other manager 2: Numbers employed (Full Time Equivalent)]]),"")</f>
        <v/>
      </c>
      <c r="PI71" s="30" t="str">
        <f>IFERROR(IF(DATA[[#This Row],[Other manager 2: Numbers employed (Full Time Equivalent)]]=0,"",DATA[[#This Row],[Other manager 2: Previous 2020/21 Maximum hourly pay rate ADJUSTED 2]]*DATA[[#This Row],[Other manager 2: Numbers employed (Full Time Equivalent)]]),"")</f>
        <v/>
      </c>
      <c r="PJ71" s="30" t="str">
        <f>IFERROR(IF(DATA[[#This Row],[Other manager 3: Numbers employed (Full Time Equivalent)]]=0,"",DATA[[#This Row],[Other manager 3: Current 2021/22 Minimum hourly pay rate ADJUSTED 2]]*DATA[[#This Row],[Other manager 3: Numbers employed (Full Time Equivalent)]]),"")</f>
        <v/>
      </c>
      <c r="PK71" s="30" t="str">
        <f>IFERROR(IF(DATA[[#This Row],[Other manager 3: Numbers employed (Full Time Equivalent)]]=0,"",DATA[[#This Row],[Other manager 3: Current 2021/22 Maximum hourly pay rate ADJUSTED 2]]*DATA[[#This Row],[Other manager 3: Numbers employed (Full Time Equivalent)]]),"")</f>
        <v/>
      </c>
      <c r="PL71" s="30" t="str">
        <f>IFERROR(IF(DATA[[#This Row],[Other manager 3: Numbers employed (Full Time Equivalent)]]=0,"",DATA[[#This Row],[Other manager 3: Previous 2020/21 Minimum hourly pay rate ADJUSTED 2]]*DATA[[#This Row],[Other manager 3: Numbers employed (Full Time Equivalent)]]),"")</f>
        <v/>
      </c>
      <c r="PM71" s="30" t="str">
        <f>IFERROR(IF(DATA[[#This Row],[Other manager 3: Numbers employed (Full Time Equivalent)]]=0,"",DATA[[#This Row],[Other manager 3: Previous 2020/21 Maximum hourly pay rate ADJUSTED 2]]*DATA[[#This Row],[Other manager 3: Numbers employed (Full Time Equivalent)]]),"")</f>
        <v/>
      </c>
      <c r="PN71" s="30">
        <f>IFERROR(IF(DATA[[#This Row],[Care Assistant 1: Numbers employed (Full Time Equivalent)]]=0,"",DATA[[#This Row],[Care Assistant 1: Current 2021/22 Minimum hourly pay rate ADJUSTED 2]]*DATA[[#This Row],[Care Assistant 1: Numbers employed (Full Time Equivalent)]]),"")</f>
        <v>72</v>
      </c>
      <c r="PO71" s="30">
        <f>IFERROR(IF(DATA[[#This Row],[Care Assistant 1: Numbers employed (Full Time Equivalent)]]=0,"",DATA[[#This Row],[Care Assistant 1: Current 2021/22 Maximum hourly pay rate ADJUSTED 2]]*DATA[[#This Row],[Care Assistant 1: Numbers employed (Full Time Equivalent)]]),"")</f>
        <v>72</v>
      </c>
      <c r="PP71" s="30">
        <f>IFERROR(IF(DATA[[#This Row],[Care Assistant 1: Numbers employed (Full Time Equivalent)]]=0,"",DATA[[#This Row],[Care Assistant 1: Previous 2020/21 Minimum hourly pay rate ADJUSTED 2]]*DATA[[#This Row],[Care Assistant 1: Numbers employed (Full Time Equivalent)]]),"")</f>
        <v>72</v>
      </c>
      <c r="PQ71" s="30">
        <f>IFERROR(IF(DATA[[#This Row],[Care Assistant 1: Numbers employed (Full Time Equivalent)]]=0,"",DATA[[#This Row],[Care Assistant 1: Previous 2020/21 Maximum hourly pay rate ADJUSTED 2]]*DATA[[#This Row],[Care Assistant 1: Numbers employed (Full Time Equivalent)]]),"")</f>
        <v>76</v>
      </c>
      <c r="PR71" s="30" t="str">
        <f>IFERROR(IF(DATA[[#This Row],[Care Assistant 2: Numbers employed (Full Time Equivalent)]]=0,"",DATA[[#This Row],[Care Assistant 2: Current 2021/22 Minimum hourly pay rate ADJUSTED 2]]*DATA[[#This Row],[Care Assistant 2: Numbers employed (Full Time Equivalent)]]),"")</f>
        <v/>
      </c>
      <c r="PS71" s="30" t="str">
        <f>IFERROR(IF(DATA[[#This Row],[Care Assistant 2: Numbers employed (Full Time Equivalent)]]=0,"",DATA[[#This Row],[Care Assistant 2: Current 2021/22 Maximum hourly pay rate ADJUSTED 2]]*DATA[[#This Row],[Care Assistant 2: Numbers employed (Full Time Equivalent)]]),"")</f>
        <v/>
      </c>
      <c r="PT71" s="30" t="str">
        <f>IFERROR(IF(DATA[[#This Row],[Care Assistant 2: Numbers employed (Full Time Equivalent)]]=0,"",DATA[[#This Row],[Care Assistant 2: Previous 2020/21 Minimum hourly pay rate ADJUSTED 2]]*DATA[[#This Row],[Care Assistant 2: Numbers employed (Full Time Equivalent)]]),"")</f>
        <v/>
      </c>
      <c r="PU71" s="30" t="str">
        <f>IFERROR(IF(DATA[[#This Row],[Care Assistant 2: Numbers employed (Full Time Equivalent)]]=0,"",DATA[[#This Row],[Care Assistant 2: Previous 2020/21 Maximum hourly pay rate ADJUSTED 2]]*DATA[[#This Row],[Care Assistant 2: Numbers employed (Full Time Equivalent)]]),"")</f>
        <v/>
      </c>
      <c r="PV71" s="30" t="str">
        <f>IFERROR(IF(DATA[[#This Row],[Care Assistant 3: Numbers employed (Full Time Equivalent)]]=0,"",DATA[[#This Row],[Care Assistant 3: Current 2021/22 Minimum hourly pay rate ADJUSTED 2]]*DATA[[#This Row],[Care Assistant 3: Numbers employed (Full Time Equivalent)]]),"")</f>
        <v/>
      </c>
      <c r="PW71" s="30" t="str">
        <f>IFERROR(IF(DATA[[#This Row],[Care Assistant 3: Numbers employed (Full Time Equivalent)]]=0,"",DATA[[#This Row],[Care Assistant 3: Current 2021/22 Maximum hourly pay rate ADJUSTED 2]]*DATA[[#This Row],[Care Assistant 3: Numbers employed (Full Time Equivalent)]]),"")</f>
        <v/>
      </c>
      <c r="PX71" s="30" t="str">
        <f>IFERROR(IF(DATA[[#This Row],[Care Assistant 3: Numbers employed (Full Time Equivalent)]]=0,"",DATA[[#This Row],[Care Assistant 3: Previous 2020/21 Minimum hourly pay rate ADJUSTED 2]]*DATA[[#This Row],[Care Assistant 3: Numbers employed (Full Time Equivalent)]]),"")</f>
        <v/>
      </c>
      <c r="PY71" s="30" t="str">
        <f>IFERROR(IF(DATA[[#This Row],[Care Assistant 3: Numbers employed (Full Time Equivalent)]]=0,"",DATA[[#This Row],[Care Assistant 3: Previous 2020/21 Maximum hourly pay rate ADJUSTED 2]]*DATA[[#This Row],[Care Assistant 3: Numbers employed (Full Time Equivalent)]]),"")</f>
        <v/>
      </c>
      <c r="PZ71" s="30" t="str">
        <f>IFERROR(IF(DATA[[#This Row],[Care Assistant 4: Numbers employed (Full Time Equivalent)]]=0,"",DATA[[#This Row],[Care Assistant 4: Current 2021/22 Minimum hourly pay rate ADJUSTED 2]]*DATA[[#This Row],[Care Assistant 4: Numbers employed (Full Time Equivalent)]]),"")</f>
        <v/>
      </c>
      <c r="QA71" s="30" t="str">
        <f>IFERROR(IF(DATA[[#This Row],[Care Assistant 4: Numbers employed (Full Time Equivalent)]]=0,"",DATA[[#This Row],[Care Assistant 4: Current 2021/22 Maximum hourly pay rate ADJUSTED 2]]*DATA[[#This Row],[Care Assistant 4: Numbers employed (Full Time Equivalent)]]),"")</f>
        <v/>
      </c>
      <c r="QB71" s="30" t="str">
        <f>IFERROR(IF(DATA[[#This Row],[Care Assistant 4: Numbers employed (Full Time Equivalent)]]=0,"",DATA[[#This Row],[Care Assistant 4: Previous 2020/21 Minimum hourly pay rate ADJUSTED 2]]*DATA[[#This Row],[Care Assistant 4: Numbers employed (Full Time Equivalent)]]),"")</f>
        <v/>
      </c>
      <c r="QC71" s="30" t="str">
        <f>IFERROR(IF(DATA[[#This Row],[Care Assistant 4: Numbers employed (Full Time Equivalent)]]=0,"",DATA[[#This Row],[Care Assistant 4: Previous 2020/21 Maximum hourly pay rate ADJUSTED 2]]*DATA[[#This Row],[Care Assistant 4: Numbers employed (Full Time Equivalent)]]),"")</f>
        <v/>
      </c>
      <c r="QD71" s="30" t="str">
        <f>IFERROR(IF(DATA[[#This Row],[Administrative Officer 1: Numbers employed (Full Time Equivalent)]]=0,"",DATA[[#This Row],[Administrative Officer 1: Current 2021/22 Minimum hourly pay rate ADJUSTED 2]]*DATA[[#This Row],[Administrative Officer 1: Numbers employed (Full Time Equivalent)]]),"")</f>
        <v/>
      </c>
      <c r="QE71" s="30" t="str">
        <f>IFERROR(IF(DATA[[#This Row],[Administrative Officer 1: Numbers employed (Full Time Equivalent)]]=0,"",DATA[[#This Row],[Administrative Officer 1: Current 2021/22 Maximum hourly pay rate ADJUSTED 2]]*DATA[[#This Row],[Administrative Officer 1: Numbers employed (Full Time Equivalent)]]),"")</f>
        <v/>
      </c>
      <c r="QF71" s="30" t="str">
        <f>IFERROR(IF(DATA[[#This Row],[Administrative Officer 1: Numbers employed (Full Time Equivalent)]]=0,"",DATA[[#This Row],[Administrative Officer 1: Previous 2020/21 Minimum hourly pay rate ADJUSTED 2]]*DATA[[#This Row],[Administrative Officer 1: Numbers employed (Full Time Equivalent)]]),"")</f>
        <v/>
      </c>
      <c r="QG71" s="30" t="str">
        <f>IFERROR(IF(DATA[[#This Row],[Administrative Officer 1: Numbers employed (Full Time Equivalent)]]=0,"",DATA[[#This Row],[Administrative Officer 1: Previous 2020/21 Maximum hourly pay rate ADJUSTED 2]]*DATA[[#This Row],[Administrative Officer 1: Numbers employed (Full Time Equivalent)]]),"")</f>
        <v/>
      </c>
      <c r="QH71" s="30" t="str">
        <f>IFERROR(IF(DATA[[#This Row],[Administrative Officer 2: Numbers employed (Full Time Equivalent)]]=0,"",DATA[[#This Row],[Administrative Officer 2: Current 2021/22 Minimum hourly pay rate ADJUSTED 2]]*DATA[[#This Row],[Administrative Officer 2: Numbers employed (Full Time Equivalent)]]),"")</f>
        <v/>
      </c>
      <c r="QI71" s="30" t="str">
        <f>IFERROR(IF(DATA[[#This Row],[Administrative Officer 2: Numbers employed (Full Time Equivalent)]]=0,"",DATA[[#This Row],[Administrative Officer 2: Current 2021/22 Maximum hourly pay rate ADJUSTED 2]]*DATA[[#This Row],[Administrative Officer 2: Numbers employed (Full Time Equivalent)]]),"")</f>
        <v/>
      </c>
      <c r="QJ71" s="30" t="str">
        <f>IFERROR(IF(DATA[[#This Row],[Administrative Officer 2: Numbers employed (Full Time Equivalent)]]=0,"",DATA[[#This Row],[Administrative Officer 2: Previous 2020/21 Minimum hourly pay rate ADJUSTED 2]]*DATA[[#This Row],[Administrative Officer 2: Numbers employed (Full Time Equivalent)]]),"")</f>
        <v/>
      </c>
      <c r="QK71" s="30" t="str">
        <f>IFERROR(IF(DATA[[#This Row],[Administrative Officer 2: Numbers employed (Full Time Equivalent)]]=0,"",DATA[[#This Row],[Administrative Officer 2: Previous 2020/21 Maximum hourly pay rate ADJUSTED 2]]*DATA[[#This Row],[Administrative Officer 2: Numbers employed (Full Time Equivalent)]]),"")</f>
        <v/>
      </c>
      <c r="QL71" s="30" t="str">
        <f>IFERROR(IF(DATA[[#This Row],[Administrative Officer 3: Numbers employed (Full Time Equivalent)]]=0,"",DATA[[#This Row],[Administrative Officer 3: Current 2021/22 Minimum hourly pay rate ADJUSTED 2]]*DATA[[#This Row],[Administrative Officer 3: Numbers employed (Full Time Equivalent)]]),"")</f>
        <v/>
      </c>
      <c r="QM71" s="30" t="str">
        <f>IFERROR(IF(DATA[[#This Row],[Administrative Officer 3: Numbers employed (Full Time Equivalent)]]=0,"",DATA[[#This Row],[Administrative Officer 3: Current 2021/22 Maximum hourly pay rate ADJUSTED 2]]*DATA[[#This Row],[Administrative Officer 3: Numbers employed (Full Time Equivalent)]]),"")</f>
        <v/>
      </c>
      <c r="QN71" s="30" t="str">
        <f>IFERROR(IF(DATA[[#This Row],[Administrative Officer 3: Numbers employed (Full Time Equivalent)]]=0,"",DATA[[#This Row],[Administrative Officer 3: Previous 2020/21 Minimum hourly pay rate ADJUSTED 2]]*DATA[[#This Row],[Administrative Officer 3: Numbers employed (Full Time Equivalent)]]),"")</f>
        <v/>
      </c>
      <c r="QO71" s="30" t="str">
        <f>IFERROR(IF(DATA[[#This Row],[Administrative Officer 3: Numbers employed (Full Time Equivalent)]]=0,"",DATA[[#This Row],[Administrative Officer 3: Previous 2020/21 Maximum hourly pay rate ADJUSTED 2]]*DATA[[#This Row],[Administrative Officer 3: Numbers employed (Full Time Equivalent)]]),"")</f>
        <v/>
      </c>
      <c r="QP71" s="28" t="str">
        <f>IFERROR(IF(DATA[[#This Row],[Other staff 1: Numbers employed (Full Time Equivalent)]]=0,"",DATA[[#This Row],[Other staff 1: Current 2021/22 Minimum hourly pay rate ADJUSTED 2]]*DATA[[#This Row],[Other staff 1: Numbers employed (Full Time Equivalent)]]),"")</f>
        <v/>
      </c>
      <c r="QQ71" s="28" t="str">
        <f>IFERROR(IF(DATA[[#This Row],[Other staff 1: Numbers employed (Full Time Equivalent)]]=0,"",DATA[[#This Row],[Other staff 1: Current 2021/22 Maximum hourly pay rate ADJUSTED 2]]*DATA[[#This Row],[Other staff 1: Numbers employed (Full Time Equivalent)]]),"")</f>
        <v/>
      </c>
      <c r="QR71" s="28" t="str">
        <f>IFERROR(IF(DATA[[#This Row],[Other staff 1: Numbers employed (Full Time Equivalent)]]=0,"",DATA[[#This Row],[Other staff 1: Previous 2020/21 Minimum hourly pay rate ADJUSTED 2]]*DATA[[#This Row],[Other staff 1: Numbers employed (Full Time Equivalent)]]),"")</f>
        <v/>
      </c>
      <c r="QS71" s="28" t="str">
        <f>IFERROR(IF(DATA[[#This Row],[Other staff 1: Numbers employed (Full Time Equivalent)]]=0,"",DATA[[#This Row],[Other staff 1: Previous 2020/21 Maximum hourly pay rate ADJUSTED 2]]*DATA[[#This Row],[Other staff 1: Numbers employed (Full Time Equivalent)]]),"")</f>
        <v/>
      </c>
      <c r="QT71" s="28" t="str">
        <f>IFERROR(IF(DATA[[#This Row],[Other staff 2: Numbers employed (Full Time Equivalent)]]=0,"",DATA[[#This Row],[Other staff 2: Current 2021/22 Minimum hourly pay rate ADJUSTED 2]]*DATA[[#This Row],[Other staff 2: Numbers employed (Full Time Equivalent)]]),"")</f>
        <v/>
      </c>
      <c r="QU71" s="28" t="str">
        <f>IFERROR(IF(DATA[[#This Row],[Other staff 2: Numbers employed (Full Time Equivalent)]]=0,"",DATA[[#This Row],[Other staff 2: Current 2021/22 Maximum hourly pay rate ADJUSTED 2]]*DATA[[#This Row],[Other staff 2: Numbers employed (Full Time Equivalent)]]),"")</f>
        <v/>
      </c>
      <c r="QV71" s="28" t="str">
        <f>IFERROR(IF(DATA[[#This Row],[Other staff 2: Numbers employed (Full Time Equivalent)]]=0,"",DATA[[#This Row],[Other staff 2: Previous 2020/21 Minimum hourly pay rate ADJUSTED 2]]*DATA[[#This Row],[Other staff 2: Numbers employed (Full Time Equivalent)]]),"")</f>
        <v/>
      </c>
      <c r="QW71" s="28" t="str">
        <f>IFERROR(IF(DATA[[#This Row],[Other staff 2: Numbers employed (Full Time Equivalent)]]=0,"",DATA[[#This Row],[Other staff 2: Previous 2020/21 Maximum hourly pay rate ADJUSTED 2]]*DATA[[#This Row],[Other staff 2: Numbers employed (Full Time Equivalent)]]),"")</f>
        <v/>
      </c>
      <c r="QX71" s="28" t="str">
        <f>IFERROR(IF(DATA[[#This Row],[Other staff 3: Numbers employed (Full Time Equivalent)]]=0,"",DATA[[#This Row],[Other staff 3: Current 2021/22 Minimum hourly pay rate ADJUSTED 2]]*DATA[[#This Row],[Other staff 3: Numbers employed (Full Time Equivalent)]]),"")</f>
        <v/>
      </c>
      <c r="QY71" s="28" t="str">
        <f>IFERROR(IF(DATA[[#This Row],[Other staff 3: Numbers employed (Full Time Equivalent)]]=0,"",DATA[[#This Row],[Other staff 3: Current 2021/22 Maximum hourly pay rate ADJUSTED 2]]*DATA[[#This Row],[Other staff 3: Numbers employed (Full Time Equivalent)]]),"")</f>
        <v/>
      </c>
      <c r="QZ71" s="28" t="str">
        <f>IFERROR(IF(DATA[[#This Row],[Other staff 3: Numbers employed (Full Time Equivalent)]]=0,"",DATA[[#This Row],[Other staff 3: Previous 2020/21 Minimum hourly pay rate ADJUSTED 2]]*DATA[[#This Row],[Other staff 3: Numbers employed (Full Time Equivalent)]]),"")</f>
        <v/>
      </c>
      <c r="RA71" s="28" t="str">
        <f>IFERROR(IF(DATA[[#This Row],[Other staff 3: Numbers employed (Full Time Equivalent)]]=0,"",DATA[[#This Row],[Other staff 3: Previous 2020/21 Maximum hourly pay rate ADJUSTED 2]]*DATA[[#This Row],[Other staff 3: Numbers employed (Full Time Equivalent)]]),"")</f>
        <v/>
      </c>
      <c r="RB71"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3</v>
      </c>
      <c r="RC71"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71"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71"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71"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1"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8</v>
      </c>
      <c r="RH71"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71"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1"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1"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71"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1"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1"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1"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1"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2" spans="7:484" x14ac:dyDescent="0.25">
      <c r="G72" s="2">
        <v>66</v>
      </c>
      <c r="H72" s="2">
        <v>0</v>
      </c>
      <c r="I72" s="2">
        <v>4</v>
      </c>
      <c r="AB72" s="2" t="s">
        <v>560</v>
      </c>
      <c r="AC72" s="2">
        <v>16.12</v>
      </c>
      <c r="AD72" s="2">
        <v>17.88</v>
      </c>
      <c r="AE72" s="2">
        <v>0</v>
      </c>
      <c r="AF72" s="2">
        <v>0</v>
      </c>
      <c r="AG72" s="2">
        <v>0.33</v>
      </c>
      <c r="AH72" s="2"/>
      <c r="AI72" s="2">
        <v>0</v>
      </c>
      <c r="AJ72" s="2">
        <v>0</v>
      </c>
      <c r="AK72" s="2">
        <v>0</v>
      </c>
      <c r="AL72" s="2">
        <v>0</v>
      </c>
      <c r="AM72" s="2"/>
      <c r="AN72" s="2"/>
      <c r="AO72" s="2"/>
      <c r="AP72" s="2"/>
      <c r="AQ72" s="2"/>
      <c r="AR72" s="2"/>
      <c r="AS72" s="2"/>
      <c r="AT72" s="2" t="s">
        <v>389</v>
      </c>
      <c r="AU72" s="2">
        <v>9.3000000000000007</v>
      </c>
      <c r="AV72" s="2">
        <v>9.64</v>
      </c>
      <c r="AW72" s="2">
        <v>0</v>
      </c>
      <c r="AX72" s="2">
        <v>0</v>
      </c>
      <c r="AY72" s="2">
        <v>6.44</v>
      </c>
      <c r="AZ72" s="2" t="s">
        <v>586</v>
      </c>
      <c r="BA72" s="2"/>
      <c r="BB72" s="2"/>
      <c r="BC72" s="2"/>
      <c r="BD72" s="2"/>
      <c r="BE72" s="2">
        <v>1.74</v>
      </c>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v>0</v>
      </c>
      <c r="DD72" s="2">
        <v>0</v>
      </c>
      <c r="DE72" s="2">
        <v>0</v>
      </c>
      <c r="DF72" s="2">
        <v>0</v>
      </c>
      <c r="DG72" s="2">
        <v>0</v>
      </c>
      <c r="DH72" s="2">
        <v>0</v>
      </c>
      <c r="DI72" s="2">
        <v>0</v>
      </c>
      <c r="DJ72" s="2">
        <v>0</v>
      </c>
      <c r="DK72" s="2">
        <v>0</v>
      </c>
      <c r="DL72" s="2">
        <v>0</v>
      </c>
      <c r="DM72" s="2">
        <v>0</v>
      </c>
      <c r="DN72" s="2">
        <v>0</v>
      </c>
      <c r="DO72" s="2">
        <v>0</v>
      </c>
      <c r="DP72" s="2">
        <v>0</v>
      </c>
      <c r="DQ72" s="2">
        <v>0</v>
      </c>
      <c r="DR72" s="18">
        <v>43922</v>
      </c>
      <c r="DS72" s="18">
        <v>44286</v>
      </c>
      <c r="DT72" s="2">
        <v>0</v>
      </c>
      <c r="DU72" s="2">
        <v>14789.0139</v>
      </c>
      <c r="DV72" s="2">
        <v>250865.98620000001</v>
      </c>
      <c r="DW72" s="2">
        <v>0</v>
      </c>
      <c r="DX72" s="2">
        <v>0</v>
      </c>
      <c r="DY72" s="2">
        <v>903</v>
      </c>
      <c r="DZ72" s="2">
        <v>1630</v>
      </c>
      <c r="EA72" s="2">
        <v>0</v>
      </c>
      <c r="EB72" s="2">
        <v>0</v>
      </c>
      <c r="EC72" s="2">
        <v>0</v>
      </c>
      <c r="ED72" s="2">
        <v>0</v>
      </c>
      <c r="EE72" s="2">
        <v>0</v>
      </c>
      <c r="EF72" s="2">
        <v>0</v>
      </c>
      <c r="EG72" s="2">
        <v>1219</v>
      </c>
      <c r="EH72" s="2" t="s">
        <v>324</v>
      </c>
      <c r="EI72" s="2">
        <v>0</v>
      </c>
      <c r="EJ72" s="2" t="s">
        <v>324</v>
      </c>
      <c r="EK72" s="2">
        <v>0</v>
      </c>
      <c r="EL72" s="2">
        <v>2075</v>
      </c>
      <c r="EM72" s="2">
        <v>5112</v>
      </c>
      <c r="EN72" s="2">
        <v>1869</v>
      </c>
      <c r="EO72" s="2">
        <v>0</v>
      </c>
      <c r="EP72" s="2">
        <v>0</v>
      </c>
      <c r="EQ72" s="2">
        <v>0</v>
      </c>
      <c r="ER72" s="2">
        <v>0</v>
      </c>
      <c r="ES72" s="2">
        <v>8413</v>
      </c>
      <c r="ET72" s="2" t="s">
        <v>587</v>
      </c>
      <c r="EU72" s="2">
        <v>7361</v>
      </c>
      <c r="EV72" s="2" t="s">
        <v>588</v>
      </c>
      <c r="EW72" s="2">
        <v>16901</v>
      </c>
      <c r="EX72" s="2">
        <v>3190.1</v>
      </c>
      <c r="EY72" s="2">
        <v>28710.9</v>
      </c>
      <c r="EZ72" s="2" t="s">
        <v>326</v>
      </c>
      <c r="FA72" s="2">
        <v>0</v>
      </c>
      <c r="FB72" s="2" t="s">
        <v>326</v>
      </c>
      <c r="FC72" s="2">
        <v>0</v>
      </c>
      <c r="FD72" s="2"/>
      <c r="FE72" s="2">
        <v>0</v>
      </c>
      <c r="FF72" s="2">
        <v>0</v>
      </c>
      <c r="FG72" s="2"/>
      <c r="FH72" s="19">
        <v>44480.627511574072</v>
      </c>
      <c r="FI72" s="2" t="s">
        <v>345</v>
      </c>
      <c r="FJ72" s="2">
        <f>SUM(DATA[[#This Row],[Number of Home support clients:]],DATA[[#This Row],[Number of supported living clients:]])</f>
        <v>4</v>
      </c>
      <c r="FK72"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72" s="2" t="str">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
      </c>
      <c r="FM72" s="2" t="str">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
      </c>
      <c r="FN72"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72"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72"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72"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72"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72"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72"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16.12</v>
      </c>
      <c r="FU72"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17.88</v>
      </c>
      <c r="FV72"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72"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72"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72"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72"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2"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2"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2"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2"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2"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2"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9.3000000000000007</v>
      </c>
      <c r="GG72"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9.64</v>
      </c>
      <c r="GH72"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72"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72"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72"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72"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72"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72"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72"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72"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2"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2"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72"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72"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2"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2"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72"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72"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72"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72"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2"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2"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2"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2"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2"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2"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2"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2"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2"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2"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2"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2"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2"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2"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2"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2"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2"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2"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2"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2" s="2" t="str">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
      </c>
      <c r="HU72" s="2" t="str">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
      </c>
      <c r="HV72" s="2" t="str">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
      </c>
      <c r="HW72" s="2" t="str">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
      </c>
      <c r="HX72"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72"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72"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72"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72"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16.12</v>
      </c>
      <c r="IC72"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17.88</v>
      </c>
      <c r="ID72"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16.12</v>
      </c>
      <c r="IE72"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17.88</v>
      </c>
      <c r="IF72"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72"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72"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72"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72"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2"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2"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2"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2"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9.3000000000000007</v>
      </c>
      <c r="IO72"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9.64</v>
      </c>
      <c r="IP72"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9.3000000000000007</v>
      </c>
      <c r="IQ72"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9.64</v>
      </c>
      <c r="IR72"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72"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72"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72"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72"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72"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72"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72"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72"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72"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72"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72"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72"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72"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72"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72"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72"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2"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2"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2"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2"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2"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2"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2"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2"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2"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2"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2"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2"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2"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2"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2"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2"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2"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2"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2"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2"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0.33</v>
      </c>
      <c r="KC72" s="21">
        <f>SUM(DATA[[#This Row],[Care Assistant 1: Numbers employed (Full Time Equivalent)]],DATA[[#This Row],[Care Assistant 2: Numbers employed (Full Time Equivalent)]],DATA[[#This Row],[Care Assistant 3: Numbers employed (Full Time Equivalent)]],DATA[[#This Row],[Care Assistant 4: Numbers employed (Full Time Equivalent)]])</f>
        <v>8.18</v>
      </c>
      <c r="KD72" s="21">
        <f>SUM(DATA[[#This Row],[Administrative Officer 1: Numbers employed (Full Time Equivalent)]],DATA[[#This Row],[Administrative Officer 2: Numbers employed (Full Time Equivalent)]])</f>
        <v>0</v>
      </c>
      <c r="KE72" s="21">
        <f>SUM(DATA[[#This Row],[Other staff 1: Numbers employed (Full Time Equivalent)]],DATA[[#This Row],[Other staff 2: Numbers employed (Full Time Equivalent)]],DATA[[#This Row],[Other staff 3: Numbers employed (Full Time Equivalent)]])</f>
        <v>0</v>
      </c>
      <c r="KF72" s="21">
        <f>SUM(DATA[[#This Row],[Total FTE Management Employees]:[Total FTE Other Employees]])</f>
        <v>8.51</v>
      </c>
      <c r="KG72" s="21" t="str">
        <f>IF(SUM(DATA[[#This Row],[Home Support service split percentage (Expenditure):]],DATA[[#This Row],[Supported Living service split percentage (Expenditure):]])&gt;0, IF(DATA[[#This Row],[Home Support service split percentage (Expenditure):]]&gt;0.5,"Home Support","Supported Living"), "Unknown")</f>
        <v>Unknown</v>
      </c>
      <c r="KH72" s="21">
        <f>SUM(DATA[[#This Row],[Home Support: Birmingham City Council]:[Home Support: Self-funded]])</f>
        <v>0</v>
      </c>
      <c r="KI72" s="21">
        <f>SUM(DATA[[#This Row],[Supported Living: Birmingham City Council]:[Supported Living: Self-funded]])</f>
        <v>0</v>
      </c>
      <c r="KJ72"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2"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2"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2"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2" s="21" t="b">
        <f>SUM(DATA[[#This Row],[Number of hours of care charged for in last full accounting year]:[Corporate Overheads: Other  - please specify (category) 1]])&gt;0</f>
        <v>1</v>
      </c>
      <c r="KO72" s="21">
        <f>SUM(DATA[[#This Row],[Total annual expenditure: Management staff]:[Total annual expenditure: Training and development]])</f>
        <v>268188.0001</v>
      </c>
      <c r="KP72" s="21">
        <f>SUM(DATA[[#This Row],[Recruitment &amp; advertising (including DBS checks)]:[Non-Staffing Direct Cost: Other  - please specify (amount) 2]])</f>
        <v>1219</v>
      </c>
      <c r="KQ72" s="21">
        <f>SUM(DATA[[#This Row],[Insurance ]:[Indirect costs: Other 2 - please specify (amount)]])</f>
        <v>41731</v>
      </c>
      <c r="KR72" s="21">
        <f>SUM(DATA[[#This Row],[Central / Regional Management]],DATA[[#This Row],[Support Services (finance / HR / Payroll / legal etc.)]],DATA[[#This Row],[Corporate Overheads: Other  - please specify (amount) 1]],DATA[[#This Row],[Corporate Overheads: Other  - please specify (amount) 2]])</f>
        <v>31901</v>
      </c>
      <c r="KS72"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72"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72"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72"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72"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72"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72"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2"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72"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72"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72" s="30">
        <f>IF(OR(NOT(DATA[[#This Row],[Care consumables &amp; uniforms]]&gt;0),NOT(DATA[[#This Row],[Number of hours of care charged for in last full accounting year]]&gt;0)),0,DATA[[#This Row],[Care consumables &amp; uniforms]]/DATA[[#This Row],[Number of hours of care charged for in last full accounting year]])</f>
        <v>0</v>
      </c>
      <c r="LD72" s="30">
        <f>IF(OR(NOT(DATA[[#This Row],[Electronic call monitoring]]&gt;0),NOT(DATA[[#This Row],[Number of hours of care charged for in last full accounting year]]&gt;0)),0,DATA[[#This Row],[Electronic call monitoring]]/DATA[[#This Row],[Number of hours of care charged for in last full accounting year]])</f>
        <v>0</v>
      </c>
      <c r="LE72" s="30">
        <f>IF(OR(NOT(DATA[[#This Row],[IT Equipment &amp; Telephoney]]&gt;0),NOT(DATA[[#This Row],[Number of hours of care charged for in last full accounting year]]&gt;0)),0,DATA[[#This Row],[IT Equipment &amp; Telephoney]]/DATA[[#This Row],[Number of hours of care charged for in last full accounting year]])</f>
        <v>0</v>
      </c>
      <c r="LF72"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72"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2" s="30">
        <f>IF(OR(NOT(DATA[[#This Row],[Insurance ]]&gt;0),NOT(DATA[[#This Row],[Number of hours of care charged for in last full accounting year]]&gt;0)),0,DATA[[#This Row],[Insurance ]]/DATA[[#This Row],[Number of hours of care charged for in last full accounting year]])</f>
        <v>0</v>
      </c>
      <c r="LI72"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72" s="30">
        <f>IF(OR(NOT(DATA[[#This Row],[Repairs and maintenance]]&gt;0),NOT(DATA[[#This Row],[Number of hours of care charged for in last full accounting year]]&gt;0)),0,DATA[[#This Row],[Repairs and maintenance]]/DATA[[#This Row],[Number of hours of care charged for in last full accounting year]])</f>
        <v>0</v>
      </c>
      <c r="LK72"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72" s="30">
        <f>IF(OR(NOT(DATA[[#This Row],[Registration &amp; Inspection fees ]]&gt;0),NOT(DATA[[#This Row],[Number of hours of care charged for in last full accounting year]]&gt;0)),0,DATA[[#This Row],[Registration &amp; Inspection fees ]]/DATA[[#This Row],[Number of hours of care charged for in last full accounting year]])</f>
        <v>0</v>
      </c>
      <c r="LM72" s="30">
        <f>IF(OR(NOT(DATA[[#This Row],[Subscriptions]]&gt;0),NOT(DATA[[#This Row],[Number of hours of care charged for in last full accounting year]]&gt;0)),0,DATA[[#This Row],[Subscriptions]]/DATA[[#This Row],[Number of hours of care charged for in last full accounting year]])</f>
        <v>0</v>
      </c>
      <c r="LN72" s="30">
        <f>IF(OR(NOT(DATA[[#This Row],[Cost of finance]]&gt;0),NOT(DATA[[#This Row],[Number of hours of care charged for in last full accounting year]]&gt;0)),0,DATA[[#This Row],[Cost of finance]]/DATA[[#This Row],[Number of hours of care charged for in last full accounting year]])</f>
        <v>0</v>
      </c>
      <c r="LO72" s="30">
        <f>IF(OR(NOT(DATA[[#This Row],[Other non-staff current expenses]]&gt;0),NOT(DATA[[#This Row],[Number of hours of care charged for in last full accounting year]]&gt;0)),0,DATA[[#This Row],[Other non-staff current expenses]]/DATA[[#This Row],[Number of hours of care charged for in last full accounting year]])</f>
        <v>0</v>
      </c>
      <c r="LP72"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72"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2" s="30">
        <f>IF(OR(NOT(DATA[[#This Row],[Central / Regional Management]]&gt;0),NOT(DATA[[#This Row],[Number of hours of care charged for in last full accounting year]]&gt;0)),0,DATA[[#This Row],[Central / Regional Management]]/DATA[[#This Row],[Number of hours of care charged for in last full accounting year]])</f>
        <v>0</v>
      </c>
      <c r="LS72"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72"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2"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2" s="30">
        <f>SUM(DATA[[#This Row],[Management staff HOURLY RATE]:[Corporate Overheads: Other  - please specify (amount) 2 HOURLY RATE]])</f>
        <v>0</v>
      </c>
      <c r="LW72" s="30" t="str">
        <f>IF(OR(NOT(DATA[[#This Row],[Net Operating Profit]]&gt;0),NOT(DATA[[#This Row],[Number of hours of care charged for in last full accounting year]]&gt;0)),"",DATA[[#This Row],[Net Operating Profit]]/DATA[[#This Row],[Number of hours of care charged for in last full accounting year]])</f>
        <v/>
      </c>
      <c r="LX72" s="30">
        <f>IF(OR(NOT(DATA[[#This Row],[Return on Capital employed]]&gt;0),NOT(DATA[[#This Row],[Number of hours of care charged for in last full accounting year]]&gt;0)),0,DATA[[#This Row],[Return on Capital employed]]/DATA[[#This Row],[Number of hours of care charged for in last full accounting year]])</f>
        <v>0</v>
      </c>
      <c r="LY72" s="31">
        <v>67</v>
      </c>
      <c r="LZ72" s="30" t="s">
        <v>345</v>
      </c>
      <c r="MA72" s="30" t="b">
        <f>DATA[[#This Row],[Number of Home support clients:]]&gt;0</f>
        <v>0</v>
      </c>
      <c r="MB72" s="30" t="b">
        <f>DATA[[#This Row],[Number of supported living clients:]]&gt;0</f>
        <v>1</v>
      </c>
      <c r="MC72" s="30" t="b">
        <f>DATA[[#This Row],[Total Home Support Hours]]&gt;0</f>
        <v>0</v>
      </c>
      <c r="MD72" s="30" t="b">
        <f>DATA[[#This Row],[Total Supported Living Hours]]&gt;0</f>
        <v>0</v>
      </c>
      <c r="ME72" s="30" t="b">
        <f>DATA[[#This Row],[Home Support service split percentage (Expenditure):]]&gt;0.5</f>
        <v>0</v>
      </c>
      <c r="MF72" s="30" t="b">
        <f>DATA[[#This Row],[Agency staff HOURLY RATE]]=0</f>
        <v>1</v>
      </c>
      <c r="MG72" s="30" t="str">
        <f>IFERROR(IF(AVERAGE(DATA[[#This Row],[Registered manager: Current 2021/22 Minimum hourly pay rate ADJUSTED]],DATA[[#This Row],[Registered manager: Current 2021/22 Maximum hourly pay rate ADJUSTED]])&lt;LIVING_WAGE_22_23,DATA[[#This Row],[Registered manager: Numbers employed (Full Time Equivalent)]],0),"")</f>
        <v/>
      </c>
      <c r="MH72" s="30" t="str">
        <f>IFERROR(IF(AVERAGE(DATA[[#This Row],[Deputy manager: Current 2021/22 Minimum hourly pay rate ADJUSTED]],DATA[[#This Row],[Deputy manager: Current 2021/22 Maximum hourly pay rate ADJUSTED]])&lt;LIVING_WAGE_22_23,DATA[[#This Row],[Deputy manager: Numbers employed (Full Time Equivalent)]],0),"")</f>
        <v/>
      </c>
      <c r="MI72" s="30">
        <f>IFERROR(IF(AVERAGE(DATA[[#This Row],[Other manager 1: Current 2021/22 Minimum hourly pay rate ADJUSTED]],DATA[[#This Row],[Other manager 1: Current 2021/22 Maximum hourly pay rate ADJUSTED]])&lt;LIVING_WAGE_22_23,DATA[[#This Row],[Other manager 1: Numbers employed (Full Time Equivalent)]],0),"")</f>
        <v>0</v>
      </c>
      <c r="MJ72" s="30" t="str">
        <f>IFERROR(IF(AVERAGE(DATA[[#This Row],[Other manager 2: Current 2021/22 Minimum hourly pay rate ADJUSTED]],DATA[[#This Row],[Other manager 2: Current 2021/22 Maximum hourly pay rate ADJUSTED]])&lt;LIVING_WAGE_22_23,DATA[[#This Row],[Other manager 2: Numbers employed (Full Time Equivalent)]],0),"")</f>
        <v/>
      </c>
      <c r="MK72" s="30" t="str">
        <f>IFERROR(IF(AVERAGE(DATA[[#This Row],[Other manager 3: Current 2021/22 Minimum hourly pay rate ADJUSTED]],DATA[[#This Row],[Other manager 3: Current 2021/22 Maximum hourly pay rate ADJUSTED]])&lt;LIVING_WAGE_22_23,DATA[[#This Row],[Other manager 3: Numbers employed (Full Time Equivalent)]],0),"")</f>
        <v/>
      </c>
      <c r="ML72" s="30">
        <f>IFERROR(IF(AVERAGE(DATA[[#This Row],[Care Assistant 1: Current 2021/22 Minimum hourly pay rate ADJUSTED]],DATA[[#This Row],[Care Assistant 1: Current 2021/22 Maximum hourly pay rate ADJUSTED]])&lt;LIVING_WAGE_22_23,DATA[[#This Row],[Care Assistant 1: Numbers employed (Full Time Equivalent)]],0),"")</f>
        <v>6.44</v>
      </c>
      <c r="MM72" s="30" t="str">
        <f>IFERROR(IF(AVERAGE(DATA[[#This Row],[Care Assistant 2: Current 2021/22 Minimum hourly pay rate ADJUSTED]],DATA[[#This Row],[Care Assistant 2: Current 2021/22 Maximum hourly pay rate ADJUSTED]])&lt;LIVING_WAGE_22_23,DATA[[#This Row],[Care Assistant 2: Numbers employed (Full Time Equivalent)]],0),"")</f>
        <v/>
      </c>
      <c r="MN72" s="30" t="str">
        <f>IFERROR(IF(AVERAGE(DATA[[#This Row],[Care Assistant 3: Current 2021/22 Minimum hourly pay rate ADJUSTED]],DATA[[#This Row],[Care Assistant 3: Current 2021/22 Maximum hourly pay rate ADJUSTED]])&lt;LIVING_WAGE_22_23,DATA[[#This Row],[Care Assistant 3: Numbers employed (Full Time Equivalent)]],0),"")</f>
        <v/>
      </c>
      <c r="MO72" s="30" t="str">
        <f>IFERROR(IF(AVERAGE(DATA[[#This Row],[Care Assistant 4: Current 2021/22 Minimum hourly pay rate ADJUSTED]],DATA[[#This Row],[Care Assistant 4: Current 2021/22 Maximum hourly pay rate ADJUSTED]])&lt;LIVING_WAGE_22_23,DATA[[#This Row],[Care Assistant 4: Numbers employed (Full Time Equivalent)]],0),"")</f>
        <v/>
      </c>
      <c r="MP72"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72"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2" s="30" t="str">
        <f>IFERROR(IF(AVERAGE(DATA[[#This Row],[Other staff 1: Current 2021/22 Minimum hourly pay rate ADJUSTED]],DATA[[#This Row],[Other staff 1: Current 2021/22 Maximum hourly pay rate ADJUSTED]])&lt;LIVING_WAGE_22_23,DATA[[#This Row],[Other staff 1: Numbers employed (Full Time Equivalent)]],0),"")</f>
        <v/>
      </c>
      <c r="MS72" s="30" t="str">
        <f>IFERROR(IF(AVERAGE(DATA[[#This Row],[Other staff 2: Current 2021/22 Minimum hourly pay rate ADJUSTED]],DATA[[#This Row],[Other staff 2: Current 2021/22 Maximum hourly pay rate ADJUSTED]])&lt;LIVING_WAGE_22_23,DATA[[#This Row],[Other staff 2: Numbers employed (Full Time Equivalent)]],0),"")</f>
        <v/>
      </c>
      <c r="MT72" s="30" t="str">
        <f>IFERROR(IF(AVERAGE(DATA[[#This Row],[Other staff 3: Current 2021/22 Minimum hourly pay rate ADJUSTED]],DATA[[#This Row],[Other staff 3: Current 2021/22 Maximum hourly pay rate ADJUSTED]])&lt;LIVING_WAGE_22_23,DATA[[#This Row],[Other staff 3: Numbers employed (Full Time Equivalent)]],0),"")</f>
        <v/>
      </c>
      <c r="MU72" s="30">
        <f>SUM(DATA[[#This Row],[Registered Manager FTE earning less than NLW 23yrs 2022/23]:[Other staff 3 FTE earning less than NLW 23yrs 2022/23]])</f>
        <v>6.44</v>
      </c>
      <c r="MV72" s="30" t="str">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
      </c>
      <c r="MW72"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72"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72"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72"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2"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0.1931999999999959</v>
      </c>
      <c r="NB72"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72"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72"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72"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72"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2"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2"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2"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2" s="30" t="b">
        <v>1</v>
      </c>
      <c r="NK72" s="30" t="b">
        <v>1</v>
      </c>
      <c r="NL72" s="30" t="s">
        <v>505</v>
      </c>
      <c r="NM72" s="30">
        <f>SUM(DATA[[#This Row],[Management staff HOURLY RATE]:[Training and development HOURLY RATE]])</f>
        <v>0</v>
      </c>
      <c r="NN72" s="30">
        <f>SUM(DATA[[#This Row],[Recruitment &amp; advertising (including DBS checks) HOURLY RATE]:[Non-Staffing Direct Cost: Other  - please specify (amount) 2 HOURLY RATE]])</f>
        <v>0</v>
      </c>
      <c r="NO72" s="30">
        <f>SUM(DATA[[#This Row],[Insurance  HOURLY RATE]:[Indirect costs: Other  - please specify (amount) 2 HOURLY RATE]])</f>
        <v>0</v>
      </c>
      <c r="NP72" s="30">
        <f>SUM(DATA[[#This Row],[Central / Regional Management HOURLY RATE]:[Corporate Overheads: Other  - please specify (amount) 2 HOURLY RATE]])</f>
        <v>0</v>
      </c>
      <c r="NQ72" s="30" t="str">
        <f>IFERROR(IF(AVERAGE(DATA[[#This Row],[Registered manager: Current 2021/22 Minimum hourly pay rate ADJUSTED]],DATA[[#This Row],[Registered manager: Current 2021/22 Maximum hourly pay rate ADJUSTED]])&lt;REAL_LIVING_WAGE_22_23,DATA[[#This Row],[Registered manager: Numbers employed (Full Time Equivalent)]],0),"")</f>
        <v/>
      </c>
      <c r="NR72" s="30" t="str">
        <f>IFERROR(IF(AVERAGE(DATA[[#This Row],[Deputy manager: Current 2021/22 Minimum hourly pay rate ADJUSTED]],DATA[[#This Row],[Deputy manager: Current 2021/22 Maximum hourly pay rate ADJUSTED]])&lt;REAL_LIVING_WAGE_22_23,DATA[[#This Row],[Deputy manager: Numbers employed (Full Time Equivalent)]],0),"")</f>
        <v/>
      </c>
      <c r="NS72" s="30">
        <f>IFERROR(IF(AVERAGE(DATA[[#This Row],[Other manager 1: Current 2021/22 Minimum hourly pay rate ADJUSTED]],DATA[[#This Row],[Other manager 1: Current 2021/22 Maximum hourly pay rate ADJUSTED]])&lt;REAL_LIVING_WAGE_22_23,DATA[[#This Row],[Other manager 1: Numbers employed (Full Time Equivalent)]],0),"")</f>
        <v>0</v>
      </c>
      <c r="NT72" s="30" t="str">
        <f>IFERROR(IF(AVERAGE(DATA[[#This Row],[Other manager 2: Current 2021/22 Minimum hourly pay rate ADJUSTED]],DATA[[#This Row],[Other manager 2: Current 2021/22 Maximum hourly pay rate ADJUSTED]])&lt;REAL_LIVING_WAGE_22_23,DATA[[#This Row],[Other manager 2: Numbers employed (Full Time Equivalent)]],0),"")</f>
        <v/>
      </c>
      <c r="NU72" s="30" t="str">
        <f>IFERROR(IF(AVERAGE(DATA[[#This Row],[Other manager 3: Current 2021/22 Minimum hourly pay rate ADJUSTED]],DATA[[#This Row],[Other manager 3: Current 2021/22 Maximum hourly pay rate ADJUSTED]])&lt;REAL_LIVING_WAGE_22_23,DATA[[#This Row],[Other manager 3: Numbers employed (Full Time Equivalent)]],0),"")</f>
        <v/>
      </c>
      <c r="NV72" s="30">
        <f>IFERROR(IF(AVERAGE(DATA[[#This Row],[Care Assistant 1: Current 2021/22 Minimum hourly pay rate ADJUSTED]],DATA[[#This Row],[Care Assistant 1: Current 2021/22 Maximum hourly pay rate ADJUSTED]])&lt;REAL_LIVING_WAGE_22_23,DATA[[#This Row],[Care Assistant 1: Numbers employed (Full Time Equivalent)]],0),"")</f>
        <v>6.44</v>
      </c>
      <c r="NW72"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72"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72"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72"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72"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2" s="30" t="str">
        <f>IFERROR(IF(AVERAGE(DATA[[#This Row],[Other staff 1: Current 2021/22 Minimum hourly pay rate ADJUSTED]],DATA[[#This Row],[Other staff 1: Current 2021/22 Maximum hourly pay rate ADJUSTED]])&lt;REAL_LIVING_WAGE_22_23,DATA[[#This Row],[Other staff 1: Numbers employed (Full Time Equivalent)]],0),"")</f>
        <v/>
      </c>
      <c r="OC72" s="30" t="str">
        <f>IFERROR(IF(AVERAGE(DATA[[#This Row],[Other staff 2: Current 2021/22 Minimum hourly pay rate ADJUSTED]],DATA[[#This Row],[Other staff 2: Current 2021/22 Maximum hourly pay rate ADJUSTED]])&lt;REAL_LIVING_WAGE_22_23,DATA[[#This Row],[Other staff 2: Numbers employed (Full Time Equivalent)]],0),"")</f>
        <v/>
      </c>
      <c r="OD72" s="30" t="str">
        <f>IFERROR(IF(AVERAGE(DATA[[#This Row],[Other staff 3: Current 2021/22 Minimum hourly pay rate ADJUSTED]],DATA[[#This Row],[Other staff 3: Current 2021/22 Maximum hourly pay rate ADJUSTED]])&lt;REAL_LIVING_WAGE_22_23,DATA[[#This Row],[Other staff 3: Numbers employed (Full Time Equivalent)]],0),"")</f>
        <v/>
      </c>
      <c r="OE72" s="30">
        <f>SUM(DATA[[#This Row],[Registered Manager FTE earning less than RLW 23yrs 2022/23]:[Other staff 3 FTE earning less than RLW 23yrs 2022/23]])</f>
        <v>6.44</v>
      </c>
      <c r="OF72" s="30" t="str">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
      </c>
      <c r="OG72"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72"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72"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72"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2"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2.7691999999999983</v>
      </c>
      <c r="OL72"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72"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72"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72"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72"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2"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2"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2"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2" s="30" t="str">
        <f>IFERROR(IF(DATA[[#This Row],[Registered manager: Numbers employed (Full Time Equivalent)]]=0,"",DATA[[#This Row],[Registered manager: Current 2021/22 Minimum hourly pay rate ADJUSTED 2]]*DATA[[#This Row],[Registered manager: Numbers employed (Full Time Equivalent)]]),"")</f>
        <v/>
      </c>
      <c r="OU72" s="30" t="str">
        <f>IFERROR(IF(DATA[[#This Row],[Registered manager: Numbers employed (Full Time Equivalent)]]=0,"",DATA[[#This Row],[Registered manager: Current 2021/22 Maximum hourly pay rate ADJUSTED 2]]*DATA[[#This Row],[Registered manager: Numbers employed (Full Time Equivalent)]]),"")</f>
        <v/>
      </c>
      <c r="OV72" s="30" t="str">
        <f>IFERROR(IF(DATA[[#This Row],[Registered manager: Numbers employed (Full Time Equivalent)]]=0,"",DATA[[#This Row],[Registered manager: Previous 2020/21 Minimum hourly pay rate ADJUSTED 2]]*DATA[[#This Row],[Registered manager: Numbers employed (Full Time Equivalent)]]),"")</f>
        <v/>
      </c>
      <c r="OW72" s="30" t="str">
        <f>IFERROR(IF(DATA[[#This Row],[Registered manager: Numbers employed (Full Time Equivalent)]]=0,"",DATA[[#This Row],[Registered manager: Previous 2020/21 Maximum hourly pay rate ADJUSTED 2]]*DATA[[#This Row],[Registered manager: Numbers employed (Full Time Equivalent)]]),"")</f>
        <v/>
      </c>
      <c r="OX72" s="30" t="str">
        <f>IFERROR(IF(DATA[[#This Row],[Deputy manager: Numbers employed (Full Time Equivalent)]]=0,"",DATA[[#This Row],[Deputy manager: Current 2021/22 Minimum hourly pay rate ADJUSTED 2]]*DATA[[#This Row],[Deputy manager: Numbers employed (Full Time Equivalent)]]),"")</f>
        <v/>
      </c>
      <c r="OY72" s="30" t="str">
        <f>IFERROR(IF(DATA[[#This Row],[Deputy manager: Numbers employed (Full Time Equivalent)]]=0,"",DATA[[#This Row],[Deputy manager: Current 2021/22 Maximum hourly pay rate ADJUSTED 2]]*DATA[[#This Row],[Deputy manager: Numbers employed (Full Time Equivalent)]]),"")</f>
        <v/>
      </c>
      <c r="OZ72" s="30" t="str">
        <f>IFERROR(IF(DATA[[#This Row],[Deputy manager: Numbers employed (Full Time Equivalent)]]=0,"",DATA[[#This Row],[Deputy manager: Previous 2020/21 Minimum hourly pay rate ADJUSTED 2]]*DATA[[#This Row],[Deputy manager: Numbers employed (Full Time Equivalent)]]),"")</f>
        <v/>
      </c>
      <c r="PA72" s="30" t="str">
        <f>IFERROR(IF(DATA[[#This Row],[Deputy manager: Numbers employed (Full Time Equivalent)]]=0,"",DATA[[#This Row],[Deputy manager: Previous 2020/21 Maximum hourly pay rate ADJUSTED 2]]*DATA[[#This Row],[Deputy manager: Numbers employed (Full Time Equivalent)]]),"")</f>
        <v/>
      </c>
      <c r="PB72" s="30">
        <f>IFERROR(IF(DATA[[#This Row],[Other manager 1: Numbers employed (Full Time Equivalent)]]=0,"",DATA[[#This Row],[Other manager 1: Current 2021/22 Minimum hourly pay rate ADJUSTED 2]]*DATA[[#This Row],[Other manager 1: Numbers employed (Full Time Equivalent)]]),"")</f>
        <v>5.3196000000000003</v>
      </c>
      <c r="PC72" s="30">
        <f>IFERROR(IF(DATA[[#This Row],[Other manager 1: Numbers employed (Full Time Equivalent)]]=0,"",DATA[[#This Row],[Other manager 1: Current 2021/22 Maximum hourly pay rate ADJUSTED 2]]*DATA[[#This Row],[Other manager 1: Numbers employed (Full Time Equivalent)]]),"")</f>
        <v>5.9004000000000003</v>
      </c>
      <c r="PD72" s="30">
        <f>IFERROR(IF(DATA[[#This Row],[Other manager 1: Numbers employed (Full Time Equivalent)]]=0,"",DATA[[#This Row],[Other manager 1: Previous 2020/21 Minimum hourly pay rate ADJUSTED 2]]*DATA[[#This Row],[Other manager 1: Numbers employed (Full Time Equivalent)]]),"")</f>
        <v>5.3196000000000003</v>
      </c>
      <c r="PE72" s="30">
        <f>IFERROR(IF(DATA[[#This Row],[Other manager 1: Numbers employed (Full Time Equivalent)]]=0,"",DATA[[#This Row],[Other manager 1: Previous 2020/21 Maximum hourly pay rate ADJUSTED 2]]*DATA[[#This Row],[Other manager 1: Numbers employed (Full Time Equivalent)]]),"")</f>
        <v>5.9004000000000003</v>
      </c>
      <c r="PF72" s="30" t="str">
        <f>IFERROR(IF(DATA[[#This Row],[Other manager 2: Numbers employed (Full Time Equivalent)]]=0,"",DATA[[#This Row],[Other manager 2: Current 2021/22 Minimum hourly pay rate ADJUSTED 2]]*DATA[[#This Row],[Other manager 2: Numbers employed (Full Time Equivalent)]]),"")</f>
        <v/>
      </c>
      <c r="PG72" s="30" t="str">
        <f>IFERROR(IF(DATA[[#This Row],[Other manager 2: Numbers employed (Full Time Equivalent)]]=0,"",DATA[[#This Row],[Other manager 2: Current 2021/22 Maximum hourly pay rate ADJUSTED 2]]*DATA[[#This Row],[Other manager 2: Numbers employed (Full Time Equivalent)]]),"")</f>
        <v/>
      </c>
      <c r="PH72" s="30" t="str">
        <f>IFERROR(IF(DATA[[#This Row],[Other manager 2: Numbers employed (Full Time Equivalent)]]=0,"",DATA[[#This Row],[Other manager 2: Previous 2020/21 Minimum hourly pay rate ADJUSTED 2]]*DATA[[#This Row],[Other manager 2: Numbers employed (Full Time Equivalent)]]),"")</f>
        <v/>
      </c>
      <c r="PI72" s="30" t="str">
        <f>IFERROR(IF(DATA[[#This Row],[Other manager 2: Numbers employed (Full Time Equivalent)]]=0,"",DATA[[#This Row],[Other manager 2: Previous 2020/21 Maximum hourly pay rate ADJUSTED 2]]*DATA[[#This Row],[Other manager 2: Numbers employed (Full Time Equivalent)]]),"")</f>
        <v/>
      </c>
      <c r="PJ72" s="30" t="str">
        <f>IFERROR(IF(DATA[[#This Row],[Other manager 3: Numbers employed (Full Time Equivalent)]]=0,"",DATA[[#This Row],[Other manager 3: Current 2021/22 Minimum hourly pay rate ADJUSTED 2]]*DATA[[#This Row],[Other manager 3: Numbers employed (Full Time Equivalent)]]),"")</f>
        <v/>
      </c>
      <c r="PK72" s="30" t="str">
        <f>IFERROR(IF(DATA[[#This Row],[Other manager 3: Numbers employed (Full Time Equivalent)]]=0,"",DATA[[#This Row],[Other manager 3: Current 2021/22 Maximum hourly pay rate ADJUSTED 2]]*DATA[[#This Row],[Other manager 3: Numbers employed (Full Time Equivalent)]]),"")</f>
        <v/>
      </c>
      <c r="PL72" s="30" t="str">
        <f>IFERROR(IF(DATA[[#This Row],[Other manager 3: Numbers employed (Full Time Equivalent)]]=0,"",DATA[[#This Row],[Other manager 3: Previous 2020/21 Minimum hourly pay rate ADJUSTED 2]]*DATA[[#This Row],[Other manager 3: Numbers employed (Full Time Equivalent)]]),"")</f>
        <v/>
      </c>
      <c r="PM72" s="30" t="str">
        <f>IFERROR(IF(DATA[[#This Row],[Other manager 3: Numbers employed (Full Time Equivalent)]]=0,"",DATA[[#This Row],[Other manager 3: Previous 2020/21 Maximum hourly pay rate ADJUSTED 2]]*DATA[[#This Row],[Other manager 3: Numbers employed (Full Time Equivalent)]]),"")</f>
        <v/>
      </c>
      <c r="PN72" s="30">
        <f>IFERROR(IF(DATA[[#This Row],[Care Assistant 1: Numbers employed (Full Time Equivalent)]]=0,"",DATA[[#This Row],[Care Assistant 1: Current 2021/22 Minimum hourly pay rate ADJUSTED 2]]*DATA[[#This Row],[Care Assistant 1: Numbers employed (Full Time Equivalent)]]),"")</f>
        <v>59.89200000000001</v>
      </c>
      <c r="PO72" s="30">
        <f>IFERROR(IF(DATA[[#This Row],[Care Assistant 1: Numbers employed (Full Time Equivalent)]]=0,"",DATA[[#This Row],[Care Assistant 1: Current 2021/22 Maximum hourly pay rate ADJUSTED 2]]*DATA[[#This Row],[Care Assistant 1: Numbers employed (Full Time Equivalent)]]),"")</f>
        <v>62.081600000000009</v>
      </c>
      <c r="PP72" s="30">
        <f>IFERROR(IF(DATA[[#This Row],[Care Assistant 1: Numbers employed (Full Time Equivalent)]]=0,"",DATA[[#This Row],[Care Assistant 1: Previous 2020/21 Minimum hourly pay rate ADJUSTED 2]]*DATA[[#This Row],[Care Assistant 1: Numbers employed (Full Time Equivalent)]]),"")</f>
        <v>59.89200000000001</v>
      </c>
      <c r="PQ72" s="30">
        <f>IFERROR(IF(DATA[[#This Row],[Care Assistant 1: Numbers employed (Full Time Equivalent)]]=0,"",DATA[[#This Row],[Care Assistant 1: Previous 2020/21 Maximum hourly pay rate ADJUSTED 2]]*DATA[[#This Row],[Care Assistant 1: Numbers employed (Full Time Equivalent)]]),"")</f>
        <v>62.081600000000009</v>
      </c>
      <c r="PR72" s="30" t="str">
        <f>IFERROR(IF(DATA[[#This Row],[Care Assistant 2: Numbers employed (Full Time Equivalent)]]=0,"",DATA[[#This Row],[Care Assistant 2: Current 2021/22 Minimum hourly pay rate ADJUSTED 2]]*DATA[[#This Row],[Care Assistant 2: Numbers employed (Full Time Equivalent)]]),"")</f>
        <v/>
      </c>
      <c r="PS72" s="30" t="str">
        <f>IFERROR(IF(DATA[[#This Row],[Care Assistant 2: Numbers employed (Full Time Equivalent)]]=0,"",DATA[[#This Row],[Care Assistant 2: Current 2021/22 Maximum hourly pay rate ADJUSTED 2]]*DATA[[#This Row],[Care Assistant 2: Numbers employed (Full Time Equivalent)]]),"")</f>
        <v/>
      </c>
      <c r="PT72" s="30" t="str">
        <f>IFERROR(IF(DATA[[#This Row],[Care Assistant 2: Numbers employed (Full Time Equivalent)]]=0,"",DATA[[#This Row],[Care Assistant 2: Previous 2020/21 Minimum hourly pay rate ADJUSTED 2]]*DATA[[#This Row],[Care Assistant 2: Numbers employed (Full Time Equivalent)]]),"")</f>
        <v/>
      </c>
      <c r="PU72" s="30" t="str">
        <f>IFERROR(IF(DATA[[#This Row],[Care Assistant 2: Numbers employed (Full Time Equivalent)]]=0,"",DATA[[#This Row],[Care Assistant 2: Previous 2020/21 Maximum hourly pay rate ADJUSTED 2]]*DATA[[#This Row],[Care Assistant 2: Numbers employed (Full Time Equivalent)]]),"")</f>
        <v/>
      </c>
      <c r="PV72" s="30" t="str">
        <f>IFERROR(IF(DATA[[#This Row],[Care Assistant 3: Numbers employed (Full Time Equivalent)]]=0,"",DATA[[#This Row],[Care Assistant 3: Current 2021/22 Minimum hourly pay rate ADJUSTED 2]]*DATA[[#This Row],[Care Assistant 3: Numbers employed (Full Time Equivalent)]]),"")</f>
        <v/>
      </c>
      <c r="PW72" s="30" t="str">
        <f>IFERROR(IF(DATA[[#This Row],[Care Assistant 3: Numbers employed (Full Time Equivalent)]]=0,"",DATA[[#This Row],[Care Assistant 3: Current 2021/22 Maximum hourly pay rate ADJUSTED 2]]*DATA[[#This Row],[Care Assistant 3: Numbers employed (Full Time Equivalent)]]),"")</f>
        <v/>
      </c>
      <c r="PX72" s="30" t="str">
        <f>IFERROR(IF(DATA[[#This Row],[Care Assistant 3: Numbers employed (Full Time Equivalent)]]=0,"",DATA[[#This Row],[Care Assistant 3: Previous 2020/21 Minimum hourly pay rate ADJUSTED 2]]*DATA[[#This Row],[Care Assistant 3: Numbers employed (Full Time Equivalent)]]),"")</f>
        <v/>
      </c>
      <c r="PY72" s="30" t="str">
        <f>IFERROR(IF(DATA[[#This Row],[Care Assistant 3: Numbers employed (Full Time Equivalent)]]=0,"",DATA[[#This Row],[Care Assistant 3: Previous 2020/21 Maximum hourly pay rate ADJUSTED 2]]*DATA[[#This Row],[Care Assistant 3: Numbers employed (Full Time Equivalent)]]),"")</f>
        <v/>
      </c>
      <c r="PZ72" s="30" t="str">
        <f>IFERROR(IF(DATA[[#This Row],[Care Assistant 4: Numbers employed (Full Time Equivalent)]]=0,"",DATA[[#This Row],[Care Assistant 4: Current 2021/22 Minimum hourly pay rate ADJUSTED 2]]*DATA[[#This Row],[Care Assistant 4: Numbers employed (Full Time Equivalent)]]),"")</f>
        <v/>
      </c>
      <c r="QA72" s="30" t="str">
        <f>IFERROR(IF(DATA[[#This Row],[Care Assistant 4: Numbers employed (Full Time Equivalent)]]=0,"",DATA[[#This Row],[Care Assistant 4: Current 2021/22 Maximum hourly pay rate ADJUSTED 2]]*DATA[[#This Row],[Care Assistant 4: Numbers employed (Full Time Equivalent)]]),"")</f>
        <v/>
      </c>
      <c r="QB72" s="30" t="str">
        <f>IFERROR(IF(DATA[[#This Row],[Care Assistant 4: Numbers employed (Full Time Equivalent)]]=0,"",DATA[[#This Row],[Care Assistant 4: Previous 2020/21 Minimum hourly pay rate ADJUSTED 2]]*DATA[[#This Row],[Care Assistant 4: Numbers employed (Full Time Equivalent)]]),"")</f>
        <v/>
      </c>
      <c r="QC72" s="30" t="str">
        <f>IFERROR(IF(DATA[[#This Row],[Care Assistant 4: Numbers employed (Full Time Equivalent)]]=0,"",DATA[[#This Row],[Care Assistant 4: Previous 2020/21 Maximum hourly pay rate ADJUSTED 2]]*DATA[[#This Row],[Care Assistant 4: Numbers employed (Full Time Equivalent)]]),"")</f>
        <v/>
      </c>
      <c r="QD72" s="30" t="str">
        <f>IFERROR(IF(DATA[[#This Row],[Administrative Officer 1: Numbers employed (Full Time Equivalent)]]=0,"",DATA[[#This Row],[Administrative Officer 1: Current 2021/22 Minimum hourly pay rate ADJUSTED 2]]*DATA[[#This Row],[Administrative Officer 1: Numbers employed (Full Time Equivalent)]]),"")</f>
        <v/>
      </c>
      <c r="QE72" s="30" t="str">
        <f>IFERROR(IF(DATA[[#This Row],[Administrative Officer 1: Numbers employed (Full Time Equivalent)]]=0,"",DATA[[#This Row],[Administrative Officer 1: Current 2021/22 Maximum hourly pay rate ADJUSTED 2]]*DATA[[#This Row],[Administrative Officer 1: Numbers employed (Full Time Equivalent)]]),"")</f>
        <v/>
      </c>
      <c r="QF72" s="30" t="str">
        <f>IFERROR(IF(DATA[[#This Row],[Administrative Officer 1: Numbers employed (Full Time Equivalent)]]=0,"",DATA[[#This Row],[Administrative Officer 1: Previous 2020/21 Minimum hourly pay rate ADJUSTED 2]]*DATA[[#This Row],[Administrative Officer 1: Numbers employed (Full Time Equivalent)]]),"")</f>
        <v/>
      </c>
      <c r="QG72" s="30" t="str">
        <f>IFERROR(IF(DATA[[#This Row],[Administrative Officer 1: Numbers employed (Full Time Equivalent)]]=0,"",DATA[[#This Row],[Administrative Officer 1: Previous 2020/21 Maximum hourly pay rate ADJUSTED 2]]*DATA[[#This Row],[Administrative Officer 1: Numbers employed (Full Time Equivalent)]]),"")</f>
        <v/>
      </c>
      <c r="QH72" s="30" t="str">
        <f>IFERROR(IF(DATA[[#This Row],[Administrative Officer 2: Numbers employed (Full Time Equivalent)]]=0,"",DATA[[#This Row],[Administrative Officer 2: Current 2021/22 Minimum hourly pay rate ADJUSTED 2]]*DATA[[#This Row],[Administrative Officer 2: Numbers employed (Full Time Equivalent)]]),"")</f>
        <v/>
      </c>
      <c r="QI72" s="30" t="str">
        <f>IFERROR(IF(DATA[[#This Row],[Administrative Officer 2: Numbers employed (Full Time Equivalent)]]=0,"",DATA[[#This Row],[Administrative Officer 2: Current 2021/22 Maximum hourly pay rate ADJUSTED 2]]*DATA[[#This Row],[Administrative Officer 2: Numbers employed (Full Time Equivalent)]]),"")</f>
        <v/>
      </c>
      <c r="QJ72" s="30" t="str">
        <f>IFERROR(IF(DATA[[#This Row],[Administrative Officer 2: Numbers employed (Full Time Equivalent)]]=0,"",DATA[[#This Row],[Administrative Officer 2: Previous 2020/21 Minimum hourly pay rate ADJUSTED 2]]*DATA[[#This Row],[Administrative Officer 2: Numbers employed (Full Time Equivalent)]]),"")</f>
        <v/>
      </c>
      <c r="QK72" s="30" t="str">
        <f>IFERROR(IF(DATA[[#This Row],[Administrative Officer 2: Numbers employed (Full Time Equivalent)]]=0,"",DATA[[#This Row],[Administrative Officer 2: Previous 2020/21 Maximum hourly pay rate ADJUSTED 2]]*DATA[[#This Row],[Administrative Officer 2: Numbers employed (Full Time Equivalent)]]),"")</f>
        <v/>
      </c>
      <c r="QL72" s="30" t="str">
        <f>IFERROR(IF(DATA[[#This Row],[Administrative Officer 3: Numbers employed (Full Time Equivalent)]]=0,"",DATA[[#This Row],[Administrative Officer 3: Current 2021/22 Minimum hourly pay rate ADJUSTED 2]]*DATA[[#This Row],[Administrative Officer 3: Numbers employed (Full Time Equivalent)]]),"")</f>
        <v/>
      </c>
      <c r="QM72" s="30" t="str">
        <f>IFERROR(IF(DATA[[#This Row],[Administrative Officer 3: Numbers employed (Full Time Equivalent)]]=0,"",DATA[[#This Row],[Administrative Officer 3: Current 2021/22 Maximum hourly pay rate ADJUSTED 2]]*DATA[[#This Row],[Administrative Officer 3: Numbers employed (Full Time Equivalent)]]),"")</f>
        <v/>
      </c>
      <c r="QN72" s="30" t="str">
        <f>IFERROR(IF(DATA[[#This Row],[Administrative Officer 3: Numbers employed (Full Time Equivalent)]]=0,"",DATA[[#This Row],[Administrative Officer 3: Previous 2020/21 Minimum hourly pay rate ADJUSTED 2]]*DATA[[#This Row],[Administrative Officer 3: Numbers employed (Full Time Equivalent)]]),"")</f>
        <v/>
      </c>
      <c r="QO72" s="30" t="str">
        <f>IFERROR(IF(DATA[[#This Row],[Administrative Officer 3: Numbers employed (Full Time Equivalent)]]=0,"",DATA[[#This Row],[Administrative Officer 3: Previous 2020/21 Maximum hourly pay rate ADJUSTED 2]]*DATA[[#This Row],[Administrative Officer 3: Numbers employed (Full Time Equivalent)]]),"")</f>
        <v/>
      </c>
      <c r="QP72" s="28" t="str">
        <f>IFERROR(IF(DATA[[#This Row],[Other staff 1: Numbers employed (Full Time Equivalent)]]=0,"",DATA[[#This Row],[Other staff 1: Current 2021/22 Minimum hourly pay rate ADJUSTED 2]]*DATA[[#This Row],[Other staff 1: Numbers employed (Full Time Equivalent)]]),"")</f>
        <v/>
      </c>
      <c r="QQ72" s="28" t="str">
        <f>IFERROR(IF(DATA[[#This Row],[Other staff 1: Numbers employed (Full Time Equivalent)]]=0,"",DATA[[#This Row],[Other staff 1: Current 2021/22 Maximum hourly pay rate ADJUSTED 2]]*DATA[[#This Row],[Other staff 1: Numbers employed (Full Time Equivalent)]]),"")</f>
        <v/>
      </c>
      <c r="QR72" s="28" t="str">
        <f>IFERROR(IF(DATA[[#This Row],[Other staff 1: Numbers employed (Full Time Equivalent)]]=0,"",DATA[[#This Row],[Other staff 1: Previous 2020/21 Minimum hourly pay rate ADJUSTED 2]]*DATA[[#This Row],[Other staff 1: Numbers employed (Full Time Equivalent)]]),"")</f>
        <v/>
      </c>
      <c r="QS72" s="28" t="str">
        <f>IFERROR(IF(DATA[[#This Row],[Other staff 1: Numbers employed (Full Time Equivalent)]]=0,"",DATA[[#This Row],[Other staff 1: Previous 2020/21 Maximum hourly pay rate ADJUSTED 2]]*DATA[[#This Row],[Other staff 1: Numbers employed (Full Time Equivalent)]]),"")</f>
        <v/>
      </c>
      <c r="QT72" s="28" t="str">
        <f>IFERROR(IF(DATA[[#This Row],[Other staff 2: Numbers employed (Full Time Equivalent)]]=0,"",DATA[[#This Row],[Other staff 2: Current 2021/22 Minimum hourly pay rate ADJUSTED 2]]*DATA[[#This Row],[Other staff 2: Numbers employed (Full Time Equivalent)]]),"")</f>
        <v/>
      </c>
      <c r="QU72" s="28" t="str">
        <f>IFERROR(IF(DATA[[#This Row],[Other staff 2: Numbers employed (Full Time Equivalent)]]=0,"",DATA[[#This Row],[Other staff 2: Current 2021/22 Maximum hourly pay rate ADJUSTED 2]]*DATA[[#This Row],[Other staff 2: Numbers employed (Full Time Equivalent)]]),"")</f>
        <v/>
      </c>
      <c r="QV72" s="28" t="str">
        <f>IFERROR(IF(DATA[[#This Row],[Other staff 2: Numbers employed (Full Time Equivalent)]]=0,"",DATA[[#This Row],[Other staff 2: Previous 2020/21 Minimum hourly pay rate ADJUSTED 2]]*DATA[[#This Row],[Other staff 2: Numbers employed (Full Time Equivalent)]]),"")</f>
        <v/>
      </c>
      <c r="QW72" s="28" t="str">
        <f>IFERROR(IF(DATA[[#This Row],[Other staff 2: Numbers employed (Full Time Equivalent)]]=0,"",DATA[[#This Row],[Other staff 2: Previous 2020/21 Maximum hourly pay rate ADJUSTED 2]]*DATA[[#This Row],[Other staff 2: Numbers employed (Full Time Equivalent)]]),"")</f>
        <v/>
      </c>
      <c r="QX72" s="28" t="str">
        <f>IFERROR(IF(DATA[[#This Row],[Other staff 3: Numbers employed (Full Time Equivalent)]]=0,"",DATA[[#This Row],[Other staff 3: Current 2021/22 Minimum hourly pay rate ADJUSTED 2]]*DATA[[#This Row],[Other staff 3: Numbers employed (Full Time Equivalent)]]),"")</f>
        <v/>
      </c>
      <c r="QY72" s="28" t="str">
        <f>IFERROR(IF(DATA[[#This Row],[Other staff 3: Numbers employed (Full Time Equivalent)]]=0,"",DATA[[#This Row],[Other staff 3: Current 2021/22 Maximum hourly pay rate ADJUSTED 2]]*DATA[[#This Row],[Other staff 3: Numbers employed (Full Time Equivalent)]]),"")</f>
        <v/>
      </c>
      <c r="QZ72" s="28" t="str">
        <f>IFERROR(IF(DATA[[#This Row],[Other staff 3: Numbers employed (Full Time Equivalent)]]=0,"",DATA[[#This Row],[Other staff 3: Previous 2020/21 Minimum hourly pay rate ADJUSTED 2]]*DATA[[#This Row],[Other staff 3: Numbers employed (Full Time Equivalent)]]),"")</f>
        <v/>
      </c>
      <c r="RA72" s="28" t="str">
        <f>IFERROR(IF(DATA[[#This Row],[Other staff 3: Numbers employed (Full Time Equivalent)]]=0,"",DATA[[#This Row],[Other staff 3: Previous 2020/21 Maximum hourly pay rate ADJUSTED 2]]*DATA[[#This Row],[Other staff 3: Numbers employed (Full Time Equivalent)]]),"")</f>
        <v/>
      </c>
      <c r="RB72"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72"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72"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0.33</v>
      </c>
      <c r="RE72"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72"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2"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6.44</v>
      </c>
      <c r="RH72"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72"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2"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2"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72"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2"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2"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2"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2"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3" spans="7:484" x14ac:dyDescent="0.25">
      <c r="G73" s="2">
        <v>67</v>
      </c>
      <c r="H73" s="2">
        <v>0</v>
      </c>
      <c r="I73" s="2" t="s">
        <v>589</v>
      </c>
      <c r="AB73" s="2" t="s">
        <v>560</v>
      </c>
      <c r="AC73" s="2">
        <v>16.12</v>
      </c>
      <c r="AD73" s="2">
        <v>17.88</v>
      </c>
      <c r="AE73" s="2">
        <v>0</v>
      </c>
      <c r="AF73" s="2">
        <v>0</v>
      </c>
      <c r="AG73" s="2">
        <v>0.74</v>
      </c>
      <c r="AH73" s="2" t="s">
        <v>590</v>
      </c>
      <c r="AI73" s="2">
        <v>10.73</v>
      </c>
      <c r="AJ73" s="2">
        <v>11.92</v>
      </c>
      <c r="AK73" s="2">
        <v>0</v>
      </c>
      <c r="AL73" s="2">
        <v>0</v>
      </c>
      <c r="AM73" s="2">
        <v>1</v>
      </c>
      <c r="AN73" s="2"/>
      <c r="AO73" s="2"/>
      <c r="AP73" s="2"/>
      <c r="AQ73" s="2"/>
      <c r="AR73" s="2"/>
      <c r="AS73" s="2"/>
      <c r="AT73" s="2" t="s">
        <v>337</v>
      </c>
      <c r="AU73" s="2">
        <v>9.3000000000000007</v>
      </c>
      <c r="AV73" s="2">
        <v>9.64</v>
      </c>
      <c r="AW73" s="2">
        <v>0</v>
      </c>
      <c r="AX73" s="2">
        <v>0</v>
      </c>
      <c r="AY73" s="2">
        <v>4.7</v>
      </c>
      <c r="AZ73" s="2"/>
      <c r="BA73" s="2"/>
      <c r="BB73" s="2"/>
      <c r="BC73" s="2"/>
      <c r="BD73" s="2"/>
      <c r="BE73" s="2"/>
      <c r="BF73" s="2"/>
      <c r="BG73" s="2"/>
      <c r="BH73" s="2"/>
      <c r="BI73" s="2"/>
      <c r="BJ73" s="2"/>
      <c r="BK73" s="2"/>
      <c r="BL73" s="2"/>
      <c r="BM73" s="2"/>
      <c r="BN73" s="2"/>
      <c r="BO73" s="2"/>
      <c r="BP73" s="2"/>
      <c r="BQ73" s="2"/>
      <c r="BR73" s="2" t="s">
        <v>591</v>
      </c>
      <c r="BS73" s="2"/>
      <c r="BT73" s="2"/>
      <c r="BU73" s="2"/>
      <c r="BV73" s="2"/>
      <c r="BW73" s="2">
        <v>0.6</v>
      </c>
      <c r="BX73" s="2"/>
      <c r="BY73" s="2"/>
      <c r="BZ73" s="2"/>
      <c r="CA73" s="2"/>
      <c r="CB73" s="2"/>
      <c r="CC73" s="2"/>
      <c r="CD73" s="2"/>
      <c r="CE73" s="2"/>
      <c r="CF73" s="2"/>
      <c r="CG73" s="2"/>
      <c r="CH73" s="2"/>
      <c r="CI73" s="2"/>
      <c r="CJ73" s="2" t="s">
        <v>425</v>
      </c>
      <c r="CK73" s="2"/>
      <c r="CL73" s="2"/>
      <c r="CM73" s="2"/>
      <c r="CN73" s="2"/>
      <c r="CO73" s="2">
        <v>0.5</v>
      </c>
      <c r="CP73" s="2"/>
      <c r="CQ73" s="2"/>
      <c r="CR73" s="2"/>
      <c r="CS73" s="2"/>
      <c r="CT73" s="2"/>
      <c r="CU73" s="2"/>
      <c r="CV73" s="2"/>
      <c r="CW73" s="2"/>
      <c r="CX73" s="2"/>
      <c r="CY73" s="2"/>
      <c r="CZ73" s="2"/>
      <c r="DA73" s="2"/>
      <c r="DB73" s="2"/>
      <c r="DC73" s="2">
        <v>0</v>
      </c>
      <c r="DD73" s="2">
        <v>0</v>
      </c>
      <c r="DE73" s="2">
        <v>0</v>
      </c>
      <c r="DF73" s="2">
        <v>0</v>
      </c>
      <c r="DG73" s="2">
        <v>0</v>
      </c>
      <c r="DH73" s="2">
        <v>0</v>
      </c>
      <c r="DI73" s="2">
        <v>0</v>
      </c>
      <c r="DJ73" s="2">
        <v>0</v>
      </c>
      <c r="DK73" s="2">
        <v>0</v>
      </c>
      <c r="DL73" s="2">
        <v>0</v>
      </c>
      <c r="DM73" s="2">
        <v>0</v>
      </c>
      <c r="DN73" s="2">
        <v>0</v>
      </c>
      <c r="DO73" s="2">
        <v>0</v>
      </c>
      <c r="DP73" s="2">
        <v>0</v>
      </c>
      <c r="DQ73" s="2">
        <v>0</v>
      </c>
      <c r="DR73" s="18">
        <v>43922</v>
      </c>
      <c r="DS73" s="18">
        <v>44286</v>
      </c>
      <c r="DT73" s="2">
        <v>0</v>
      </c>
      <c r="DU73" s="2">
        <v>58517.78</v>
      </c>
      <c r="DV73" s="2">
        <v>177596.79</v>
      </c>
      <c r="DW73" s="2">
        <v>15149.27</v>
      </c>
      <c r="DX73" s="2">
        <v>13482.16</v>
      </c>
      <c r="DY73" s="2">
        <v>13960</v>
      </c>
      <c r="DZ73" s="2">
        <v>139</v>
      </c>
      <c r="EA73" s="2">
        <v>0</v>
      </c>
      <c r="EB73" s="2">
        <v>0</v>
      </c>
      <c r="EC73" s="2">
        <v>0</v>
      </c>
      <c r="ED73" s="2">
        <v>0</v>
      </c>
      <c r="EE73" s="2">
        <v>0</v>
      </c>
      <c r="EF73" s="2">
        <v>0</v>
      </c>
      <c r="EG73" s="2">
        <v>3571</v>
      </c>
      <c r="EH73" s="2" t="s">
        <v>324</v>
      </c>
      <c r="EI73" s="2">
        <v>0</v>
      </c>
      <c r="EJ73" s="2" t="s">
        <v>324</v>
      </c>
      <c r="EK73" s="2">
        <v>0</v>
      </c>
      <c r="EL73" s="2">
        <v>4736</v>
      </c>
      <c r="EM73" s="2">
        <v>29403</v>
      </c>
      <c r="EN73" s="2">
        <v>19924</v>
      </c>
      <c r="EO73" s="2">
        <v>0</v>
      </c>
      <c r="EP73" s="2">
        <v>0</v>
      </c>
      <c r="EQ73" s="2">
        <v>16</v>
      </c>
      <c r="ER73" s="2">
        <v>0</v>
      </c>
      <c r="ES73" s="2">
        <v>64742</v>
      </c>
      <c r="ET73" s="2" t="s">
        <v>587</v>
      </c>
      <c r="EU73" s="2">
        <v>26926</v>
      </c>
      <c r="EV73" s="2" t="s">
        <v>592</v>
      </c>
      <c r="EW73" s="2">
        <v>17823</v>
      </c>
      <c r="EX73" s="2">
        <v>3326.1</v>
      </c>
      <c r="EY73" s="2">
        <v>29934.9</v>
      </c>
      <c r="EZ73" s="2" t="s">
        <v>326</v>
      </c>
      <c r="FA73" s="2">
        <v>0</v>
      </c>
      <c r="FB73" s="2" t="s">
        <v>326</v>
      </c>
      <c r="FC73" s="2">
        <v>0</v>
      </c>
      <c r="FD73" s="2"/>
      <c r="FE73" s="2">
        <v>0</v>
      </c>
      <c r="FF73" s="2">
        <v>0</v>
      </c>
      <c r="FG73" s="2"/>
      <c r="FH73" s="19">
        <v>44480.627534722225</v>
      </c>
      <c r="FI73" s="2" t="s">
        <v>345</v>
      </c>
      <c r="FJ73" s="2">
        <f>SUM(DATA[[#This Row],[Number of Home support clients:]],DATA[[#This Row],[Number of supported living clients:]])</f>
        <v>0</v>
      </c>
      <c r="FK73" s="2">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0</v>
      </c>
      <c r="FL73" s="2" t="str">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
      </c>
      <c r="FM73" s="2" t="str">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
      </c>
      <c r="FN73"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73"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73"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73"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73"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73"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73"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16.12</v>
      </c>
      <c r="FU73"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17.88</v>
      </c>
      <c r="FV73"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73"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73"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10.73</v>
      </c>
      <c r="FY73"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11.92</v>
      </c>
      <c r="FZ73"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3"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3"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3"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3"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3"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3"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9.3000000000000007</v>
      </c>
      <c r="GG73"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9.64</v>
      </c>
      <c r="GH73"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73"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73"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73"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73"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73"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73"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73"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73"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3"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3"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73"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73"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3"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3"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73"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73"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73"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73"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3"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3"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3"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3"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3"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3"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3"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3"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3"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3"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3"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3"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3"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3"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3"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3"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3"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3"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3"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3" s="2" t="str">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
      </c>
      <c r="HU73" s="2" t="str">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
      </c>
      <c r="HV73" s="2" t="str">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
      </c>
      <c r="HW73" s="2" t="str">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
      </c>
      <c r="HX73"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73"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73"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73"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73"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16.12</v>
      </c>
      <c r="IC73"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17.88</v>
      </c>
      <c r="ID73"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16.12</v>
      </c>
      <c r="IE73"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17.88</v>
      </c>
      <c r="IF73"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10.73</v>
      </c>
      <c r="IG73"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11.92</v>
      </c>
      <c r="IH73"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10.73</v>
      </c>
      <c r="II73"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11.92</v>
      </c>
      <c r="IJ73"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3"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3"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3"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3"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9.3000000000000007</v>
      </c>
      <c r="IO73"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9.64</v>
      </c>
      <c r="IP73"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9.3000000000000007</v>
      </c>
      <c r="IQ73"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9.64</v>
      </c>
      <c r="IR73"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73"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73"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73"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73"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73"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73"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73"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73"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73"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73"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73"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73"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73"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73"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73"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73"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3"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3"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3"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3"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3"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3"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3"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3"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3"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3"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3"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3"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3"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3"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3"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3"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3"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3"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3"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3"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1.74</v>
      </c>
      <c r="KC73" s="21">
        <f>SUM(DATA[[#This Row],[Care Assistant 1: Numbers employed (Full Time Equivalent)]],DATA[[#This Row],[Care Assistant 2: Numbers employed (Full Time Equivalent)]],DATA[[#This Row],[Care Assistant 3: Numbers employed (Full Time Equivalent)]],DATA[[#This Row],[Care Assistant 4: Numbers employed (Full Time Equivalent)]])</f>
        <v>4.7</v>
      </c>
      <c r="KD73" s="21">
        <f>SUM(DATA[[#This Row],[Administrative Officer 1: Numbers employed (Full Time Equivalent)]],DATA[[#This Row],[Administrative Officer 2: Numbers employed (Full Time Equivalent)]])</f>
        <v>0.6</v>
      </c>
      <c r="KE73" s="21">
        <f>SUM(DATA[[#This Row],[Other staff 1: Numbers employed (Full Time Equivalent)]],DATA[[#This Row],[Other staff 2: Numbers employed (Full Time Equivalent)]],DATA[[#This Row],[Other staff 3: Numbers employed (Full Time Equivalent)]])</f>
        <v>0.5</v>
      </c>
      <c r="KF73" s="21">
        <f>SUM(DATA[[#This Row],[Total FTE Management Employees]:[Total FTE Other Employees]])</f>
        <v>7.54</v>
      </c>
      <c r="KG73" s="21" t="str">
        <f>IF(SUM(DATA[[#This Row],[Home Support service split percentage (Expenditure):]],DATA[[#This Row],[Supported Living service split percentage (Expenditure):]])&gt;0, IF(DATA[[#This Row],[Home Support service split percentage (Expenditure):]]&gt;0.5,"Home Support","Supported Living"), "Unknown")</f>
        <v>Unknown</v>
      </c>
      <c r="KH73" s="21">
        <f>SUM(DATA[[#This Row],[Home Support: Birmingham City Council]:[Home Support: Self-funded]])</f>
        <v>0</v>
      </c>
      <c r="KI73" s="21">
        <f>SUM(DATA[[#This Row],[Supported Living: Birmingham City Council]:[Supported Living: Self-funded]])</f>
        <v>0</v>
      </c>
      <c r="KJ73"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3"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3"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3"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3" s="21" t="b">
        <f>SUM(DATA[[#This Row],[Number of hours of care charged for in last full accounting year]:[Corporate Overheads: Other  - please specify (category) 1]])&gt;0</f>
        <v>1</v>
      </c>
      <c r="KO73" s="21">
        <f>SUM(DATA[[#This Row],[Total annual expenditure: Management staff]:[Total annual expenditure: Training and development]])</f>
        <v>278845</v>
      </c>
      <c r="KP73" s="21">
        <f>SUM(DATA[[#This Row],[Recruitment &amp; advertising (including DBS checks)]:[Non-Staffing Direct Cost: Other  - please specify (amount) 2]])</f>
        <v>3571</v>
      </c>
      <c r="KQ73" s="21">
        <f>SUM(DATA[[#This Row],[Insurance ]:[Indirect costs: Other 2 - please specify (amount)]])</f>
        <v>163570</v>
      </c>
      <c r="KR73" s="21">
        <f>SUM(DATA[[#This Row],[Central / Regional Management]],DATA[[#This Row],[Support Services (finance / HR / Payroll / legal etc.)]],DATA[[#This Row],[Corporate Overheads: Other  - please specify (amount) 1]],DATA[[#This Row],[Corporate Overheads: Other  - please specify (amount) 2]])</f>
        <v>33261</v>
      </c>
      <c r="KS73"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73"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73"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73"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73"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73"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73"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3"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73"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73"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73" s="30">
        <f>IF(OR(NOT(DATA[[#This Row],[Care consumables &amp; uniforms]]&gt;0),NOT(DATA[[#This Row],[Number of hours of care charged for in last full accounting year]]&gt;0)),0,DATA[[#This Row],[Care consumables &amp; uniforms]]/DATA[[#This Row],[Number of hours of care charged for in last full accounting year]])</f>
        <v>0</v>
      </c>
      <c r="LD73" s="30">
        <f>IF(OR(NOT(DATA[[#This Row],[Electronic call monitoring]]&gt;0),NOT(DATA[[#This Row],[Number of hours of care charged for in last full accounting year]]&gt;0)),0,DATA[[#This Row],[Electronic call monitoring]]/DATA[[#This Row],[Number of hours of care charged for in last full accounting year]])</f>
        <v>0</v>
      </c>
      <c r="LE73" s="30">
        <f>IF(OR(NOT(DATA[[#This Row],[IT Equipment &amp; Telephoney]]&gt;0),NOT(DATA[[#This Row],[Number of hours of care charged for in last full accounting year]]&gt;0)),0,DATA[[#This Row],[IT Equipment &amp; Telephoney]]/DATA[[#This Row],[Number of hours of care charged for in last full accounting year]])</f>
        <v>0</v>
      </c>
      <c r="LF73"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73"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3" s="30">
        <f>IF(OR(NOT(DATA[[#This Row],[Insurance ]]&gt;0),NOT(DATA[[#This Row],[Number of hours of care charged for in last full accounting year]]&gt;0)),0,DATA[[#This Row],[Insurance ]]/DATA[[#This Row],[Number of hours of care charged for in last full accounting year]])</f>
        <v>0</v>
      </c>
      <c r="LI73"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73" s="30">
        <f>IF(OR(NOT(DATA[[#This Row],[Repairs and maintenance]]&gt;0),NOT(DATA[[#This Row],[Number of hours of care charged for in last full accounting year]]&gt;0)),0,DATA[[#This Row],[Repairs and maintenance]]/DATA[[#This Row],[Number of hours of care charged for in last full accounting year]])</f>
        <v>0</v>
      </c>
      <c r="LK73"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73" s="30">
        <f>IF(OR(NOT(DATA[[#This Row],[Registration &amp; Inspection fees ]]&gt;0),NOT(DATA[[#This Row],[Number of hours of care charged for in last full accounting year]]&gt;0)),0,DATA[[#This Row],[Registration &amp; Inspection fees ]]/DATA[[#This Row],[Number of hours of care charged for in last full accounting year]])</f>
        <v>0</v>
      </c>
      <c r="LM73" s="30">
        <f>IF(OR(NOT(DATA[[#This Row],[Subscriptions]]&gt;0),NOT(DATA[[#This Row],[Number of hours of care charged for in last full accounting year]]&gt;0)),0,DATA[[#This Row],[Subscriptions]]/DATA[[#This Row],[Number of hours of care charged for in last full accounting year]])</f>
        <v>0</v>
      </c>
      <c r="LN73" s="30">
        <f>IF(OR(NOT(DATA[[#This Row],[Cost of finance]]&gt;0),NOT(DATA[[#This Row],[Number of hours of care charged for in last full accounting year]]&gt;0)),0,DATA[[#This Row],[Cost of finance]]/DATA[[#This Row],[Number of hours of care charged for in last full accounting year]])</f>
        <v>0</v>
      </c>
      <c r="LO73" s="30">
        <f>IF(OR(NOT(DATA[[#This Row],[Other non-staff current expenses]]&gt;0),NOT(DATA[[#This Row],[Number of hours of care charged for in last full accounting year]]&gt;0)),0,DATA[[#This Row],[Other non-staff current expenses]]/DATA[[#This Row],[Number of hours of care charged for in last full accounting year]])</f>
        <v>0</v>
      </c>
      <c r="LP73"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73"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3" s="30">
        <f>IF(OR(NOT(DATA[[#This Row],[Central / Regional Management]]&gt;0),NOT(DATA[[#This Row],[Number of hours of care charged for in last full accounting year]]&gt;0)),0,DATA[[#This Row],[Central / Regional Management]]/DATA[[#This Row],[Number of hours of care charged for in last full accounting year]])</f>
        <v>0</v>
      </c>
      <c r="LS73"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73"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3"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3" s="30">
        <f>SUM(DATA[[#This Row],[Management staff HOURLY RATE]:[Corporate Overheads: Other  - please specify (amount) 2 HOURLY RATE]])</f>
        <v>0</v>
      </c>
      <c r="LW73" s="30" t="str">
        <f>IF(OR(NOT(DATA[[#This Row],[Net Operating Profit]]&gt;0),NOT(DATA[[#This Row],[Number of hours of care charged for in last full accounting year]]&gt;0)),"",DATA[[#This Row],[Net Operating Profit]]/DATA[[#This Row],[Number of hours of care charged for in last full accounting year]])</f>
        <v/>
      </c>
      <c r="LX73" s="30">
        <f>IF(OR(NOT(DATA[[#This Row],[Return on Capital employed]]&gt;0),NOT(DATA[[#This Row],[Number of hours of care charged for in last full accounting year]]&gt;0)),0,DATA[[#This Row],[Return on Capital employed]]/DATA[[#This Row],[Number of hours of care charged for in last full accounting year]])</f>
        <v>0</v>
      </c>
      <c r="LY73" s="31">
        <v>68</v>
      </c>
      <c r="LZ73" s="30" t="s">
        <v>345</v>
      </c>
      <c r="MA73" s="30" t="b">
        <f>DATA[[#This Row],[Number of Home support clients:]]&gt;0</f>
        <v>0</v>
      </c>
      <c r="MB73" s="30" t="b">
        <f>DATA[[#This Row],[Number of supported living clients:]]&gt;0</f>
        <v>1</v>
      </c>
      <c r="MC73" s="30" t="b">
        <f>DATA[[#This Row],[Total Home Support Hours]]&gt;0</f>
        <v>0</v>
      </c>
      <c r="MD73" s="30" t="b">
        <f>DATA[[#This Row],[Total Supported Living Hours]]&gt;0</f>
        <v>0</v>
      </c>
      <c r="ME73" s="30" t="b">
        <f>DATA[[#This Row],[Home Support service split percentage (Expenditure):]]&gt;0.5</f>
        <v>0</v>
      </c>
      <c r="MF73" s="30" t="b">
        <f>DATA[[#This Row],[Agency staff HOURLY RATE]]=0</f>
        <v>1</v>
      </c>
      <c r="MG73" s="30" t="str">
        <f>IFERROR(IF(AVERAGE(DATA[[#This Row],[Registered manager: Current 2021/22 Minimum hourly pay rate ADJUSTED]],DATA[[#This Row],[Registered manager: Current 2021/22 Maximum hourly pay rate ADJUSTED]])&lt;LIVING_WAGE_22_23,DATA[[#This Row],[Registered manager: Numbers employed (Full Time Equivalent)]],0),"")</f>
        <v/>
      </c>
      <c r="MH73" s="30" t="str">
        <f>IFERROR(IF(AVERAGE(DATA[[#This Row],[Deputy manager: Current 2021/22 Minimum hourly pay rate ADJUSTED]],DATA[[#This Row],[Deputy manager: Current 2021/22 Maximum hourly pay rate ADJUSTED]])&lt;LIVING_WAGE_22_23,DATA[[#This Row],[Deputy manager: Numbers employed (Full Time Equivalent)]],0),"")</f>
        <v/>
      </c>
      <c r="MI73" s="30">
        <f>IFERROR(IF(AVERAGE(DATA[[#This Row],[Other manager 1: Current 2021/22 Minimum hourly pay rate ADJUSTED]],DATA[[#This Row],[Other manager 1: Current 2021/22 Maximum hourly pay rate ADJUSTED]])&lt;LIVING_WAGE_22_23,DATA[[#This Row],[Other manager 1: Numbers employed (Full Time Equivalent)]],0),"")</f>
        <v>0</v>
      </c>
      <c r="MJ73" s="30">
        <f>IFERROR(IF(AVERAGE(DATA[[#This Row],[Other manager 2: Current 2021/22 Minimum hourly pay rate ADJUSTED]],DATA[[#This Row],[Other manager 2: Current 2021/22 Maximum hourly pay rate ADJUSTED]])&lt;LIVING_WAGE_22_23,DATA[[#This Row],[Other manager 2: Numbers employed (Full Time Equivalent)]],0),"")</f>
        <v>0</v>
      </c>
      <c r="MK73" s="30" t="str">
        <f>IFERROR(IF(AVERAGE(DATA[[#This Row],[Other manager 3: Current 2021/22 Minimum hourly pay rate ADJUSTED]],DATA[[#This Row],[Other manager 3: Current 2021/22 Maximum hourly pay rate ADJUSTED]])&lt;LIVING_WAGE_22_23,DATA[[#This Row],[Other manager 3: Numbers employed (Full Time Equivalent)]],0),"")</f>
        <v/>
      </c>
      <c r="ML73" s="30">
        <f>IFERROR(IF(AVERAGE(DATA[[#This Row],[Care Assistant 1: Current 2021/22 Minimum hourly pay rate ADJUSTED]],DATA[[#This Row],[Care Assistant 1: Current 2021/22 Maximum hourly pay rate ADJUSTED]])&lt;LIVING_WAGE_22_23,DATA[[#This Row],[Care Assistant 1: Numbers employed (Full Time Equivalent)]],0),"")</f>
        <v>4.7</v>
      </c>
      <c r="MM73" s="30" t="str">
        <f>IFERROR(IF(AVERAGE(DATA[[#This Row],[Care Assistant 2: Current 2021/22 Minimum hourly pay rate ADJUSTED]],DATA[[#This Row],[Care Assistant 2: Current 2021/22 Maximum hourly pay rate ADJUSTED]])&lt;LIVING_WAGE_22_23,DATA[[#This Row],[Care Assistant 2: Numbers employed (Full Time Equivalent)]],0),"")</f>
        <v/>
      </c>
      <c r="MN73" s="30" t="str">
        <f>IFERROR(IF(AVERAGE(DATA[[#This Row],[Care Assistant 3: Current 2021/22 Minimum hourly pay rate ADJUSTED]],DATA[[#This Row],[Care Assistant 3: Current 2021/22 Maximum hourly pay rate ADJUSTED]])&lt;LIVING_WAGE_22_23,DATA[[#This Row],[Care Assistant 3: Numbers employed (Full Time Equivalent)]],0),"")</f>
        <v/>
      </c>
      <c r="MO73" s="30" t="str">
        <f>IFERROR(IF(AVERAGE(DATA[[#This Row],[Care Assistant 4: Current 2021/22 Minimum hourly pay rate ADJUSTED]],DATA[[#This Row],[Care Assistant 4: Current 2021/22 Maximum hourly pay rate ADJUSTED]])&lt;LIVING_WAGE_22_23,DATA[[#This Row],[Care Assistant 4: Numbers employed (Full Time Equivalent)]],0),"")</f>
        <v/>
      </c>
      <c r="MP73"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73"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3" s="30" t="str">
        <f>IFERROR(IF(AVERAGE(DATA[[#This Row],[Other staff 1: Current 2021/22 Minimum hourly pay rate ADJUSTED]],DATA[[#This Row],[Other staff 1: Current 2021/22 Maximum hourly pay rate ADJUSTED]])&lt;LIVING_WAGE_22_23,DATA[[#This Row],[Other staff 1: Numbers employed (Full Time Equivalent)]],0),"")</f>
        <v/>
      </c>
      <c r="MS73" s="30" t="str">
        <f>IFERROR(IF(AVERAGE(DATA[[#This Row],[Other staff 2: Current 2021/22 Minimum hourly pay rate ADJUSTED]],DATA[[#This Row],[Other staff 2: Current 2021/22 Maximum hourly pay rate ADJUSTED]])&lt;LIVING_WAGE_22_23,DATA[[#This Row],[Other staff 2: Numbers employed (Full Time Equivalent)]],0),"")</f>
        <v/>
      </c>
      <c r="MT73" s="30" t="str">
        <f>IFERROR(IF(AVERAGE(DATA[[#This Row],[Other staff 3: Current 2021/22 Minimum hourly pay rate ADJUSTED]],DATA[[#This Row],[Other staff 3: Current 2021/22 Maximum hourly pay rate ADJUSTED]])&lt;LIVING_WAGE_22_23,DATA[[#This Row],[Other staff 3: Numbers employed (Full Time Equivalent)]],0),"")</f>
        <v/>
      </c>
      <c r="MU73" s="30">
        <f>SUM(DATA[[#This Row],[Registered Manager FTE earning less than NLW 23yrs 2022/23]:[Other staff 3 FTE earning less than NLW 23yrs 2022/23]])</f>
        <v>4.7</v>
      </c>
      <c r="MV73" s="30" t="str">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
      </c>
      <c r="MW73"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73"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73"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73"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3"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0.14099999999999699</v>
      </c>
      <c r="NB73"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73"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73"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73"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73"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3"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3"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3"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3" s="30" t="b">
        <v>1</v>
      </c>
      <c r="NK73" s="30" t="b">
        <v>1</v>
      </c>
      <c r="NL73" s="30" t="s">
        <v>505</v>
      </c>
      <c r="NM73" s="30">
        <f>SUM(DATA[[#This Row],[Management staff HOURLY RATE]:[Training and development HOURLY RATE]])</f>
        <v>0</v>
      </c>
      <c r="NN73" s="30">
        <f>SUM(DATA[[#This Row],[Recruitment &amp; advertising (including DBS checks) HOURLY RATE]:[Non-Staffing Direct Cost: Other  - please specify (amount) 2 HOURLY RATE]])</f>
        <v>0</v>
      </c>
      <c r="NO73" s="30">
        <f>SUM(DATA[[#This Row],[Insurance  HOURLY RATE]:[Indirect costs: Other  - please specify (amount) 2 HOURLY RATE]])</f>
        <v>0</v>
      </c>
      <c r="NP73" s="30">
        <f>SUM(DATA[[#This Row],[Central / Regional Management HOURLY RATE]:[Corporate Overheads: Other  - please specify (amount) 2 HOURLY RATE]])</f>
        <v>0</v>
      </c>
      <c r="NQ73" s="30" t="str">
        <f>IFERROR(IF(AVERAGE(DATA[[#This Row],[Registered manager: Current 2021/22 Minimum hourly pay rate ADJUSTED]],DATA[[#This Row],[Registered manager: Current 2021/22 Maximum hourly pay rate ADJUSTED]])&lt;REAL_LIVING_WAGE_22_23,DATA[[#This Row],[Registered manager: Numbers employed (Full Time Equivalent)]],0),"")</f>
        <v/>
      </c>
      <c r="NR73" s="30" t="str">
        <f>IFERROR(IF(AVERAGE(DATA[[#This Row],[Deputy manager: Current 2021/22 Minimum hourly pay rate ADJUSTED]],DATA[[#This Row],[Deputy manager: Current 2021/22 Maximum hourly pay rate ADJUSTED]])&lt;REAL_LIVING_WAGE_22_23,DATA[[#This Row],[Deputy manager: Numbers employed (Full Time Equivalent)]],0),"")</f>
        <v/>
      </c>
      <c r="NS73" s="30">
        <f>IFERROR(IF(AVERAGE(DATA[[#This Row],[Other manager 1: Current 2021/22 Minimum hourly pay rate ADJUSTED]],DATA[[#This Row],[Other manager 1: Current 2021/22 Maximum hourly pay rate ADJUSTED]])&lt;REAL_LIVING_WAGE_22_23,DATA[[#This Row],[Other manager 1: Numbers employed (Full Time Equivalent)]],0),"")</f>
        <v>0</v>
      </c>
      <c r="NT73" s="30">
        <f>IFERROR(IF(AVERAGE(DATA[[#This Row],[Other manager 2: Current 2021/22 Minimum hourly pay rate ADJUSTED]],DATA[[#This Row],[Other manager 2: Current 2021/22 Maximum hourly pay rate ADJUSTED]])&lt;REAL_LIVING_WAGE_22_23,DATA[[#This Row],[Other manager 2: Numbers employed (Full Time Equivalent)]],0),"")</f>
        <v>0</v>
      </c>
      <c r="NU73" s="30" t="str">
        <f>IFERROR(IF(AVERAGE(DATA[[#This Row],[Other manager 3: Current 2021/22 Minimum hourly pay rate ADJUSTED]],DATA[[#This Row],[Other manager 3: Current 2021/22 Maximum hourly pay rate ADJUSTED]])&lt;REAL_LIVING_WAGE_22_23,DATA[[#This Row],[Other manager 3: Numbers employed (Full Time Equivalent)]],0),"")</f>
        <v/>
      </c>
      <c r="NV73" s="30">
        <f>IFERROR(IF(AVERAGE(DATA[[#This Row],[Care Assistant 1: Current 2021/22 Minimum hourly pay rate ADJUSTED]],DATA[[#This Row],[Care Assistant 1: Current 2021/22 Maximum hourly pay rate ADJUSTED]])&lt;REAL_LIVING_WAGE_22_23,DATA[[#This Row],[Care Assistant 1: Numbers employed (Full Time Equivalent)]],0),"")</f>
        <v>4.7</v>
      </c>
      <c r="NW73"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73"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73"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73"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73"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3" s="30" t="str">
        <f>IFERROR(IF(AVERAGE(DATA[[#This Row],[Other staff 1: Current 2021/22 Minimum hourly pay rate ADJUSTED]],DATA[[#This Row],[Other staff 1: Current 2021/22 Maximum hourly pay rate ADJUSTED]])&lt;REAL_LIVING_WAGE_22_23,DATA[[#This Row],[Other staff 1: Numbers employed (Full Time Equivalent)]],0),"")</f>
        <v/>
      </c>
      <c r="OC73" s="30" t="str">
        <f>IFERROR(IF(AVERAGE(DATA[[#This Row],[Other staff 2: Current 2021/22 Minimum hourly pay rate ADJUSTED]],DATA[[#This Row],[Other staff 2: Current 2021/22 Maximum hourly pay rate ADJUSTED]])&lt;REAL_LIVING_WAGE_22_23,DATA[[#This Row],[Other staff 2: Numbers employed (Full Time Equivalent)]],0),"")</f>
        <v/>
      </c>
      <c r="OD73" s="30" t="str">
        <f>IFERROR(IF(AVERAGE(DATA[[#This Row],[Other staff 3: Current 2021/22 Minimum hourly pay rate ADJUSTED]],DATA[[#This Row],[Other staff 3: Current 2021/22 Maximum hourly pay rate ADJUSTED]])&lt;REAL_LIVING_WAGE_22_23,DATA[[#This Row],[Other staff 3: Numbers employed (Full Time Equivalent)]],0),"")</f>
        <v/>
      </c>
      <c r="OE73" s="30">
        <f>SUM(DATA[[#This Row],[Registered Manager FTE earning less than RLW 23yrs 2022/23]:[Other staff 3 FTE earning less than RLW 23yrs 2022/23]])</f>
        <v>4.7</v>
      </c>
      <c r="OF73" s="30" t="str">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
      </c>
      <c r="OG73"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73"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73"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73"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3"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2.0209999999999986</v>
      </c>
      <c r="OL73"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73"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73"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73"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73"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3"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3"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3"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3" s="30" t="str">
        <f>IFERROR(IF(DATA[[#This Row],[Registered manager: Numbers employed (Full Time Equivalent)]]=0,"",DATA[[#This Row],[Registered manager: Current 2021/22 Minimum hourly pay rate ADJUSTED 2]]*DATA[[#This Row],[Registered manager: Numbers employed (Full Time Equivalent)]]),"")</f>
        <v/>
      </c>
      <c r="OU73" s="30" t="str">
        <f>IFERROR(IF(DATA[[#This Row],[Registered manager: Numbers employed (Full Time Equivalent)]]=0,"",DATA[[#This Row],[Registered manager: Current 2021/22 Maximum hourly pay rate ADJUSTED 2]]*DATA[[#This Row],[Registered manager: Numbers employed (Full Time Equivalent)]]),"")</f>
        <v/>
      </c>
      <c r="OV73" s="30" t="str">
        <f>IFERROR(IF(DATA[[#This Row],[Registered manager: Numbers employed (Full Time Equivalent)]]=0,"",DATA[[#This Row],[Registered manager: Previous 2020/21 Minimum hourly pay rate ADJUSTED 2]]*DATA[[#This Row],[Registered manager: Numbers employed (Full Time Equivalent)]]),"")</f>
        <v/>
      </c>
      <c r="OW73" s="30" t="str">
        <f>IFERROR(IF(DATA[[#This Row],[Registered manager: Numbers employed (Full Time Equivalent)]]=0,"",DATA[[#This Row],[Registered manager: Previous 2020/21 Maximum hourly pay rate ADJUSTED 2]]*DATA[[#This Row],[Registered manager: Numbers employed (Full Time Equivalent)]]),"")</f>
        <v/>
      </c>
      <c r="OX73" s="30" t="str">
        <f>IFERROR(IF(DATA[[#This Row],[Deputy manager: Numbers employed (Full Time Equivalent)]]=0,"",DATA[[#This Row],[Deputy manager: Current 2021/22 Minimum hourly pay rate ADJUSTED 2]]*DATA[[#This Row],[Deputy manager: Numbers employed (Full Time Equivalent)]]),"")</f>
        <v/>
      </c>
      <c r="OY73" s="30" t="str">
        <f>IFERROR(IF(DATA[[#This Row],[Deputy manager: Numbers employed (Full Time Equivalent)]]=0,"",DATA[[#This Row],[Deputy manager: Current 2021/22 Maximum hourly pay rate ADJUSTED 2]]*DATA[[#This Row],[Deputy manager: Numbers employed (Full Time Equivalent)]]),"")</f>
        <v/>
      </c>
      <c r="OZ73" s="30" t="str">
        <f>IFERROR(IF(DATA[[#This Row],[Deputy manager: Numbers employed (Full Time Equivalent)]]=0,"",DATA[[#This Row],[Deputy manager: Previous 2020/21 Minimum hourly pay rate ADJUSTED 2]]*DATA[[#This Row],[Deputy manager: Numbers employed (Full Time Equivalent)]]),"")</f>
        <v/>
      </c>
      <c r="PA73" s="30" t="str">
        <f>IFERROR(IF(DATA[[#This Row],[Deputy manager: Numbers employed (Full Time Equivalent)]]=0,"",DATA[[#This Row],[Deputy manager: Previous 2020/21 Maximum hourly pay rate ADJUSTED 2]]*DATA[[#This Row],[Deputy manager: Numbers employed (Full Time Equivalent)]]),"")</f>
        <v/>
      </c>
      <c r="PB73" s="30">
        <f>IFERROR(IF(DATA[[#This Row],[Other manager 1: Numbers employed (Full Time Equivalent)]]=0,"",DATA[[#This Row],[Other manager 1: Current 2021/22 Minimum hourly pay rate ADJUSTED 2]]*DATA[[#This Row],[Other manager 1: Numbers employed (Full Time Equivalent)]]),"")</f>
        <v>11.928800000000001</v>
      </c>
      <c r="PC73" s="30">
        <f>IFERROR(IF(DATA[[#This Row],[Other manager 1: Numbers employed (Full Time Equivalent)]]=0,"",DATA[[#This Row],[Other manager 1: Current 2021/22 Maximum hourly pay rate ADJUSTED 2]]*DATA[[#This Row],[Other manager 1: Numbers employed (Full Time Equivalent)]]),"")</f>
        <v>13.231199999999999</v>
      </c>
      <c r="PD73" s="30">
        <f>IFERROR(IF(DATA[[#This Row],[Other manager 1: Numbers employed (Full Time Equivalent)]]=0,"",DATA[[#This Row],[Other manager 1: Previous 2020/21 Minimum hourly pay rate ADJUSTED 2]]*DATA[[#This Row],[Other manager 1: Numbers employed (Full Time Equivalent)]]),"")</f>
        <v>11.928800000000001</v>
      </c>
      <c r="PE73" s="30">
        <f>IFERROR(IF(DATA[[#This Row],[Other manager 1: Numbers employed (Full Time Equivalent)]]=0,"",DATA[[#This Row],[Other manager 1: Previous 2020/21 Maximum hourly pay rate ADJUSTED 2]]*DATA[[#This Row],[Other manager 1: Numbers employed (Full Time Equivalent)]]),"")</f>
        <v>13.231199999999999</v>
      </c>
      <c r="PF73" s="30">
        <f>IFERROR(IF(DATA[[#This Row],[Other manager 2: Numbers employed (Full Time Equivalent)]]=0,"",DATA[[#This Row],[Other manager 2: Current 2021/22 Minimum hourly pay rate ADJUSTED 2]]*DATA[[#This Row],[Other manager 2: Numbers employed (Full Time Equivalent)]]),"")</f>
        <v>10.73</v>
      </c>
      <c r="PG73" s="30">
        <f>IFERROR(IF(DATA[[#This Row],[Other manager 2: Numbers employed (Full Time Equivalent)]]=0,"",DATA[[#This Row],[Other manager 2: Current 2021/22 Maximum hourly pay rate ADJUSTED 2]]*DATA[[#This Row],[Other manager 2: Numbers employed (Full Time Equivalent)]]),"")</f>
        <v>11.92</v>
      </c>
      <c r="PH73" s="30">
        <f>IFERROR(IF(DATA[[#This Row],[Other manager 2: Numbers employed (Full Time Equivalent)]]=0,"",DATA[[#This Row],[Other manager 2: Previous 2020/21 Minimum hourly pay rate ADJUSTED 2]]*DATA[[#This Row],[Other manager 2: Numbers employed (Full Time Equivalent)]]),"")</f>
        <v>10.73</v>
      </c>
      <c r="PI73" s="30">
        <f>IFERROR(IF(DATA[[#This Row],[Other manager 2: Numbers employed (Full Time Equivalent)]]=0,"",DATA[[#This Row],[Other manager 2: Previous 2020/21 Maximum hourly pay rate ADJUSTED 2]]*DATA[[#This Row],[Other manager 2: Numbers employed (Full Time Equivalent)]]),"")</f>
        <v>11.92</v>
      </c>
      <c r="PJ73" s="30" t="str">
        <f>IFERROR(IF(DATA[[#This Row],[Other manager 3: Numbers employed (Full Time Equivalent)]]=0,"",DATA[[#This Row],[Other manager 3: Current 2021/22 Minimum hourly pay rate ADJUSTED 2]]*DATA[[#This Row],[Other manager 3: Numbers employed (Full Time Equivalent)]]),"")</f>
        <v/>
      </c>
      <c r="PK73" s="30" t="str">
        <f>IFERROR(IF(DATA[[#This Row],[Other manager 3: Numbers employed (Full Time Equivalent)]]=0,"",DATA[[#This Row],[Other manager 3: Current 2021/22 Maximum hourly pay rate ADJUSTED 2]]*DATA[[#This Row],[Other manager 3: Numbers employed (Full Time Equivalent)]]),"")</f>
        <v/>
      </c>
      <c r="PL73" s="30" t="str">
        <f>IFERROR(IF(DATA[[#This Row],[Other manager 3: Numbers employed (Full Time Equivalent)]]=0,"",DATA[[#This Row],[Other manager 3: Previous 2020/21 Minimum hourly pay rate ADJUSTED 2]]*DATA[[#This Row],[Other manager 3: Numbers employed (Full Time Equivalent)]]),"")</f>
        <v/>
      </c>
      <c r="PM73" s="30" t="str">
        <f>IFERROR(IF(DATA[[#This Row],[Other manager 3: Numbers employed (Full Time Equivalent)]]=0,"",DATA[[#This Row],[Other manager 3: Previous 2020/21 Maximum hourly pay rate ADJUSTED 2]]*DATA[[#This Row],[Other manager 3: Numbers employed (Full Time Equivalent)]]),"")</f>
        <v/>
      </c>
      <c r="PN73" s="30">
        <f>IFERROR(IF(DATA[[#This Row],[Care Assistant 1: Numbers employed (Full Time Equivalent)]]=0,"",DATA[[#This Row],[Care Assistant 1: Current 2021/22 Minimum hourly pay rate ADJUSTED 2]]*DATA[[#This Row],[Care Assistant 1: Numbers employed (Full Time Equivalent)]]),"")</f>
        <v>43.710000000000008</v>
      </c>
      <c r="PO73" s="30">
        <f>IFERROR(IF(DATA[[#This Row],[Care Assistant 1: Numbers employed (Full Time Equivalent)]]=0,"",DATA[[#This Row],[Care Assistant 1: Current 2021/22 Maximum hourly pay rate ADJUSTED 2]]*DATA[[#This Row],[Care Assistant 1: Numbers employed (Full Time Equivalent)]]),"")</f>
        <v>45.308000000000007</v>
      </c>
      <c r="PP73" s="30">
        <f>IFERROR(IF(DATA[[#This Row],[Care Assistant 1: Numbers employed (Full Time Equivalent)]]=0,"",DATA[[#This Row],[Care Assistant 1: Previous 2020/21 Minimum hourly pay rate ADJUSTED 2]]*DATA[[#This Row],[Care Assistant 1: Numbers employed (Full Time Equivalent)]]),"")</f>
        <v>43.710000000000008</v>
      </c>
      <c r="PQ73" s="30">
        <f>IFERROR(IF(DATA[[#This Row],[Care Assistant 1: Numbers employed (Full Time Equivalent)]]=0,"",DATA[[#This Row],[Care Assistant 1: Previous 2020/21 Maximum hourly pay rate ADJUSTED 2]]*DATA[[#This Row],[Care Assistant 1: Numbers employed (Full Time Equivalent)]]),"")</f>
        <v>45.308000000000007</v>
      </c>
      <c r="PR73" s="30" t="str">
        <f>IFERROR(IF(DATA[[#This Row],[Care Assistant 2: Numbers employed (Full Time Equivalent)]]=0,"",DATA[[#This Row],[Care Assistant 2: Current 2021/22 Minimum hourly pay rate ADJUSTED 2]]*DATA[[#This Row],[Care Assistant 2: Numbers employed (Full Time Equivalent)]]),"")</f>
        <v/>
      </c>
      <c r="PS73" s="30" t="str">
        <f>IFERROR(IF(DATA[[#This Row],[Care Assistant 2: Numbers employed (Full Time Equivalent)]]=0,"",DATA[[#This Row],[Care Assistant 2: Current 2021/22 Maximum hourly pay rate ADJUSTED 2]]*DATA[[#This Row],[Care Assistant 2: Numbers employed (Full Time Equivalent)]]),"")</f>
        <v/>
      </c>
      <c r="PT73" s="30" t="str">
        <f>IFERROR(IF(DATA[[#This Row],[Care Assistant 2: Numbers employed (Full Time Equivalent)]]=0,"",DATA[[#This Row],[Care Assistant 2: Previous 2020/21 Minimum hourly pay rate ADJUSTED 2]]*DATA[[#This Row],[Care Assistant 2: Numbers employed (Full Time Equivalent)]]),"")</f>
        <v/>
      </c>
      <c r="PU73" s="30" t="str">
        <f>IFERROR(IF(DATA[[#This Row],[Care Assistant 2: Numbers employed (Full Time Equivalent)]]=0,"",DATA[[#This Row],[Care Assistant 2: Previous 2020/21 Maximum hourly pay rate ADJUSTED 2]]*DATA[[#This Row],[Care Assistant 2: Numbers employed (Full Time Equivalent)]]),"")</f>
        <v/>
      </c>
      <c r="PV73" s="30" t="str">
        <f>IFERROR(IF(DATA[[#This Row],[Care Assistant 3: Numbers employed (Full Time Equivalent)]]=0,"",DATA[[#This Row],[Care Assistant 3: Current 2021/22 Minimum hourly pay rate ADJUSTED 2]]*DATA[[#This Row],[Care Assistant 3: Numbers employed (Full Time Equivalent)]]),"")</f>
        <v/>
      </c>
      <c r="PW73" s="30" t="str">
        <f>IFERROR(IF(DATA[[#This Row],[Care Assistant 3: Numbers employed (Full Time Equivalent)]]=0,"",DATA[[#This Row],[Care Assistant 3: Current 2021/22 Maximum hourly pay rate ADJUSTED 2]]*DATA[[#This Row],[Care Assistant 3: Numbers employed (Full Time Equivalent)]]),"")</f>
        <v/>
      </c>
      <c r="PX73" s="30" t="str">
        <f>IFERROR(IF(DATA[[#This Row],[Care Assistant 3: Numbers employed (Full Time Equivalent)]]=0,"",DATA[[#This Row],[Care Assistant 3: Previous 2020/21 Minimum hourly pay rate ADJUSTED 2]]*DATA[[#This Row],[Care Assistant 3: Numbers employed (Full Time Equivalent)]]),"")</f>
        <v/>
      </c>
      <c r="PY73" s="30" t="str">
        <f>IFERROR(IF(DATA[[#This Row],[Care Assistant 3: Numbers employed (Full Time Equivalent)]]=0,"",DATA[[#This Row],[Care Assistant 3: Previous 2020/21 Maximum hourly pay rate ADJUSTED 2]]*DATA[[#This Row],[Care Assistant 3: Numbers employed (Full Time Equivalent)]]),"")</f>
        <v/>
      </c>
      <c r="PZ73" s="30" t="str">
        <f>IFERROR(IF(DATA[[#This Row],[Care Assistant 4: Numbers employed (Full Time Equivalent)]]=0,"",DATA[[#This Row],[Care Assistant 4: Current 2021/22 Minimum hourly pay rate ADJUSTED 2]]*DATA[[#This Row],[Care Assistant 4: Numbers employed (Full Time Equivalent)]]),"")</f>
        <v/>
      </c>
      <c r="QA73" s="30" t="str">
        <f>IFERROR(IF(DATA[[#This Row],[Care Assistant 4: Numbers employed (Full Time Equivalent)]]=0,"",DATA[[#This Row],[Care Assistant 4: Current 2021/22 Maximum hourly pay rate ADJUSTED 2]]*DATA[[#This Row],[Care Assistant 4: Numbers employed (Full Time Equivalent)]]),"")</f>
        <v/>
      </c>
      <c r="QB73" s="30" t="str">
        <f>IFERROR(IF(DATA[[#This Row],[Care Assistant 4: Numbers employed (Full Time Equivalent)]]=0,"",DATA[[#This Row],[Care Assistant 4: Previous 2020/21 Minimum hourly pay rate ADJUSTED 2]]*DATA[[#This Row],[Care Assistant 4: Numbers employed (Full Time Equivalent)]]),"")</f>
        <v/>
      </c>
      <c r="QC73" s="30" t="str">
        <f>IFERROR(IF(DATA[[#This Row],[Care Assistant 4: Numbers employed (Full Time Equivalent)]]=0,"",DATA[[#This Row],[Care Assistant 4: Previous 2020/21 Maximum hourly pay rate ADJUSTED 2]]*DATA[[#This Row],[Care Assistant 4: Numbers employed (Full Time Equivalent)]]),"")</f>
        <v/>
      </c>
      <c r="QD73" s="30" t="str">
        <f>IFERROR(IF(DATA[[#This Row],[Administrative Officer 1: Numbers employed (Full Time Equivalent)]]=0,"",DATA[[#This Row],[Administrative Officer 1: Current 2021/22 Minimum hourly pay rate ADJUSTED 2]]*DATA[[#This Row],[Administrative Officer 1: Numbers employed (Full Time Equivalent)]]),"")</f>
        <v/>
      </c>
      <c r="QE73" s="30" t="str">
        <f>IFERROR(IF(DATA[[#This Row],[Administrative Officer 1: Numbers employed (Full Time Equivalent)]]=0,"",DATA[[#This Row],[Administrative Officer 1: Current 2021/22 Maximum hourly pay rate ADJUSTED 2]]*DATA[[#This Row],[Administrative Officer 1: Numbers employed (Full Time Equivalent)]]),"")</f>
        <v/>
      </c>
      <c r="QF73" s="30" t="str">
        <f>IFERROR(IF(DATA[[#This Row],[Administrative Officer 1: Numbers employed (Full Time Equivalent)]]=0,"",DATA[[#This Row],[Administrative Officer 1: Previous 2020/21 Minimum hourly pay rate ADJUSTED 2]]*DATA[[#This Row],[Administrative Officer 1: Numbers employed (Full Time Equivalent)]]),"")</f>
        <v/>
      </c>
      <c r="QG73" s="30" t="str">
        <f>IFERROR(IF(DATA[[#This Row],[Administrative Officer 1: Numbers employed (Full Time Equivalent)]]=0,"",DATA[[#This Row],[Administrative Officer 1: Previous 2020/21 Maximum hourly pay rate ADJUSTED 2]]*DATA[[#This Row],[Administrative Officer 1: Numbers employed (Full Time Equivalent)]]),"")</f>
        <v/>
      </c>
      <c r="QH73" s="30" t="str">
        <f>IFERROR(IF(DATA[[#This Row],[Administrative Officer 2: Numbers employed (Full Time Equivalent)]]=0,"",DATA[[#This Row],[Administrative Officer 2: Current 2021/22 Minimum hourly pay rate ADJUSTED 2]]*DATA[[#This Row],[Administrative Officer 2: Numbers employed (Full Time Equivalent)]]),"")</f>
        <v/>
      </c>
      <c r="QI73" s="30" t="str">
        <f>IFERROR(IF(DATA[[#This Row],[Administrative Officer 2: Numbers employed (Full Time Equivalent)]]=0,"",DATA[[#This Row],[Administrative Officer 2: Current 2021/22 Maximum hourly pay rate ADJUSTED 2]]*DATA[[#This Row],[Administrative Officer 2: Numbers employed (Full Time Equivalent)]]),"")</f>
        <v/>
      </c>
      <c r="QJ73" s="30" t="str">
        <f>IFERROR(IF(DATA[[#This Row],[Administrative Officer 2: Numbers employed (Full Time Equivalent)]]=0,"",DATA[[#This Row],[Administrative Officer 2: Previous 2020/21 Minimum hourly pay rate ADJUSTED 2]]*DATA[[#This Row],[Administrative Officer 2: Numbers employed (Full Time Equivalent)]]),"")</f>
        <v/>
      </c>
      <c r="QK73" s="30" t="str">
        <f>IFERROR(IF(DATA[[#This Row],[Administrative Officer 2: Numbers employed (Full Time Equivalent)]]=0,"",DATA[[#This Row],[Administrative Officer 2: Previous 2020/21 Maximum hourly pay rate ADJUSTED 2]]*DATA[[#This Row],[Administrative Officer 2: Numbers employed (Full Time Equivalent)]]),"")</f>
        <v/>
      </c>
      <c r="QL73" s="30" t="str">
        <f>IFERROR(IF(DATA[[#This Row],[Administrative Officer 3: Numbers employed (Full Time Equivalent)]]=0,"",DATA[[#This Row],[Administrative Officer 3: Current 2021/22 Minimum hourly pay rate ADJUSTED 2]]*DATA[[#This Row],[Administrative Officer 3: Numbers employed (Full Time Equivalent)]]),"")</f>
        <v/>
      </c>
      <c r="QM73" s="30" t="str">
        <f>IFERROR(IF(DATA[[#This Row],[Administrative Officer 3: Numbers employed (Full Time Equivalent)]]=0,"",DATA[[#This Row],[Administrative Officer 3: Current 2021/22 Maximum hourly pay rate ADJUSTED 2]]*DATA[[#This Row],[Administrative Officer 3: Numbers employed (Full Time Equivalent)]]),"")</f>
        <v/>
      </c>
      <c r="QN73" s="30" t="str">
        <f>IFERROR(IF(DATA[[#This Row],[Administrative Officer 3: Numbers employed (Full Time Equivalent)]]=0,"",DATA[[#This Row],[Administrative Officer 3: Previous 2020/21 Minimum hourly pay rate ADJUSTED 2]]*DATA[[#This Row],[Administrative Officer 3: Numbers employed (Full Time Equivalent)]]),"")</f>
        <v/>
      </c>
      <c r="QO73" s="30" t="str">
        <f>IFERROR(IF(DATA[[#This Row],[Administrative Officer 3: Numbers employed (Full Time Equivalent)]]=0,"",DATA[[#This Row],[Administrative Officer 3: Previous 2020/21 Maximum hourly pay rate ADJUSTED 2]]*DATA[[#This Row],[Administrative Officer 3: Numbers employed (Full Time Equivalent)]]),"")</f>
        <v/>
      </c>
      <c r="QP73" s="28" t="str">
        <f>IFERROR(IF(DATA[[#This Row],[Other staff 1: Numbers employed (Full Time Equivalent)]]=0,"",DATA[[#This Row],[Other staff 1: Current 2021/22 Minimum hourly pay rate ADJUSTED 2]]*DATA[[#This Row],[Other staff 1: Numbers employed (Full Time Equivalent)]]),"")</f>
        <v/>
      </c>
      <c r="QQ73" s="28" t="str">
        <f>IFERROR(IF(DATA[[#This Row],[Other staff 1: Numbers employed (Full Time Equivalent)]]=0,"",DATA[[#This Row],[Other staff 1: Current 2021/22 Maximum hourly pay rate ADJUSTED 2]]*DATA[[#This Row],[Other staff 1: Numbers employed (Full Time Equivalent)]]),"")</f>
        <v/>
      </c>
      <c r="QR73" s="28" t="str">
        <f>IFERROR(IF(DATA[[#This Row],[Other staff 1: Numbers employed (Full Time Equivalent)]]=0,"",DATA[[#This Row],[Other staff 1: Previous 2020/21 Minimum hourly pay rate ADJUSTED 2]]*DATA[[#This Row],[Other staff 1: Numbers employed (Full Time Equivalent)]]),"")</f>
        <v/>
      </c>
      <c r="QS73" s="28" t="str">
        <f>IFERROR(IF(DATA[[#This Row],[Other staff 1: Numbers employed (Full Time Equivalent)]]=0,"",DATA[[#This Row],[Other staff 1: Previous 2020/21 Maximum hourly pay rate ADJUSTED 2]]*DATA[[#This Row],[Other staff 1: Numbers employed (Full Time Equivalent)]]),"")</f>
        <v/>
      </c>
      <c r="QT73" s="28" t="str">
        <f>IFERROR(IF(DATA[[#This Row],[Other staff 2: Numbers employed (Full Time Equivalent)]]=0,"",DATA[[#This Row],[Other staff 2: Current 2021/22 Minimum hourly pay rate ADJUSTED 2]]*DATA[[#This Row],[Other staff 2: Numbers employed (Full Time Equivalent)]]),"")</f>
        <v/>
      </c>
      <c r="QU73" s="28" t="str">
        <f>IFERROR(IF(DATA[[#This Row],[Other staff 2: Numbers employed (Full Time Equivalent)]]=0,"",DATA[[#This Row],[Other staff 2: Current 2021/22 Maximum hourly pay rate ADJUSTED 2]]*DATA[[#This Row],[Other staff 2: Numbers employed (Full Time Equivalent)]]),"")</f>
        <v/>
      </c>
      <c r="QV73" s="28" t="str">
        <f>IFERROR(IF(DATA[[#This Row],[Other staff 2: Numbers employed (Full Time Equivalent)]]=0,"",DATA[[#This Row],[Other staff 2: Previous 2020/21 Minimum hourly pay rate ADJUSTED 2]]*DATA[[#This Row],[Other staff 2: Numbers employed (Full Time Equivalent)]]),"")</f>
        <v/>
      </c>
      <c r="QW73" s="28" t="str">
        <f>IFERROR(IF(DATA[[#This Row],[Other staff 2: Numbers employed (Full Time Equivalent)]]=0,"",DATA[[#This Row],[Other staff 2: Previous 2020/21 Maximum hourly pay rate ADJUSTED 2]]*DATA[[#This Row],[Other staff 2: Numbers employed (Full Time Equivalent)]]),"")</f>
        <v/>
      </c>
      <c r="QX73" s="28" t="str">
        <f>IFERROR(IF(DATA[[#This Row],[Other staff 3: Numbers employed (Full Time Equivalent)]]=0,"",DATA[[#This Row],[Other staff 3: Current 2021/22 Minimum hourly pay rate ADJUSTED 2]]*DATA[[#This Row],[Other staff 3: Numbers employed (Full Time Equivalent)]]),"")</f>
        <v/>
      </c>
      <c r="QY73" s="28" t="str">
        <f>IFERROR(IF(DATA[[#This Row],[Other staff 3: Numbers employed (Full Time Equivalent)]]=0,"",DATA[[#This Row],[Other staff 3: Current 2021/22 Maximum hourly pay rate ADJUSTED 2]]*DATA[[#This Row],[Other staff 3: Numbers employed (Full Time Equivalent)]]),"")</f>
        <v/>
      </c>
      <c r="QZ73" s="28" t="str">
        <f>IFERROR(IF(DATA[[#This Row],[Other staff 3: Numbers employed (Full Time Equivalent)]]=0,"",DATA[[#This Row],[Other staff 3: Previous 2020/21 Minimum hourly pay rate ADJUSTED 2]]*DATA[[#This Row],[Other staff 3: Numbers employed (Full Time Equivalent)]]),"")</f>
        <v/>
      </c>
      <c r="RA73" s="28" t="str">
        <f>IFERROR(IF(DATA[[#This Row],[Other staff 3: Numbers employed (Full Time Equivalent)]]=0,"",DATA[[#This Row],[Other staff 3: Previous 2020/21 Maximum hourly pay rate ADJUSTED 2]]*DATA[[#This Row],[Other staff 3: Numbers employed (Full Time Equivalent)]]),"")</f>
        <v/>
      </c>
      <c r="RB73"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73"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73"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0.74</v>
      </c>
      <c r="RE73"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73"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3"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4.7</v>
      </c>
      <c r="RH73"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73"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3"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3"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73"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3"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3"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3"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3"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4" spans="7:484" x14ac:dyDescent="0.25">
      <c r="G74" s="2">
        <v>68</v>
      </c>
      <c r="H74" s="2">
        <v>0</v>
      </c>
      <c r="I74" s="2">
        <v>4</v>
      </c>
      <c r="AB74" s="2" t="s">
        <v>560</v>
      </c>
      <c r="AC74" s="2">
        <v>16.12</v>
      </c>
      <c r="AD74" s="2">
        <v>17.88</v>
      </c>
      <c r="AE74" s="2">
        <v>0</v>
      </c>
      <c r="AF74" s="2">
        <v>0</v>
      </c>
      <c r="AG74" s="2">
        <v>0.34</v>
      </c>
      <c r="AH74" s="2" t="s">
        <v>593</v>
      </c>
      <c r="AI74" s="2">
        <v>10.73</v>
      </c>
      <c r="AJ74" s="2">
        <v>11.92</v>
      </c>
      <c r="AK74" s="2">
        <v>0</v>
      </c>
      <c r="AL74" s="2">
        <v>0</v>
      </c>
      <c r="AM74" s="2">
        <v>1</v>
      </c>
      <c r="AN74" s="2"/>
      <c r="AO74" s="2"/>
      <c r="AP74" s="2"/>
      <c r="AQ74" s="2"/>
      <c r="AR74" s="2"/>
      <c r="AS74" s="2"/>
      <c r="AT74" s="2" t="s">
        <v>337</v>
      </c>
      <c r="AU74" s="2">
        <v>9.3000000000000007</v>
      </c>
      <c r="AV74" s="2">
        <v>9.64</v>
      </c>
      <c r="AW74" s="2">
        <v>0</v>
      </c>
      <c r="AX74" s="2">
        <v>0</v>
      </c>
      <c r="AY74" s="2">
        <v>8.1</v>
      </c>
      <c r="AZ74" s="2" t="s">
        <v>594</v>
      </c>
      <c r="BA74" s="2"/>
      <c r="BB74" s="2"/>
      <c r="BC74" s="2"/>
      <c r="BD74" s="2"/>
      <c r="BE74" s="2">
        <v>0.6</v>
      </c>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v>0</v>
      </c>
      <c r="DD74" s="2">
        <v>0</v>
      </c>
      <c r="DE74" s="2">
        <v>0</v>
      </c>
      <c r="DF74" s="2">
        <v>0</v>
      </c>
      <c r="DG74" s="2">
        <v>0</v>
      </c>
      <c r="DH74" s="2">
        <v>0</v>
      </c>
      <c r="DI74" s="2">
        <v>0</v>
      </c>
      <c r="DJ74" s="2">
        <v>0</v>
      </c>
      <c r="DK74" s="2">
        <v>0</v>
      </c>
      <c r="DL74" s="2">
        <v>0</v>
      </c>
      <c r="DM74" s="2">
        <v>0</v>
      </c>
      <c r="DN74" s="2">
        <v>0</v>
      </c>
      <c r="DO74" s="2">
        <v>0</v>
      </c>
      <c r="DP74" s="2">
        <v>0</v>
      </c>
      <c r="DQ74" s="2">
        <v>0</v>
      </c>
      <c r="DR74" s="18">
        <v>43922</v>
      </c>
      <c r="DS74" s="18">
        <v>44286</v>
      </c>
      <c r="DT74" s="2">
        <v>0</v>
      </c>
      <c r="DU74" s="2">
        <v>36377.769999999997</v>
      </c>
      <c r="DV74" s="2">
        <v>249606.23</v>
      </c>
      <c r="DW74" s="2">
        <v>0</v>
      </c>
      <c r="DX74" s="2">
        <v>0</v>
      </c>
      <c r="DY74" s="2">
        <v>0</v>
      </c>
      <c r="DZ74" s="2">
        <v>1381</v>
      </c>
      <c r="EA74" s="2">
        <v>0</v>
      </c>
      <c r="EB74" s="2">
        <v>0</v>
      </c>
      <c r="EC74" s="2">
        <v>0</v>
      </c>
      <c r="ED74" s="2">
        <v>0</v>
      </c>
      <c r="EE74" s="2">
        <v>0</v>
      </c>
      <c r="EF74" s="2">
        <v>0</v>
      </c>
      <c r="EG74" s="2">
        <v>258</v>
      </c>
      <c r="EH74" s="2" t="s">
        <v>324</v>
      </c>
      <c r="EI74" s="2">
        <v>0</v>
      </c>
      <c r="EJ74" s="2" t="s">
        <v>324</v>
      </c>
      <c r="EK74" s="2">
        <v>0</v>
      </c>
      <c r="EL74" s="2">
        <v>1861</v>
      </c>
      <c r="EM74" s="2">
        <v>8829</v>
      </c>
      <c r="EN74" s="2">
        <v>2402</v>
      </c>
      <c r="EO74" s="2">
        <v>0</v>
      </c>
      <c r="EP74" s="2">
        <v>0</v>
      </c>
      <c r="EQ74" s="2">
        <v>0</v>
      </c>
      <c r="ER74" s="2">
        <v>0</v>
      </c>
      <c r="ES74" s="2">
        <v>8569</v>
      </c>
      <c r="ET74" s="2" t="s">
        <v>587</v>
      </c>
      <c r="EU74" s="2">
        <v>4558</v>
      </c>
      <c r="EV74" s="2" t="s">
        <v>595</v>
      </c>
      <c r="EW74" s="2">
        <v>14381</v>
      </c>
      <c r="EX74" s="2">
        <v>3760.297</v>
      </c>
      <c r="EY74" s="2">
        <v>33842.673000000003</v>
      </c>
      <c r="EZ74" s="2" t="s">
        <v>326</v>
      </c>
      <c r="FA74" s="2">
        <v>0</v>
      </c>
      <c r="FB74" s="2" t="s">
        <v>326</v>
      </c>
      <c r="FC74" s="2">
        <v>0</v>
      </c>
      <c r="FD74" s="2"/>
      <c r="FE74" s="2">
        <v>0</v>
      </c>
      <c r="FF74" s="2">
        <v>0</v>
      </c>
      <c r="FG74" s="2"/>
      <c r="FH74" s="19">
        <v>44480.627569444441</v>
      </c>
      <c r="FI74" s="2" t="s">
        <v>345</v>
      </c>
      <c r="FJ74" s="2">
        <f>SUM(DATA[[#This Row],[Number of Home support clients:]],DATA[[#This Row],[Number of supported living clients:]])</f>
        <v>4</v>
      </c>
      <c r="FK74"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74" s="2" t="str">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
      </c>
      <c r="FM74" s="2" t="str">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
      </c>
      <c r="FN74"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74"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74"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74"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74"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74"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74"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16.12</v>
      </c>
      <c r="FU74"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17.88</v>
      </c>
      <c r="FV74"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74"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74"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10.73</v>
      </c>
      <c r="FY74"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11.92</v>
      </c>
      <c r="FZ74"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4"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4"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4"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4"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4"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4"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9.3000000000000007</v>
      </c>
      <c r="GG74"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9.64</v>
      </c>
      <c r="GH74"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74"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74"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74"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74"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74"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74"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74"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74"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4"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4"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74"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74"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4"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4"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74"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74"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74"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74"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4"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4"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4"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4"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4"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4"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4"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4"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4"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4"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4"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4"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4"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4"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4"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4"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4"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4"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4"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4" s="2" t="str">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
      </c>
      <c r="HU74" s="2" t="str">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
      </c>
      <c r="HV74" s="2" t="str">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
      </c>
      <c r="HW74" s="2" t="str">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
      </c>
      <c r="HX74"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74"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74"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74"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74"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16.12</v>
      </c>
      <c r="IC74"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17.88</v>
      </c>
      <c r="ID74"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16.12</v>
      </c>
      <c r="IE74"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17.88</v>
      </c>
      <c r="IF74"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10.73</v>
      </c>
      <c r="IG74"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11.92</v>
      </c>
      <c r="IH74"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10.73</v>
      </c>
      <c r="II74"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11.92</v>
      </c>
      <c r="IJ74"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4"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4"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4"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4"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9.3000000000000007</v>
      </c>
      <c r="IO74"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9.64</v>
      </c>
      <c r="IP74"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9.3000000000000007</v>
      </c>
      <c r="IQ74"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9.64</v>
      </c>
      <c r="IR74"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74"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74"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74"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74"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74"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74"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74"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74"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74"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74"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74"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74"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74"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74"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74"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74"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4"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4"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4"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4"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4"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4"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4"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4"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4"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4"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4"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4"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4"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4"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4"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4"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4"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4"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4"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4"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1.34</v>
      </c>
      <c r="KC74" s="21">
        <f>SUM(DATA[[#This Row],[Care Assistant 1: Numbers employed (Full Time Equivalent)]],DATA[[#This Row],[Care Assistant 2: Numbers employed (Full Time Equivalent)]],DATA[[#This Row],[Care Assistant 3: Numbers employed (Full Time Equivalent)]],DATA[[#This Row],[Care Assistant 4: Numbers employed (Full Time Equivalent)]])</f>
        <v>8.6999999999999993</v>
      </c>
      <c r="KD74" s="21">
        <f>SUM(DATA[[#This Row],[Administrative Officer 1: Numbers employed (Full Time Equivalent)]],DATA[[#This Row],[Administrative Officer 2: Numbers employed (Full Time Equivalent)]])</f>
        <v>0</v>
      </c>
      <c r="KE74" s="21">
        <f>SUM(DATA[[#This Row],[Other staff 1: Numbers employed (Full Time Equivalent)]],DATA[[#This Row],[Other staff 2: Numbers employed (Full Time Equivalent)]],DATA[[#This Row],[Other staff 3: Numbers employed (Full Time Equivalent)]])</f>
        <v>0</v>
      </c>
      <c r="KF74" s="21">
        <f>SUM(DATA[[#This Row],[Total FTE Management Employees]:[Total FTE Other Employees]])</f>
        <v>10.039999999999999</v>
      </c>
      <c r="KG74" s="21" t="str">
        <f>IF(SUM(DATA[[#This Row],[Home Support service split percentage (Expenditure):]],DATA[[#This Row],[Supported Living service split percentage (Expenditure):]])&gt;0, IF(DATA[[#This Row],[Home Support service split percentage (Expenditure):]]&gt;0.5,"Home Support","Supported Living"), "Unknown")</f>
        <v>Unknown</v>
      </c>
      <c r="KH74" s="21">
        <f>SUM(DATA[[#This Row],[Home Support: Birmingham City Council]:[Home Support: Self-funded]])</f>
        <v>0</v>
      </c>
      <c r="KI74" s="21">
        <f>SUM(DATA[[#This Row],[Supported Living: Birmingham City Council]:[Supported Living: Self-funded]])</f>
        <v>0</v>
      </c>
      <c r="KJ74"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4"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4"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4"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4" s="21" t="b">
        <f>SUM(DATA[[#This Row],[Number of hours of care charged for in last full accounting year]:[Corporate Overheads: Other  - please specify (category) 1]])&gt;0</f>
        <v>1</v>
      </c>
      <c r="KO74" s="21">
        <f>SUM(DATA[[#This Row],[Total annual expenditure: Management staff]:[Total annual expenditure: Training and development]])</f>
        <v>287365</v>
      </c>
      <c r="KP74" s="21">
        <f>SUM(DATA[[#This Row],[Recruitment &amp; advertising (including DBS checks)]:[Non-Staffing Direct Cost: Other  - please specify (amount) 2]])</f>
        <v>258</v>
      </c>
      <c r="KQ74" s="21">
        <f>SUM(DATA[[#This Row],[Insurance ]:[Indirect costs: Other 2 - please specify (amount)]])</f>
        <v>40600</v>
      </c>
      <c r="KR74" s="21">
        <f>SUM(DATA[[#This Row],[Central / Regional Management]],DATA[[#This Row],[Support Services (finance / HR / Payroll / legal etc.)]],DATA[[#This Row],[Corporate Overheads: Other  - please specify (amount) 1]],DATA[[#This Row],[Corporate Overheads: Other  - please specify (amount) 2]])</f>
        <v>37602.97</v>
      </c>
      <c r="KS74"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74"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74"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74"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74"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74"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74"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4"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74"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74"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74" s="30">
        <f>IF(OR(NOT(DATA[[#This Row],[Care consumables &amp; uniforms]]&gt;0),NOT(DATA[[#This Row],[Number of hours of care charged for in last full accounting year]]&gt;0)),0,DATA[[#This Row],[Care consumables &amp; uniforms]]/DATA[[#This Row],[Number of hours of care charged for in last full accounting year]])</f>
        <v>0</v>
      </c>
      <c r="LD74" s="30">
        <f>IF(OR(NOT(DATA[[#This Row],[Electronic call monitoring]]&gt;0),NOT(DATA[[#This Row],[Number of hours of care charged for in last full accounting year]]&gt;0)),0,DATA[[#This Row],[Electronic call monitoring]]/DATA[[#This Row],[Number of hours of care charged for in last full accounting year]])</f>
        <v>0</v>
      </c>
      <c r="LE74" s="30">
        <f>IF(OR(NOT(DATA[[#This Row],[IT Equipment &amp; Telephoney]]&gt;0),NOT(DATA[[#This Row],[Number of hours of care charged for in last full accounting year]]&gt;0)),0,DATA[[#This Row],[IT Equipment &amp; Telephoney]]/DATA[[#This Row],[Number of hours of care charged for in last full accounting year]])</f>
        <v>0</v>
      </c>
      <c r="LF74"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74"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4" s="30">
        <f>IF(OR(NOT(DATA[[#This Row],[Insurance ]]&gt;0),NOT(DATA[[#This Row],[Number of hours of care charged for in last full accounting year]]&gt;0)),0,DATA[[#This Row],[Insurance ]]/DATA[[#This Row],[Number of hours of care charged for in last full accounting year]])</f>
        <v>0</v>
      </c>
      <c r="LI74"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74" s="30">
        <f>IF(OR(NOT(DATA[[#This Row],[Repairs and maintenance]]&gt;0),NOT(DATA[[#This Row],[Number of hours of care charged for in last full accounting year]]&gt;0)),0,DATA[[#This Row],[Repairs and maintenance]]/DATA[[#This Row],[Number of hours of care charged for in last full accounting year]])</f>
        <v>0</v>
      </c>
      <c r="LK74"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74" s="30">
        <f>IF(OR(NOT(DATA[[#This Row],[Registration &amp; Inspection fees ]]&gt;0),NOT(DATA[[#This Row],[Number of hours of care charged for in last full accounting year]]&gt;0)),0,DATA[[#This Row],[Registration &amp; Inspection fees ]]/DATA[[#This Row],[Number of hours of care charged for in last full accounting year]])</f>
        <v>0</v>
      </c>
      <c r="LM74" s="30">
        <f>IF(OR(NOT(DATA[[#This Row],[Subscriptions]]&gt;0),NOT(DATA[[#This Row],[Number of hours of care charged for in last full accounting year]]&gt;0)),0,DATA[[#This Row],[Subscriptions]]/DATA[[#This Row],[Number of hours of care charged for in last full accounting year]])</f>
        <v>0</v>
      </c>
      <c r="LN74" s="30">
        <f>IF(OR(NOT(DATA[[#This Row],[Cost of finance]]&gt;0),NOT(DATA[[#This Row],[Number of hours of care charged for in last full accounting year]]&gt;0)),0,DATA[[#This Row],[Cost of finance]]/DATA[[#This Row],[Number of hours of care charged for in last full accounting year]])</f>
        <v>0</v>
      </c>
      <c r="LO74" s="30">
        <f>IF(OR(NOT(DATA[[#This Row],[Other non-staff current expenses]]&gt;0),NOT(DATA[[#This Row],[Number of hours of care charged for in last full accounting year]]&gt;0)),0,DATA[[#This Row],[Other non-staff current expenses]]/DATA[[#This Row],[Number of hours of care charged for in last full accounting year]])</f>
        <v>0</v>
      </c>
      <c r="LP74"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74"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4" s="30">
        <f>IF(OR(NOT(DATA[[#This Row],[Central / Regional Management]]&gt;0),NOT(DATA[[#This Row],[Number of hours of care charged for in last full accounting year]]&gt;0)),0,DATA[[#This Row],[Central / Regional Management]]/DATA[[#This Row],[Number of hours of care charged for in last full accounting year]])</f>
        <v>0</v>
      </c>
      <c r="LS74"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74"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4"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4" s="30">
        <f>SUM(DATA[[#This Row],[Management staff HOURLY RATE]:[Corporate Overheads: Other  - please specify (amount) 2 HOURLY RATE]])</f>
        <v>0</v>
      </c>
      <c r="LW74" s="30" t="str">
        <f>IF(OR(NOT(DATA[[#This Row],[Net Operating Profit]]&gt;0),NOT(DATA[[#This Row],[Number of hours of care charged for in last full accounting year]]&gt;0)),"",DATA[[#This Row],[Net Operating Profit]]/DATA[[#This Row],[Number of hours of care charged for in last full accounting year]])</f>
        <v/>
      </c>
      <c r="LX74" s="30">
        <f>IF(OR(NOT(DATA[[#This Row],[Return on Capital employed]]&gt;0),NOT(DATA[[#This Row],[Number of hours of care charged for in last full accounting year]]&gt;0)),0,DATA[[#This Row],[Return on Capital employed]]/DATA[[#This Row],[Number of hours of care charged for in last full accounting year]])</f>
        <v>0</v>
      </c>
      <c r="LY74" s="31">
        <v>69</v>
      </c>
      <c r="LZ74" s="30" t="s">
        <v>345</v>
      </c>
      <c r="MA74" s="30" t="b">
        <f>DATA[[#This Row],[Number of Home support clients:]]&gt;0</f>
        <v>0</v>
      </c>
      <c r="MB74" s="30" t="b">
        <f>DATA[[#This Row],[Number of supported living clients:]]&gt;0</f>
        <v>1</v>
      </c>
      <c r="MC74" s="30" t="b">
        <f>DATA[[#This Row],[Total Home Support Hours]]&gt;0</f>
        <v>0</v>
      </c>
      <c r="MD74" s="30" t="b">
        <f>DATA[[#This Row],[Total Supported Living Hours]]&gt;0</f>
        <v>0</v>
      </c>
      <c r="ME74" s="30" t="b">
        <f>DATA[[#This Row],[Home Support service split percentage (Expenditure):]]&gt;0.5</f>
        <v>0</v>
      </c>
      <c r="MF74" s="30" t="b">
        <f>DATA[[#This Row],[Agency staff HOURLY RATE]]=0</f>
        <v>1</v>
      </c>
      <c r="MG74" s="30" t="str">
        <f>IFERROR(IF(AVERAGE(DATA[[#This Row],[Registered manager: Current 2021/22 Minimum hourly pay rate ADJUSTED]],DATA[[#This Row],[Registered manager: Current 2021/22 Maximum hourly pay rate ADJUSTED]])&lt;LIVING_WAGE_22_23,DATA[[#This Row],[Registered manager: Numbers employed (Full Time Equivalent)]],0),"")</f>
        <v/>
      </c>
      <c r="MH74" s="30" t="str">
        <f>IFERROR(IF(AVERAGE(DATA[[#This Row],[Deputy manager: Current 2021/22 Minimum hourly pay rate ADJUSTED]],DATA[[#This Row],[Deputy manager: Current 2021/22 Maximum hourly pay rate ADJUSTED]])&lt;LIVING_WAGE_22_23,DATA[[#This Row],[Deputy manager: Numbers employed (Full Time Equivalent)]],0),"")</f>
        <v/>
      </c>
      <c r="MI74" s="30">
        <f>IFERROR(IF(AVERAGE(DATA[[#This Row],[Other manager 1: Current 2021/22 Minimum hourly pay rate ADJUSTED]],DATA[[#This Row],[Other manager 1: Current 2021/22 Maximum hourly pay rate ADJUSTED]])&lt;LIVING_WAGE_22_23,DATA[[#This Row],[Other manager 1: Numbers employed (Full Time Equivalent)]],0),"")</f>
        <v>0</v>
      </c>
      <c r="MJ74" s="30">
        <f>IFERROR(IF(AVERAGE(DATA[[#This Row],[Other manager 2: Current 2021/22 Minimum hourly pay rate ADJUSTED]],DATA[[#This Row],[Other manager 2: Current 2021/22 Maximum hourly pay rate ADJUSTED]])&lt;LIVING_WAGE_22_23,DATA[[#This Row],[Other manager 2: Numbers employed (Full Time Equivalent)]],0),"")</f>
        <v>0</v>
      </c>
      <c r="MK74" s="30" t="str">
        <f>IFERROR(IF(AVERAGE(DATA[[#This Row],[Other manager 3: Current 2021/22 Minimum hourly pay rate ADJUSTED]],DATA[[#This Row],[Other manager 3: Current 2021/22 Maximum hourly pay rate ADJUSTED]])&lt;LIVING_WAGE_22_23,DATA[[#This Row],[Other manager 3: Numbers employed (Full Time Equivalent)]],0),"")</f>
        <v/>
      </c>
      <c r="ML74" s="30">
        <f>IFERROR(IF(AVERAGE(DATA[[#This Row],[Care Assistant 1: Current 2021/22 Minimum hourly pay rate ADJUSTED]],DATA[[#This Row],[Care Assistant 1: Current 2021/22 Maximum hourly pay rate ADJUSTED]])&lt;LIVING_WAGE_22_23,DATA[[#This Row],[Care Assistant 1: Numbers employed (Full Time Equivalent)]],0),"")</f>
        <v>8.1</v>
      </c>
      <c r="MM74" s="30" t="str">
        <f>IFERROR(IF(AVERAGE(DATA[[#This Row],[Care Assistant 2: Current 2021/22 Minimum hourly pay rate ADJUSTED]],DATA[[#This Row],[Care Assistant 2: Current 2021/22 Maximum hourly pay rate ADJUSTED]])&lt;LIVING_WAGE_22_23,DATA[[#This Row],[Care Assistant 2: Numbers employed (Full Time Equivalent)]],0),"")</f>
        <v/>
      </c>
      <c r="MN74" s="30" t="str">
        <f>IFERROR(IF(AVERAGE(DATA[[#This Row],[Care Assistant 3: Current 2021/22 Minimum hourly pay rate ADJUSTED]],DATA[[#This Row],[Care Assistant 3: Current 2021/22 Maximum hourly pay rate ADJUSTED]])&lt;LIVING_WAGE_22_23,DATA[[#This Row],[Care Assistant 3: Numbers employed (Full Time Equivalent)]],0),"")</f>
        <v/>
      </c>
      <c r="MO74" s="30" t="str">
        <f>IFERROR(IF(AVERAGE(DATA[[#This Row],[Care Assistant 4: Current 2021/22 Minimum hourly pay rate ADJUSTED]],DATA[[#This Row],[Care Assistant 4: Current 2021/22 Maximum hourly pay rate ADJUSTED]])&lt;LIVING_WAGE_22_23,DATA[[#This Row],[Care Assistant 4: Numbers employed (Full Time Equivalent)]],0),"")</f>
        <v/>
      </c>
      <c r="MP74"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74"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4" s="30" t="str">
        <f>IFERROR(IF(AVERAGE(DATA[[#This Row],[Other staff 1: Current 2021/22 Minimum hourly pay rate ADJUSTED]],DATA[[#This Row],[Other staff 1: Current 2021/22 Maximum hourly pay rate ADJUSTED]])&lt;LIVING_WAGE_22_23,DATA[[#This Row],[Other staff 1: Numbers employed (Full Time Equivalent)]],0),"")</f>
        <v/>
      </c>
      <c r="MS74" s="30" t="str">
        <f>IFERROR(IF(AVERAGE(DATA[[#This Row],[Other staff 2: Current 2021/22 Minimum hourly pay rate ADJUSTED]],DATA[[#This Row],[Other staff 2: Current 2021/22 Maximum hourly pay rate ADJUSTED]])&lt;LIVING_WAGE_22_23,DATA[[#This Row],[Other staff 2: Numbers employed (Full Time Equivalent)]],0),"")</f>
        <v/>
      </c>
      <c r="MT74" s="30" t="str">
        <f>IFERROR(IF(AVERAGE(DATA[[#This Row],[Other staff 3: Current 2021/22 Minimum hourly pay rate ADJUSTED]],DATA[[#This Row],[Other staff 3: Current 2021/22 Maximum hourly pay rate ADJUSTED]])&lt;LIVING_WAGE_22_23,DATA[[#This Row],[Other staff 3: Numbers employed (Full Time Equivalent)]],0),"")</f>
        <v/>
      </c>
      <c r="MU74" s="30">
        <f>SUM(DATA[[#This Row],[Registered Manager FTE earning less than NLW 23yrs 2022/23]:[Other staff 3 FTE earning less than NLW 23yrs 2022/23]])</f>
        <v>8.1</v>
      </c>
      <c r="MV74" s="30" t="str">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
      </c>
      <c r="MW74"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74"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74"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74"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4"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0.2429999999999948</v>
      </c>
      <c r="NB74"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74"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74"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74"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74"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4"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4"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4"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4" s="30" t="b">
        <v>1</v>
      </c>
      <c r="NK74" s="30" t="b">
        <v>1</v>
      </c>
      <c r="NL74" s="30" t="s">
        <v>505</v>
      </c>
      <c r="NM74" s="30">
        <f>SUM(DATA[[#This Row],[Management staff HOURLY RATE]:[Training and development HOURLY RATE]])</f>
        <v>0</v>
      </c>
      <c r="NN74" s="30">
        <f>SUM(DATA[[#This Row],[Recruitment &amp; advertising (including DBS checks) HOURLY RATE]:[Non-Staffing Direct Cost: Other  - please specify (amount) 2 HOURLY RATE]])</f>
        <v>0</v>
      </c>
      <c r="NO74" s="30">
        <f>SUM(DATA[[#This Row],[Insurance  HOURLY RATE]:[Indirect costs: Other  - please specify (amount) 2 HOURLY RATE]])</f>
        <v>0</v>
      </c>
      <c r="NP74" s="30">
        <f>SUM(DATA[[#This Row],[Central / Regional Management HOURLY RATE]:[Corporate Overheads: Other  - please specify (amount) 2 HOURLY RATE]])</f>
        <v>0</v>
      </c>
      <c r="NQ74" s="30" t="str">
        <f>IFERROR(IF(AVERAGE(DATA[[#This Row],[Registered manager: Current 2021/22 Minimum hourly pay rate ADJUSTED]],DATA[[#This Row],[Registered manager: Current 2021/22 Maximum hourly pay rate ADJUSTED]])&lt;REAL_LIVING_WAGE_22_23,DATA[[#This Row],[Registered manager: Numbers employed (Full Time Equivalent)]],0),"")</f>
        <v/>
      </c>
      <c r="NR74" s="30" t="str">
        <f>IFERROR(IF(AVERAGE(DATA[[#This Row],[Deputy manager: Current 2021/22 Minimum hourly pay rate ADJUSTED]],DATA[[#This Row],[Deputy manager: Current 2021/22 Maximum hourly pay rate ADJUSTED]])&lt;REAL_LIVING_WAGE_22_23,DATA[[#This Row],[Deputy manager: Numbers employed (Full Time Equivalent)]],0),"")</f>
        <v/>
      </c>
      <c r="NS74" s="30">
        <f>IFERROR(IF(AVERAGE(DATA[[#This Row],[Other manager 1: Current 2021/22 Minimum hourly pay rate ADJUSTED]],DATA[[#This Row],[Other manager 1: Current 2021/22 Maximum hourly pay rate ADJUSTED]])&lt;REAL_LIVING_WAGE_22_23,DATA[[#This Row],[Other manager 1: Numbers employed (Full Time Equivalent)]],0),"")</f>
        <v>0</v>
      </c>
      <c r="NT74" s="30">
        <f>IFERROR(IF(AVERAGE(DATA[[#This Row],[Other manager 2: Current 2021/22 Minimum hourly pay rate ADJUSTED]],DATA[[#This Row],[Other manager 2: Current 2021/22 Maximum hourly pay rate ADJUSTED]])&lt;REAL_LIVING_WAGE_22_23,DATA[[#This Row],[Other manager 2: Numbers employed (Full Time Equivalent)]],0),"")</f>
        <v>0</v>
      </c>
      <c r="NU74" s="30" t="str">
        <f>IFERROR(IF(AVERAGE(DATA[[#This Row],[Other manager 3: Current 2021/22 Minimum hourly pay rate ADJUSTED]],DATA[[#This Row],[Other manager 3: Current 2021/22 Maximum hourly pay rate ADJUSTED]])&lt;REAL_LIVING_WAGE_22_23,DATA[[#This Row],[Other manager 3: Numbers employed (Full Time Equivalent)]],0),"")</f>
        <v/>
      </c>
      <c r="NV74" s="30">
        <f>IFERROR(IF(AVERAGE(DATA[[#This Row],[Care Assistant 1: Current 2021/22 Minimum hourly pay rate ADJUSTED]],DATA[[#This Row],[Care Assistant 1: Current 2021/22 Maximum hourly pay rate ADJUSTED]])&lt;REAL_LIVING_WAGE_22_23,DATA[[#This Row],[Care Assistant 1: Numbers employed (Full Time Equivalent)]],0),"")</f>
        <v>8.1</v>
      </c>
      <c r="NW74"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74"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74"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74"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74"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4" s="30" t="str">
        <f>IFERROR(IF(AVERAGE(DATA[[#This Row],[Other staff 1: Current 2021/22 Minimum hourly pay rate ADJUSTED]],DATA[[#This Row],[Other staff 1: Current 2021/22 Maximum hourly pay rate ADJUSTED]])&lt;REAL_LIVING_WAGE_22_23,DATA[[#This Row],[Other staff 1: Numbers employed (Full Time Equivalent)]],0),"")</f>
        <v/>
      </c>
      <c r="OC74" s="30" t="str">
        <f>IFERROR(IF(AVERAGE(DATA[[#This Row],[Other staff 2: Current 2021/22 Minimum hourly pay rate ADJUSTED]],DATA[[#This Row],[Other staff 2: Current 2021/22 Maximum hourly pay rate ADJUSTED]])&lt;REAL_LIVING_WAGE_22_23,DATA[[#This Row],[Other staff 2: Numbers employed (Full Time Equivalent)]],0),"")</f>
        <v/>
      </c>
      <c r="OD74" s="30" t="str">
        <f>IFERROR(IF(AVERAGE(DATA[[#This Row],[Other staff 3: Current 2021/22 Minimum hourly pay rate ADJUSTED]],DATA[[#This Row],[Other staff 3: Current 2021/22 Maximum hourly pay rate ADJUSTED]])&lt;REAL_LIVING_WAGE_22_23,DATA[[#This Row],[Other staff 3: Numbers employed (Full Time Equivalent)]],0),"")</f>
        <v/>
      </c>
      <c r="OE74" s="30">
        <f>SUM(DATA[[#This Row],[Registered Manager FTE earning less than RLW 23yrs 2022/23]:[Other staff 3 FTE earning less than RLW 23yrs 2022/23]])</f>
        <v>8.1</v>
      </c>
      <c r="OF74" s="30" t="str">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
      </c>
      <c r="OG74"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74"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74"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74"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4"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3.4829999999999974</v>
      </c>
      <c r="OL74"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74"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74"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74"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74"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4"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4"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4"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4" s="30" t="str">
        <f>IFERROR(IF(DATA[[#This Row],[Registered manager: Numbers employed (Full Time Equivalent)]]=0,"",DATA[[#This Row],[Registered manager: Current 2021/22 Minimum hourly pay rate ADJUSTED 2]]*DATA[[#This Row],[Registered manager: Numbers employed (Full Time Equivalent)]]),"")</f>
        <v/>
      </c>
      <c r="OU74" s="30" t="str">
        <f>IFERROR(IF(DATA[[#This Row],[Registered manager: Numbers employed (Full Time Equivalent)]]=0,"",DATA[[#This Row],[Registered manager: Current 2021/22 Maximum hourly pay rate ADJUSTED 2]]*DATA[[#This Row],[Registered manager: Numbers employed (Full Time Equivalent)]]),"")</f>
        <v/>
      </c>
      <c r="OV74" s="30" t="str">
        <f>IFERROR(IF(DATA[[#This Row],[Registered manager: Numbers employed (Full Time Equivalent)]]=0,"",DATA[[#This Row],[Registered manager: Previous 2020/21 Minimum hourly pay rate ADJUSTED 2]]*DATA[[#This Row],[Registered manager: Numbers employed (Full Time Equivalent)]]),"")</f>
        <v/>
      </c>
      <c r="OW74" s="30" t="str">
        <f>IFERROR(IF(DATA[[#This Row],[Registered manager: Numbers employed (Full Time Equivalent)]]=0,"",DATA[[#This Row],[Registered manager: Previous 2020/21 Maximum hourly pay rate ADJUSTED 2]]*DATA[[#This Row],[Registered manager: Numbers employed (Full Time Equivalent)]]),"")</f>
        <v/>
      </c>
      <c r="OX74" s="30" t="str">
        <f>IFERROR(IF(DATA[[#This Row],[Deputy manager: Numbers employed (Full Time Equivalent)]]=0,"",DATA[[#This Row],[Deputy manager: Current 2021/22 Minimum hourly pay rate ADJUSTED 2]]*DATA[[#This Row],[Deputy manager: Numbers employed (Full Time Equivalent)]]),"")</f>
        <v/>
      </c>
      <c r="OY74" s="30" t="str">
        <f>IFERROR(IF(DATA[[#This Row],[Deputy manager: Numbers employed (Full Time Equivalent)]]=0,"",DATA[[#This Row],[Deputy manager: Current 2021/22 Maximum hourly pay rate ADJUSTED 2]]*DATA[[#This Row],[Deputy manager: Numbers employed (Full Time Equivalent)]]),"")</f>
        <v/>
      </c>
      <c r="OZ74" s="30" t="str">
        <f>IFERROR(IF(DATA[[#This Row],[Deputy manager: Numbers employed (Full Time Equivalent)]]=0,"",DATA[[#This Row],[Deputy manager: Previous 2020/21 Minimum hourly pay rate ADJUSTED 2]]*DATA[[#This Row],[Deputy manager: Numbers employed (Full Time Equivalent)]]),"")</f>
        <v/>
      </c>
      <c r="PA74" s="30" t="str">
        <f>IFERROR(IF(DATA[[#This Row],[Deputy manager: Numbers employed (Full Time Equivalent)]]=0,"",DATA[[#This Row],[Deputy manager: Previous 2020/21 Maximum hourly pay rate ADJUSTED 2]]*DATA[[#This Row],[Deputy manager: Numbers employed (Full Time Equivalent)]]),"")</f>
        <v/>
      </c>
      <c r="PB74" s="30">
        <f>IFERROR(IF(DATA[[#This Row],[Other manager 1: Numbers employed (Full Time Equivalent)]]=0,"",DATA[[#This Row],[Other manager 1: Current 2021/22 Minimum hourly pay rate ADJUSTED 2]]*DATA[[#This Row],[Other manager 1: Numbers employed (Full Time Equivalent)]]),"")</f>
        <v>5.4808000000000003</v>
      </c>
      <c r="PC74" s="30">
        <f>IFERROR(IF(DATA[[#This Row],[Other manager 1: Numbers employed (Full Time Equivalent)]]=0,"",DATA[[#This Row],[Other manager 1: Current 2021/22 Maximum hourly pay rate ADJUSTED 2]]*DATA[[#This Row],[Other manager 1: Numbers employed (Full Time Equivalent)]]),"")</f>
        <v>6.0792000000000002</v>
      </c>
      <c r="PD74" s="30">
        <f>IFERROR(IF(DATA[[#This Row],[Other manager 1: Numbers employed (Full Time Equivalent)]]=0,"",DATA[[#This Row],[Other manager 1: Previous 2020/21 Minimum hourly pay rate ADJUSTED 2]]*DATA[[#This Row],[Other manager 1: Numbers employed (Full Time Equivalent)]]),"")</f>
        <v>5.4808000000000003</v>
      </c>
      <c r="PE74" s="30">
        <f>IFERROR(IF(DATA[[#This Row],[Other manager 1: Numbers employed (Full Time Equivalent)]]=0,"",DATA[[#This Row],[Other manager 1: Previous 2020/21 Maximum hourly pay rate ADJUSTED 2]]*DATA[[#This Row],[Other manager 1: Numbers employed (Full Time Equivalent)]]),"")</f>
        <v>6.0792000000000002</v>
      </c>
      <c r="PF74" s="30">
        <f>IFERROR(IF(DATA[[#This Row],[Other manager 2: Numbers employed (Full Time Equivalent)]]=0,"",DATA[[#This Row],[Other manager 2: Current 2021/22 Minimum hourly pay rate ADJUSTED 2]]*DATA[[#This Row],[Other manager 2: Numbers employed (Full Time Equivalent)]]),"")</f>
        <v>10.73</v>
      </c>
      <c r="PG74" s="30">
        <f>IFERROR(IF(DATA[[#This Row],[Other manager 2: Numbers employed (Full Time Equivalent)]]=0,"",DATA[[#This Row],[Other manager 2: Current 2021/22 Maximum hourly pay rate ADJUSTED 2]]*DATA[[#This Row],[Other manager 2: Numbers employed (Full Time Equivalent)]]),"")</f>
        <v>11.92</v>
      </c>
      <c r="PH74" s="30">
        <f>IFERROR(IF(DATA[[#This Row],[Other manager 2: Numbers employed (Full Time Equivalent)]]=0,"",DATA[[#This Row],[Other manager 2: Previous 2020/21 Minimum hourly pay rate ADJUSTED 2]]*DATA[[#This Row],[Other manager 2: Numbers employed (Full Time Equivalent)]]),"")</f>
        <v>10.73</v>
      </c>
      <c r="PI74" s="30">
        <f>IFERROR(IF(DATA[[#This Row],[Other manager 2: Numbers employed (Full Time Equivalent)]]=0,"",DATA[[#This Row],[Other manager 2: Previous 2020/21 Maximum hourly pay rate ADJUSTED 2]]*DATA[[#This Row],[Other manager 2: Numbers employed (Full Time Equivalent)]]),"")</f>
        <v>11.92</v>
      </c>
      <c r="PJ74" s="30" t="str">
        <f>IFERROR(IF(DATA[[#This Row],[Other manager 3: Numbers employed (Full Time Equivalent)]]=0,"",DATA[[#This Row],[Other manager 3: Current 2021/22 Minimum hourly pay rate ADJUSTED 2]]*DATA[[#This Row],[Other manager 3: Numbers employed (Full Time Equivalent)]]),"")</f>
        <v/>
      </c>
      <c r="PK74" s="30" t="str">
        <f>IFERROR(IF(DATA[[#This Row],[Other manager 3: Numbers employed (Full Time Equivalent)]]=0,"",DATA[[#This Row],[Other manager 3: Current 2021/22 Maximum hourly pay rate ADJUSTED 2]]*DATA[[#This Row],[Other manager 3: Numbers employed (Full Time Equivalent)]]),"")</f>
        <v/>
      </c>
      <c r="PL74" s="30" t="str">
        <f>IFERROR(IF(DATA[[#This Row],[Other manager 3: Numbers employed (Full Time Equivalent)]]=0,"",DATA[[#This Row],[Other manager 3: Previous 2020/21 Minimum hourly pay rate ADJUSTED 2]]*DATA[[#This Row],[Other manager 3: Numbers employed (Full Time Equivalent)]]),"")</f>
        <v/>
      </c>
      <c r="PM74" s="30" t="str">
        <f>IFERROR(IF(DATA[[#This Row],[Other manager 3: Numbers employed (Full Time Equivalent)]]=0,"",DATA[[#This Row],[Other manager 3: Previous 2020/21 Maximum hourly pay rate ADJUSTED 2]]*DATA[[#This Row],[Other manager 3: Numbers employed (Full Time Equivalent)]]),"")</f>
        <v/>
      </c>
      <c r="PN74" s="30">
        <f>IFERROR(IF(DATA[[#This Row],[Care Assistant 1: Numbers employed (Full Time Equivalent)]]=0,"",DATA[[#This Row],[Care Assistant 1: Current 2021/22 Minimum hourly pay rate ADJUSTED 2]]*DATA[[#This Row],[Care Assistant 1: Numbers employed (Full Time Equivalent)]]),"")</f>
        <v>75.33</v>
      </c>
      <c r="PO74" s="30">
        <f>IFERROR(IF(DATA[[#This Row],[Care Assistant 1: Numbers employed (Full Time Equivalent)]]=0,"",DATA[[#This Row],[Care Assistant 1: Current 2021/22 Maximum hourly pay rate ADJUSTED 2]]*DATA[[#This Row],[Care Assistant 1: Numbers employed (Full Time Equivalent)]]),"")</f>
        <v>78.084000000000003</v>
      </c>
      <c r="PP74" s="30">
        <f>IFERROR(IF(DATA[[#This Row],[Care Assistant 1: Numbers employed (Full Time Equivalent)]]=0,"",DATA[[#This Row],[Care Assistant 1: Previous 2020/21 Minimum hourly pay rate ADJUSTED 2]]*DATA[[#This Row],[Care Assistant 1: Numbers employed (Full Time Equivalent)]]),"")</f>
        <v>75.33</v>
      </c>
      <c r="PQ74" s="30">
        <f>IFERROR(IF(DATA[[#This Row],[Care Assistant 1: Numbers employed (Full Time Equivalent)]]=0,"",DATA[[#This Row],[Care Assistant 1: Previous 2020/21 Maximum hourly pay rate ADJUSTED 2]]*DATA[[#This Row],[Care Assistant 1: Numbers employed (Full Time Equivalent)]]),"")</f>
        <v>78.084000000000003</v>
      </c>
      <c r="PR74" s="30" t="str">
        <f>IFERROR(IF(DATA[[#This Row],[Care Assistant 2: Numbers employed (Full Time Equivalent)]]=0,"",DATA[[#This Row],[Care Assistant 2: Current 2021/22 Minimum hourly pay rate ADJUSTED 2]]*DATA[[#This Row],[Care Assistant 2: Numbers employed (Full Time Equivalent)]]),"")</f>
        <v/>
      </c>
      <c r="PS74" s="30" t="str">
        <f>IFERROR(IF(DATA[[#This Row],[Care Assistant 2: Numbers employed (Full Time Equivalent)]]=0,"",DATA[[#This Row],[Care Assistant 2: Current 2021/22 Maximum hourly pay rate ADJUSTED 2]]*DATA[[#This Row],[Care Assistant 2: Numbers employed (Full Time Equivalent)]]),"")</f>
        <v/>
      </c>
      <c r="PT74" s="30" t="str">
        <f>IFERROR(IF(DATA[[#This Row],[Care Assistant 2: Numbers employed (Full Time Equivalent)]]=0,"",DATA[[#This Row],[Care Assistant 2: Previous 2020/21 Minimum hourly pay rate ADJUSTED 2]]*DATA[[#This Row],[Care Assistant 2: Numbers employed (Full Time Equivalent)]]),"")</f>
        <v/>
      </c>
      <c r="PU74" s="30" t="str">
        <f>IFERROR(IF(DATA[[#This Row],[Care Assistant 2: Numbers employed (Full Time Equivalent)]]=0,"",DATA[[#This Row],[Care Assistant 2: Previous 2020/21 Maximum hourly pay rate ADJUSTED 2]]*DATA[[#This Row],[Care Assistant 2: Numbers employed (Full Time Equivalent)]]),"")</f>
        <v/>
      </c>
      <c r="PV74" s="30" t="str">
        <f>IFERROR(IF(DATA[[#This Row],[Care Assistant 3: Numbers employed (Full Time Equivalent)]]=0,"",DATA[[#This Row],[Care Assistant 3: Current 2021/22 Minimum hourly pay rate ADJUSTED 2]]*DATA[[#This Row],[Care Assistant 3: Numbers employed (Full Time Equivalent)]]),"")</f>
        <v/>
      </c>
      <c r="PW74" s="30" t="str">
        <f>IFERROR(IF(DATA[[#This Row],[Care Assistant 3: Numbers employed (Full Time Equivalent)]]=0,"",DATA[[#This Row],[Care Assistant 3: Current 2021/22 Maximum hourly pay rate ADJUSTED 2]]*DATA[[#This Row],[Care Assistant 3: Numbers employed (Full Time Equivalent)]]),"")</f>
        <v/>
      </c>
      <c r="PX74" s="30" t="str">
        <f>IFERROR(IF(DATA[[#This Row],[Care Assistant 3: Numbers employed (Full Time Equivalent)]]=0,"",DATA[[#This Row],[Care Assistant 3: Previous 2020/21 Minimum hourly pay rate ADJUSTED 2]]*DATA[[#This Row],[Care Assistant 3: Numbers employed (Full Time Equivalent)]]),"")</f>
        <v/>
      </c>
      <c r="PY74" s="30" t="str">
        <f>IFERROR(IF(DATA[[#This Row],[Care Assistant 3: Numbers employed (Full Time Equivalent)]]=0,"",DATA[[#This Row],[Care Assistant 3: Previous 2020/21 Maximum hourly pay rate ADJUSTED 2]]*DATA[[#This Row],[Care Assistant 3: Numbers employed (Full Time Equivalent)]]),"")</f>
        <v/>
      </c>
      <c r="PZ74" s="30" t="str">
        <f>IFERROR(IF(DATA[[#This Row],[Care Assistant 4: Numbers employed (Full Time Equivalent)]]=0,"",DATA[[#This Row],[Care Assistant 4: Current 2021/22 Minimum hourly pay rate ADJUSTED 2]]*DATA[[#This Row],[Care Assistant 4: Numbers employed (Full Time Equivalent)]]),"")</f>
        <v/>
      </c>
      <c r="QA74" s="30" t="str">
        <f>IFERROR(IF(DATA[[#This Row],[Care Assistant 4: Numbers employed (Full Time Equivalent)]]=0,"",DATA[[#This Row],[Care Assistant 4: Current 2021/22 Maximum hourly pay rate ADJUSTED 2]]*DATA[[#This Row],[Care Assistant 4: Numbers employed (Full Time Equivalent)]]),"")</f>
        <v/>
      </c>
      <c r="QB74" s="30" t="str">
        <f>IFERROR(IF(DATA[[#This Row],[Care Assistant 4: Numbers employed (Full Time Equivalent)]]=0,"",DATA[[#This Row],[Care Assistant 4: Previous 2020/21 Minimum hourly pay rate ADJUSTED 2]]*DATA[[#This Row],[Care Assistant 4: Numbers employed (Full Time Equivalent)]]),"")</f>
        <v/>
      </c>
      <c r="QC74" s="30" t="str">
        <f>IFERROR(IF(DATA[[#This Row],[Care Assistant 4: Numbers employed (Full Time Equivalent)]]=0,"",DATA[[#This Row],[Care Assistant 4: Previous 2020/21 Maximum hourly pay rate ADJUSTED 2]]*DATA[[#This Row],[Care Assistant 4: Numbers employed (Full Time Equivalent)]]),"")</f>
        <v/>
      </c>
      <c r="QD74" s="30" t="str">
        <f>IFERROR(IF(DATA[[#This Row],[Administrative Officer 1: Numbers employed (Full Time Equivalent)]]=0,"",DATA[[#This Row],[Administrative Officer 1: Current 2021/22 Minimum hourly pay rate ADJUSTED 2]]*DATA[[#This Row],[Administrative Officer 1: Numbers employed (Full Time Equivalent)]]),"")</f>
        <v/>
      </c>
      <c r="QE74" s="30" t="str">
        <f>IFERROR(IF(DATA[[#This Row],[Administrative Officer 1: Numbers employed (Full Time Equivalent)]]=0,"",DATA[[#This Row],[Administrative Officer 1: Current 2021/22 Maximum hourly pay rate ADJUSTED 2]]*DATA[[#This Row],[Administrative Officer 1: Numbers employed (Full Time Equivalent)]]),"")</f>
        <v/>
      </c>
      <c r="QF74" s="30" t="str">
        <f>IFERROR(IF(DATA[[#This Row],[Administrative Officer 1: Numbers employed (Full Time Equivalent)]]=0,"",DATA[[#This Row],[Administrative Officer 1: Previous 2020/21 Minimum hourly pay rate ADJUSTED 2]]*DATA[[#This Row],[Administrative Officer 1: Numbers employed (Full Time Equivalent)]]),"")</f>
        <v/>
      </c>
      <c r="QG74" s="30" t="str">
        <f>IFERROR(IF(DATA[[#This Row],[Administrative Officer 1: Numbers employed (Full Time Equivalent)]]=0,"",DATA[[#This Row],[Administrative Officer 1: Previous 2020/21 Maximum hourly pay rate ADJUSTED 2]]*DATA[[#This Row],[Administrative Officer 1: Numbers employed (Full Time Equivalent)]]),"")</f>
        <v/>
      </c>
      <c r="QH74" s="30" t="str">
        <f>IFERROR(IF(DATA[[#This Row],[Administrative Officer 2: Numbers employed (Full Time Equivalent)]]=0,"",DATA[[#This Row],[Administrative Officer 2: Current 2021/22 Minimum hourly pay rate ADJUSTED 2]]*DATA[[#This Row],[Administrative Officer 2: Numbers employed (Full Time Equivalent)]]),"")</f>
        <v/>
      </c>
      <c r="QI74" s="30" t="str">
        <f>IFERROR(IF(DATA[[#This Row],[Administrative Officer 2: Numbers employed (Full Time Equivalent)]]=0,"",DATA[[#This Row],[Administrative Officer 2: Current 2021/22 Maximum hourly pay rate ADJUSTED 2]]*DATA[[#This Row],[Administrative Officer 2: Numbers employed (Full Time Equivalent)]]),"")</f>
        <v/>
      </c>
      <c r="QJ74" s="30" t="str">
        <f>IFERROR(IF(DATA[[#This Row],[Administrative Officer 2: Numbers employed (Full Time Equivalent)]]=0,"",DATA[[#This Row],[Administrative Officer 2: Previous 2020/21 Minimum hourly pay rate ADJUSTED 2]]*DATA[[#This Row],[Administrative Officer 2: Numbers employed (Full Time Equivalent)]]),"")</f>
        <v/>
      </c>
      <c r="QK74" s="30" t="str">
        <f>IFERROR(IF(DATA[[#This Row],[Administrative Officer 2: Numbers employed (Full Time Equivalent)]]=0,"",DATA[[#This Row],[Administrative Officer 2: Previous 2020/21 Maximum hourly pay rate ADJUSTED 2]]*DATA[[#This Row],[Administrative Officer 2: Numbers employed (Full Time Equivalent)]]),"")</f>
        <v/>
      </c>
      <c r="QL74" s="30" t="str">
        <f>IFERROR(IF(DATA[[#This Row],[Administrative Officer 3: Numbers employed (Full Time Equivalent)]]=0,"",DATA[[#This Row],[Administrative Officer 3: Current 2021/22 Minimum hourly pay rate ADJUSTED 2]]*DATA[[#This Row],[Administrative Officer 3: Numbers employed (Full Time Equivalent)]]),"")</f>
        <v/>
      </c>
      <c r="QM74" s="30" t="str">
        <f>IFERROR(IF(DATA[[#This Row],[Administrative Officer 3: Numbers employed (Full Time Equivalent)]]=0,"",DATA[[#This Row],[Administrative Officer 3: Current 2021/22 Maximum hourly pay rate ADJUSTED 2]]*DATA[[#This Row],[Administrative Officer 3: Numbers employed (Full Time Equivalent)]]),"")</f>
        <v/>
      </c>
      <c r="QN74" s="30" t="str">
        <f>IFERROR(IF(DATA[[#This Row],[Administrative Officer 3: Numbers employed (Full Time Equivalent)]]=0,"",DATA[[#This Row],[Administrative Officer 3: Previous 2020/21 Minimum hourly pay rate ADJUSTED 2]]*DATA[[#This Row],[Administrative Officer 3: Numbers employed (Full Time Equivalent)]]),"")</f>
        <v/>
      </c>
      <c r="QO74" s="30" t="str">
        <f>IFERROR(IF(DATA[[#This Row],[Administrative Officer 3: Numbers employed (Full Time Equivalent)]]=0,"",DATA[[#This Row],[Administrative Officer 3: Previous 2020/21 Maximum hourly pay rate ADJUSTED 2]]*DATA[[#This Row],[Administrative Officer 3: Numbers employed (Full Time Equivalent)]]),"")</f>
        <v/>
      </c>
      <c r="QP74" s="28" t="str">
        <f>IFERROR(IF(DATA[[#This Row],[Other staff 1: Numbers employed (Full Time Equivalent)]]=0,"",DATA[[#This Row],[Other staff 1: Current 2021/22 Minimum hourly pay rate ADJUSTED 2]]*DATA[[#This Row],[Other staff 1: Numbers employed (Full Time Equivalent)]]),"")</f>
        <v/>
      </c>
      <c r="QQ74" s="28" t="str">
        <f>IFERROR(IF(DATA[[#This Row],[Other staff 1: Numbers employed (Full Time Equivalent)]]=0,"",DATA[[#This Row],[Other staff 1: Current 2021/22 Maximum hourly pay rate ADJUSTED 2]]*DATA[[#This Row],[Other staff 1: Numbers employed (Full Time Equivalent)]]),"")</f>
        <v/>
      </c>
      <c r="QR74" s="28" t="str">
        <f>IFERROR(IF(DATA[[#This Row],[Other staff 1: Numbers employed (Full Time Equivalent)]]=0,"",DATA[[#This Row],[Other staff 1: Previous 2020/21 Minimum hourly pay rate ADJUSTED 2]]*DATA[[#This Row],[Other staff 1: Numbers employed (Full Time Equivalent)]]),"")</f>
        <v/>
      </c>
      <c r="QS74" s="28" t="str">
        <f>IFERROR(IF(DATA[[#This Row],[Other staff 1: Numbers employed (Full Time Equivalent)]]=0,"",DATA[[#This Row],[Other staff 1: Previous 2020/21 Maximum hourly pay rate ADJUSTED 2]]*DATA[[#This Row],[Other staff 1: Numbers employed (Full Time Equivalent)]]),"")</f>
        <v/>
      </c>
      <c r="QT74" s="28" t="str">
        <f>IFERROR(IF(DATA[[#This Row],[Other staff 2: Numbers employed (Full Time Equivalent)]]=0,"",DATA[[#This Row],[Other staff 2: Current 2021/22 Minimum hourly pay rate ADJUSTED 2]]*DATA[[#This Row],[Other staff 2: Numbers employed (Full Time Equivalent)]]),"")</f>
        <v/>
      </c>
      <c r="QU74" s="28" t="str">
        <f>IFERROR(IF(DATA[[#This Row],[Other staff 2: Numbers employed (Full Time Equivalent)]]=0,"",DATA[[#This Row],[Other staff 2: Current 2021/22 Maximum hourly pay rate ADJUSTED 2]]*DATA[[#This Row],[Other staff 2: Numbers employed (Full Time Equivalent)]]),"")</f>
        <v/>
      </c>
      <c r="QV74" s="28" t="str">
        <f>IFERROR(IF(DATA[[#This Row],[Other staff 2: Numbers employed (Full Time Equivalent)]]=0,"",DATA[[#This Row],[Other staff 2: Previous 2020/21 Minimum hourly pay rate ADJUSTED 2]]*DATA[[#This Row],[Other staff 2: Numbers employed (Full Time Equivalent)]]),"")</f>
        <v/>
      </c>
      <c r="QW74" s="28" t="str">
        <f>IFERROR(IF(DATA[[#This Row],[Other staff 2: Numbers employed (Full Time Equivalent)]]=0,"",DATA[[#This Row],[Other staff 2: Previous 2020/21 Maximum hourly pay rate ADJUSTED 2]]*DATA[[#This Row],[Other staff 2: Numbers employed (Full Time Equivalent)]]),"")</f>
        <v/>
      </c>
      <c r="QX74" s="28" t="str">
        <f>IFERROR(IF(DATA[[#This Row],[Other staff 3: Numbers employed (Full Time Equivalent)]]=0,"",DATA[[#This Row],[Other staff 3: Current 2021/22 Minimum hourly pay rate ADJUSTED 2]]*DATA[[#This Row],[Other staff 3: Numbers employed (Full Time Equivalent)]]),"")</f>
        <v/>
      </c>
      <c r="QY74" s="28" t="str">
        <f>IFERROR(IF(DATA[[#This Row],[Other staff 3: Numbers employed (Full Time Equivalent)]]=0,"",DATA[[#This Row],[Other staff 3: Current 2021/22 Maximum hourly pay rate ADJUSTED 2]]*DATA[[#This Row],[Other staff 3: Numbers employed (Full Time Equivalent)]]),"")</f>
        <v/>
      </c>
      <c r="QZ74" s="28" t="str">
        <f>IFERROR(IF(DATA[[#This Row],[Other staff 3: Numbers employed (Full Time Equivalent)]]=0,"",DATA[[#This Row],[Other staff 3: Previous 2020/21 Minimum hourly pay rate ADJUSTED 2]]*DATA[[#This Row],[Other staff 3: Numbers employed (Full Time Equivalent)]]),"")</f>
        <v/>
      </c>
      <c r="RA74" s="28" t="str">
        <f>IFERROR(IF(DATA[[#This Row],[Other staff 3: Numbers employed (Full Time Equivalent)]]=0,"",DATA[[#This Row],[Other staff 3: Previous 2020/21 Maximum hourly pay rate ADJUSTED 2]]*DATA[[#This Row],[Other staff 3: Numbers employed (Full Time Equivalent)]]),"")</f>
        <v/>
      </c>
      <c r="RB74"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74"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74"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0.34</v>
      </c>
      <c r="RE74"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74"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4"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8.1</v>
      </c>
      <c r="RH74"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74"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4"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4"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74"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4"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4"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4"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4"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5" spans="7:484" x14ac:dyDescent="0.25">
      <c r="G75" s="2">
        <v>69</v>
      </c>
      <c r="H75" s="2">
        <v>0</v>
      </c>
      <c r="I75" s="2" t="s">
        <v>596</v>
      </c>
      <c r="AB75" s="2" t="s">
        <v>560</v>
      </c>
      <c r="AC75" s="2">
        <v>16.12</v>
      </c>
      <c r="AD75" s="2">
        <v>17.88</v>
      </c>
      <c r="AE75" s="2">
        <v>0</v>
      </c>
      <c r="AF75" s="2">
        <v>0</v>
      </c>
      <c r="AG75" s="2">
        <v>0.33</v>
      </c>
      <c r="AH75" s="2" t="s">
        <v>590</v>
      </c>
      <c r="AI75" s="2">
        <v>10.73</v>
      </c>
      <c r="AJ75" s="2">
        <v>11.92</v>
      </c>
      <c r="AK75" s="2">
        <v>0</v>
      </c>
      <c r="AL75" s="2">
        <v>0</v>
      </c>
      <c r="AM75" s="2">
        <v>0.5</v>
      </c>
      <c r="AN75" s="2"/>
      <c r="AO75" s="2"/>
      <c r="AP75" s="2"/>
      <c r="AQ75" s="2"/>
      <c r="AR75" s="2"/>
      <c r="AS75" s="2"/>
      <c r="AT75" s="2" t="s">
        <v>337</v>
      </c>
      <c r="AU75" s="2">
        <v>9.3000000000000007</v>
      </c>
      <c r="AV75" s="2">
        <v>9.64</v>
      </c>
      <c r="AW75" s="2">
        <v>0</v>
      </c>
      <c r="AX75" s="2">
        <v>0</v>
      </c>
      <c r="AY75" s="2">
        <v>6</v>
      </c>
      <c r="AZ75" s="2" t="s">
        <v>597</v>
      </c>
      <c r="BA75" s="2"/>
      <c r="BB75" s="2"/>
      <c r="BC75" s="2"/>
      <c r="BD75" s="2"/>
      <c r="BE75" s="2">
        <v>0.28000000000000003</v>
      </c>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v>0</v>
      </c>
      <c r="DD75" s="2">
        <v>0</v>
      </c>
      <c r="DE75" s="2">
        <v>0</v>
      </c>
      <c r="DF75" s="2">
        <v>0</v>
      </c>
      <c r="DG75" s="2">
        <v>0</v>
      </c>
      <c r="DH75" s="2">
        <v>0</v>
      </c>
      <c r="DI75" s="2">
        <v>0</v>
      </c>
      <c r="DJ75" s="2">
        <v>0</v>
      </c>
      <c r="DK75" s="2">
        <v>0</v>
      </c>
      <c r="DL75" s="2">
        <v>0</v>
      </c>
      <c r="DM75" s="2">
        <v>0</v>
      </c>
      <c r="DN75" s="2">
        <v>0</v>
      </c>
      <c r="DO75" s="2">
        <v>0</v>
      </c>
      <c r="DP75" s="2">
        <v>0</v>
      </c>
      <c r="DQ75" s="2">
        <v>0</v>
      </c>
      <c r="DR75" s="18">
        <v>43922</v>
      </c>
      <c r="DS75" s="18">
        <v>44286</v>
      </c>
      <c r="DT75" s="2">
        <v>0</v>
      </c>
      <c r="DU75" s="2">
        <v>3882.74</v>
      </c>
      <c r="DV75" s="2">
        <v>199111.26</v>
      </c>
      <c r="DW75" s="2">
        <v>0</v>
      </c>
      <c r="DX75" s="2">
        <v>0</v>
      </c>
      <c r="DY75" s="2">
        <v>0</v>
      </c>
      <c r="DZ75" s="2">
        <v>42</v>
      </c>
      <c r="EA75" s="2">
        <v>0</v>
      </c>
      <c r="EB75" s="2">
        <v>0</v>
      </c>
      <c r="EC75" s="2">
        <v>0</v>
      </c>
      <c r="ED75" s="2">
        <v>0</v>
      </c>
      <c r="EE75" s="2">
        <v>0</v>
      </c>
      <c r="EF75" s="2">
        <v>0</v>
      </c>
      <c r="EG75" s="2">
        <v>1807</v>
      </c>
      <c r="EH75" s="2" t="s">
        <v>324</v>
      </c>
      <c r="EI75" s="2">
        <v>0</v>
      </c>
      <c r="EJ75" s="2" t="s">
        <v>324</v>
      </c>
      <c r="EK75" s="2">
        <v>0</v>
      </c>
      <c r="EL75" s="2">
        <v>2630</v>
      </c>
      <c r="EM75" s="2">
        <v>7546</v>
      </c>
      <c r="EN75" s="2">
        <v>656</v>
      </c>
      <c r="EO75" s="2">
        <v>0</v>
      </c>
      <c r="EP75" s="2">
        <v>0</v>
      </c>
      <c r="EQ75" s="2">
        <v>0</v>
      </c>
      <c r="ER75" s="2">
        <v>0</v>
      </c>
      <c r="ES75" s="2">
        <v>10799</v>
      </c>
      <c r="ET75" s="2" t="s">
        <v>598</v>
      </c>
      <c r="EU75" s="2">
        <v>13603</v>
      </c>
      <c r="EV75" s="2" t="s">
        <v>587</v>
      </c>
      <c r="EW75" s="2">
        <v>5095</v>
      </c>
      <c r="EX75" s="2">
        <v>2818.0929999999998</v>
      </c>
      <c r="EY75" s="2">
        <v>25362.837</v>
      </c>
      <c r="EZ75" s="2" t="s">
        <v>326</v>
      </c>
      <c r="FA75" s="2">
        <v>0</v>
      </c>
      <c r="FB75" s="2" t="s">
        <v>326</v>
      </c>
      <c r="FC75" s="2">
        <v>0</v>
      </c>
      <c r="FD75" s="2"/>
      <c r="FE75" s="2">
        <v>0</v>
      </c>
      <c r="FF75" s="2">
        <v>0</v>
      </c>
      <c r="FG75" s="2"/>
      <c r="FH75" s="19">
        <v>44480.627604166664</v>
      </c>
      <c r="FI75" s="2" t="s">
        <v>345</v>
      </c>
      <c r="FJ75" s="2">
        <f>SUM(DATA[[#This Row],[Number of Home support clients:]],DATA[[#This Row],[Number of supported living clients:]])</f>
        <v>0</v>
      </c>
      <c r="FK75" s="2">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0</v>
      </c>
      <c r="FL75" s="2" t="str">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
      </c>
      <c r="FM75" s="2" t="str">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
      </c>
      <c r="FN75"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75"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75"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75"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75"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75"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75"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16.12</v>
      </c>
      <c r="FU75"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17.88</v>
      </c>
      <c r="FV75"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75"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75"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10.73</v>
      </c>
      <c r="FY75"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11.92</v>
      </c>
      <c r="FZ75"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5"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5"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5"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5"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5"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5"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9.3000000000000007</v>
      </c>
      <c r="GG75"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9.64</v>
      </c>
      <c r="GH75"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75"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75"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75"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75"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75"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75"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75"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75"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5"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5"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75"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75"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5"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5"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75"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75"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75"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75"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5"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5"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5"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5"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5"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5"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5"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5"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5"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5"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5"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5"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5"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5"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5"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5"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5"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5"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5"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5" s="2" t="str">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
      </c>
      <c r="HU75" s="2" t="str">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
      </c>
      <c r="HV75" s="2" t="str">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
      </c>
      <c r="HW75" s="2" t="str">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
      </c>
      <c r="HX75"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75"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75"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75"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75"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16.12</v>
      </c>
      <c r="IC75"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17.88</v>
      </c>
      <c r="ID75"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16.12</v>
      </c>
      <c r="IE75"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17.88</v>
      </c>
      <c r="IF75"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10.73</v>
      </c>
      <c r="IG75"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11.92</v>
      </c>
      <c r="IH75"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10.73</v>
      </c>
      <c r="II75"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11.92</v>
      </c>
      <c r="IJ75"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5"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5"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5"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5"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9.3000000000000007</v>
      </c>
      <c r="IO75"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9.64</v>
      </c>
      <c r="IP75"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9.3000000000000007</v>
      </c>
      <c r="IQ75"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9.64</v>
      </c>
      <c r="IR75"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75"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75"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75"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75"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75"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75"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75"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75"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75"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75"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75"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75"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75"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75"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75"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75"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5"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5"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5"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5"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5"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5"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5"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5"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5"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5"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5"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5"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5"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5"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5"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5"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5"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5"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5"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5"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0.83000000000000007</v>
      </c>
      <c r="KC75" s="21">
        <f>SUM(DATA[[#This Row],[Care Assistant 1: Numbers employed (Full Time Equivalent)]],DATA[[#This Row],[Care Assistant 2: Numbers employed (Full Time Equivalent)]],DATA[[#This Row],[Care Assistant 3: Numbers employed (Full Time Equivalent)]],DATA[[#This Row],[Care Assistant 4: Numbers employed (Full Time Equivalent)]])</f>
        <v>6.28</v>
      </c>
      <c r="KD75" s="21">
        <f>SUM(DATA[[#This Row],[Administrative Officer 1: Numbers employed (Full Time Equivalent)]],DATA[[#This Row],[Administrative Officer 2: Numbers employed (Full Time Equivalent)]])</f>
        <v>0</v>
      </c>
      <c r="KE75" s="21">
        <f>SUM(DATA[[#This Row],[Other staff 1: Numbers employed (Full Time Equivalent)]],DATA[[#This Row],[Other staff 2: Numbers employed (Full Time Equivalent)]],DATA[[#This Row],[Other staff 3: Numbers employed (Full Time Equivalent)]])</f>
        <v>0</v>
      </c>
      <c r="KF75" s="21">
        <f>SUM(DATA[[#This Row],[Total FTE Management Employees]:[Total FTE Other Employees]])</f>
        <v>7.11</v>
      </c>
      <c r="KG75" s="21" t="str">
        <f>IF(SUM(DATA[[#This Row],[Home Support service split percentage (Expenditure):]],DATA[[#This Row],[Supported Living service split percentage (Expenditure):]])&gt;0, IF(DATA[[#This Row],[Home Support service split percentage (Expenditure):]]&gt;0.5,"Home Support","Supported Living"), "Unknown")</f>
        <v>Unknown</v>
      </c>
      <c r="KH75" s="21">
        <f>SUM(DATA[[#This Row],[Home Support: Birmingham City Council]:[Home Support: Self-funded]])</f>
        <v>0</v>
      </c>
      <c r="KI75" s="21">
        <f>SUM(DATA[[#This Row],[Supported Living: Birmingham City Council]:[Supported Living: Self-funded]])</f>
        <v>0</v>
      </c>
      <c r="KJ75"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5"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5"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5"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5" s="21" t="b">
        <f>SUM(DATA[[#This Row],[Number of hours of care charged for in last full accounting year]:[Corporate Overheads: Other  - please specify (category) 1]])&gt;0</f>
        <v>1</v>
      </c>
      <c r="KO75" s="21">
        <f>SUM(DATA[[#This Row],[Total annual expenditure: Management staff]:[Total annual expenditure: Training and development]])</f>
        <v>203036</v>
      </c>
      <c r="KP75" s="21">
        <f>SUM(DATA[[#This Row],[Recruitment &amp; advertising (including DBS checks)]:[Non-Staffing Direct Cost: Other  - please specify (amount) 2]])</f>
        <v>1807</v>
      </c>
      <c r="KQ75" s="21">
        <f>SUM(DATA[[#This Row],[Insurance ]:[Indirect costs: Other 2 - please specify (amount)]])</f>
        <v>40329</v>
      </c>
      <c r="KR75" s="21">
        <f>SUM(DATA[[#This Row],[Central / Regional Management]],DATA[[#This Row],[Support Services (finance / HR / Payroll / legal etc.)]],DATA[[#This Row],[Corporate Overheads: Other  - please specify (amount) 1]],DATA[[#This Row],[Corporate Overheads: Other  - please specify (amount) 2]])</f>
        <v>28180.93</v>
      </c>
      <c r="KS75"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75"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75"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75"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75"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75"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75"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5"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75"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75"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75" s="30">
        <f>IF(OR(NOT(DATA[[#This Row],[Care consumables &amp; uniforms]]&gt;0),NOT(DATA[[#This Row],[Number of hours of care charged for in last full accounting year]]&gt;0)),0,DATA[[#This Row],[Care consumables &amp; uniforms]]/DATA[[#This Row],[Number of hours of care charged for in last full accounting year]])</f>
        <v>0</v>
      </c>
      <c r="LD75" s="30">
        <f>IF(OR(NOT(DATA[[#This Row],[Electronic call monitoring]]&gt;0),NOT(DATA[[#This Row],[Number of hours of care charged for in last full accounting year]]&gt;0)),0,DATA[[#This Row],[Electronic call monitoring]]/DATA[[#This Row],[Number of hours of care charged for in last full accounting year]])</f>
        <v>0</v>
      </c>
      <c r="LE75" s="30">
        <f>IF(OR(NOT(DATA[[#This Row],[IT Equipment &amp; Telephoney]]&gt;0),NOT(DATA[[#This Row],[Number of hours of care charged for in last full accounting year]]&gt;0)),0,DATA[[#This Row],[IT Equipment &amp; Telephoney]]/DATA[[#This Row],[Number of hours of care charged for in last full accounting year]])</f>
        <v>0</v>
      </c>
      <c r="LF75"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75"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5" s="30">
        <f>IF(OR(NOT(DATA[[#This Row],[Insurance ]]&gt;0),NOT(DATA[[#This Row],[Number of hours of care charged for in last full accounting year]]&gt;0)),0,DATA[[#This Row],[Insurance ]]/DATA[[#This Row],[Number of hours of care charged for in last full accounting year]])</f>
        <v>0</v>
      </c>
      <c r="LI75"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75" s="30">
        <f>IF(OR(NOT(DATA[[#This Row],[Repairs and maintenance]]&gt;0),NOT(DATA[[#This Row],[Number of hours of care charged for in last full accounting year]]&gt;0)),0,DATA[[#This Row],[Repairs and maintenance]]/DATA[[#This Row],[Number of hours of care charged for in last full accounting year]])</f>
        <v>0</v>
      </c>
      <c r="LK75"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75" s="30">
        <f>IF(OR(NOT(DATA[[#This Row],[Registration &amp; Inspection fees ]]&gt;0),NOT(DATA[[#This Row],[Number of hours of care charged for in last full accounting year]]&gt;0)),0,DATA[[#This Row],[Registration &amp; Inspection fees ]]/DATA[[#This Row],[Number of hours of care charged for in last full accounting year]])</f>
        <v>0</v>
      </c>
      <c r="LM75" s="30">
        <f>IF(OR(NOT(DATA[[#This Row],[Subscriptions]]&gt;0),NOT(DATA[[#This Row],[Number of hours of care charged for in last full accounting year]]&gt;0)),0,DATA[[#This Row],[Subscriptions]]/DATA[[#This Row],[Number of hours of care charged for in last full accounting year]])</f>
        <v>0</v>
      </c>
      <c r="LN75" s="30">
        <f>IF(OR(NOT(DATA[[#This Row],[Cost of finance]]&gt;0),NOT(DATA[[#This Row],[Number of hours of care charged for in last full accounting year]]&gt;0)),0,DATA[[#This Row],[Cost of finance]]/DATA[[#This Row],[Number of hours of care charged for in last full accounting year]])</f>
        <v>0</v>
      </c>
      <c r="LO75" s="30">
        <f>IF(OR(NOT(DATA[[#This Row],[Other non-staff current expenses]]&gt;0),NOT(DATA[[#This Row],[Number of hours of care charged for in last full accounting year]]&gt;0)),0,DATA[[#This Row],[Other non-staff current expenses]]/DATA[[#This Row],[Number of hours of care charged for in last full accounting year]])</f>
        <v>0</v>
      </c>
      <c r="LP75"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75"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5" s="30">
        <f>IF(OR(NOT(DATA[[#This Row],[Central / Regional Management]]&gt;0),NOT(DATA[[#This Row],[Number of hours of care charged for in last full accounting year]]&gt;0)),0,DATA[[#This Row],[Central / Regional Management]]/DATA[[#This Row],[Number of hours of care charged for in last full accounting year]])</f>
        <v>0</v>
      </c>
      <c r="LS75"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75"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5"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5" s="30">
        <f>SUM(DATA[[#This Row],[Management staff HOURLY RATE]:[Corporate Overheads: Other  - please specify (amount) 2 HOURLY RATE]])</f>
        <v>0</v>
      </c>
      <c r="LW75" s="30" t="str">
        <f>IF(OR(NOT(DATA[[#This Row],[Net Operating Profit]]&gt;0),NOT(DATA[[#This Row],[Number of hours of care charged for in last full accounting year]]&gt;0)),"",DATA[[#This Row],[Net Operating Profit]]/DATA[[#This Row],[Number of hours of care charged for in last full accounting year]])</f>
        <v/>
      </c>
      <c r="LX75" s="30">
        <f>IF(OR(NOT(DATA[[#This Row],[Return on Capital employed]]&gt;0),NOT(DATA[[#This Row],[Number of hours of care charged for in last full accounting year]]&gt;0)),0,DATA[[#This Row],[Return on Capital employed]]/DATA[[#This Row],[Number of hours of care charged for in last full accounting year]])</f>
        <v>0</v>
      </c>
      <c r="LY75" s="31">
        <v>70</v>
      </c>
      <c r="LZ75" s="30" t="s">
        <v>345</v>
      </c>
      <c r="MA75" s="30" t="b">
        <f>DATA[[#This Row],[Number of Home support clients:]]&gt;0</f>
        <v>0</v>
      </c>
      <c r="MB75" s="30" t="b">
        <f>DATA[[#This Row],[Number of supported living clients:]]&gt;0</f>
        <v>1</v>
      </c>
      <c r="MC75" s="30" t="b">
        <f>DATA[[#This Row],[Total Home Support Hours]]&gt;0</f>
        <v>0</v>
      </c>
      <c r="MD75" s="30" t="b">
        <f>DATA[[#This Row],[Total Supported Living Hours]]&gt;0</f>
        <v>0</v>
      </c>
      <c r="ME75" s="30" t="b">
        <f>DATA[[#This Row],[Home Support service split percentage (Expenditure):]]&gt;0.5</f>
        <v>0</v>
      </c>
      <c r="MF75" s="30" t="b">
        <f>DATA[[#This Row],[Agency staff HOURLY RATE]]=0</f>
        <v>1</v>
      </c>
      <c r="MG75" s="30" t="str">
        <f>IFERROR(IF(AVERAGE(DATA[[#This Row],[Registered manager: Current 2021/22 Minimum hourly pay rate ADJUSTED]],DATA[[#This Row],[Registered manager: Current 2021/22 Maximum hourly pay rate ADJUSTED]])&lt;LIVING_WAGE_22_23,DATA[[#This Row],[Registered manager: Numbers employed (Full Time Equivalent)]],0),"")</f>
        <v/>
      </c>
      <c r="MH75" s="30" t="str">
        <f>IFERROR(IF(AVERAGE(DATA[[#This Row],[Deputy manager: Current 2021/22 Minimum hourly pay rate ADJUSTED]],DATA[[#This Row],[Deputy manager: Current 2021/22 Maximum hourly pay rate ADJUSTED]])&lt;LIVING_WAGE_22_23,DATA[[#This Row],[Deputy manager: Numbers employed (Full Time Equivalent)]],0),"")</f>
        <v/>
      </c>
      <c r="MI75" s="30">
        <f>IFERROR(IF(AVERAGE(DATA[[#This Row],[Other manager 1: Current 2021/22 Minimum hourly pay rate ADJUSTED]],DATA[[#This Row],[Other manager 1: Current 2021/22 Maximum hourly pay rate ADJUSTED]])&lt;LIVING_WAGE_22_23,DATA[[#This Row],[Other manager 1: Numbers employed (Full Time Equivalent)]],0),"")</f>
        <v>0</v>
      </c>
      <c r="MJ75" s="30">
        <f>IFERROR(IF(AVERAGE(DATA[[#This Row],[Other manager 2: Current 2021/22 Minimum hourly pay rate ADJUSTED]],DATA[[#This Row],[Other manager 2: Current 2021/22 Maximum hourly pay rate ADJUSTED]])&lt;LIVING_WAGE_22_23,DATA[[#This Row],[Other manager 2: Numbers employed (Full Time Equivalent)]],0),"")</f>
        <v>0</v>
      </c>
      <c r="MK75" s="30" t="str">
        <f>IFERROR(IF(AVERAGE(DATA[[#This Row],[Other manager 3: Current 2021/22 Minimum hourly pay rate ADJUSTED]],DATA[[#This Row],[Other manager 3: Current 2021/22 Maximum hourly pay rate ADJUSTED]])&lt;LIVING_WAGE_22_23,DATA[[#This Row],[Other manager 3: Numbers employed (Full Time Equivalent)]],0),"")</f>
        <v/>
      </c>
      <c r="ML75" s="30">
        <f>IFERROR(IF(AVERAGE(DATA[[#This Row],[Care Assistant 1: Current 2021/22 Minimum hourly pay rate ADJUSTED]],DATA[[#This Row],[Care Assistant 1: Current 2021/22 Maximum hourly pay rate ADJUSTED]])&lt;LIVING_WAGE_22_23,DATA[[#This Row],[Care Assistant 1: Numbers employed (Full Time Equivalent)]],0),"")</f>
        <v>6</v>
      </c>
      <c r="MM75" s="30" t="str">
        <f>IFERROR(IF(AVERAGE(DATA[[#This Row],[Care Assistant 2: Current 2021/22 Minimum hourly pay rate ADJUSTED]],DATA[[#This Row],[Care Assistant 2: Current 2021/22 Maximum hourly pay rate ADJUSTED]])&lt;LIVING_WAGE_22_23,DATA[[#This Row],[Care Assistant 2: Numbers employed (Full Time Equivalent)]],0),"")</f>
        <v/>
      </c>
      <c r="MN75" s="30" t="str">
        <f>IFERROR(IF(AVERAGE(DATA[[#This Row],[Care Assistant 3: Current 2021/22 Minimum hourly pay rate ADJUSTED]],DATA[[#This Row],[Care Assistant 3: Current 2021/22 Maximum hourly pay rate ADJUSTED]])&lt;LIVING_WAGE_22_23,DATA[[#This Row],[Care Assistant 3: Numbers employed (Full Time Equivalent)]],0),"")</f>
        <v/>
      </c>
      <c r="MO75" s="30" t="str">
        <f>IFERROR(IF(AVERAGE(DATA[[#This Row],[Care Assistant 4: Current 2021/22 Minimum hourly pay rate ADJUSTED]],DATA[[#This Row],[Care Assistant 4: Current 2021/22 Maximum hourly pay rate ADJUSTED]])&lt;LIVING_WAGE_22_23,DATA[[#This Row],[Care Assistant 4: Numbers employed (Full Time Equivalent)]],0),"")</f>
        <v/>
      </c>
      <c r="MP75"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75"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5" s="30" t="str">
        <f>IFERROR(IF(AVERAGE(DATA[[#This Row],[Other staff 1: Current 2021/22 Minimum hourly pay rate ADJUSTED]],DATA[[#This Row],[Other staff 1: Current 2021/22 Maximum hourly pay rate ADJUSTED]])&lt;LIVING_WAGE_22_23,DATA[[#This Row],[Other staff 1: Numbers employed (Full Time Equivalent)]],0),"")</f>
        <v/>
      </c>
      <c r="MS75" s="30" t="str">
        <f>IFERROR(IF(AVERAGE(DATA[[#This Row],[Other staff 2: Current 2021/22 Minimum hourly pay rate ADJUSTED]],DATA[[#This Row],[Other staff 2: Current 2021/22 Maximum hourly pay rate ADJUSTED]])&lt;LIVING_WAGE_22_23,DATA[[#This Row],[Other staff 2: Numbers employed (Full Time Equivalent)]],0),"")</f>
        <v/>
      </c>
      <c r="MT75" s="30" t="str">
        <f>IFERROR(IF(AVERAGE(DATA[[#This Row],[Other staff 3: Current 2021/22 Minimum hourly pay rate ADJUSTED]],DATA[[#This Row],[Other staff 3: Current 2021/22 Maximum hourly pay rate ADJUSTED]])&lt;LIVING_WAGE_22_23,DATA[[#This Row],[Other staff 3: Numbers employed (Full Time Equivalent)]],0),"")</f>
        <v/>
      </c>
      <c r="MU75" s="30">
        <f>SUM(DATA[[#This Row],[Registered Manager FTE earning less than NLW 23yrs 2022/23]:[Other staff 3 FTE earning less than NLW 23yrs 2022/23]])</f>
        <v>6</v>
      </c>
      <c r="MV75" s="30" t="str">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
      </c>
      <c r="MW75"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75"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75"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75"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5"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0.17999999999999616</v>
      </c>
      <c r="NB75"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75"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75"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75"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75"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5"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5"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5"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5" s="30" t="b">
        <v>1</v>
      </c>
      <c r="NK75" s="30" t="b">
        <v>1</v>
      </c>
      <c r="NL75" s="30" t="s">
        <v>505</v>
      </c>
      <c r="NM75" s="30">
        <f>SUM(DATA[[#This Row],[Management staff HOURLY RATE]:[Training and development HOURLY RATE]])</f>
        <v>0</v>
      </c>
      <c r="NN75" s="30">
        <f>SUM(DATA[[#This Row],[Recruitment &amp; advertising (including DBS checks) HOURLY RATE]:[Non-Staffing Direct Cost: Other  - please specify (amount) 2 HOURLY RATE]])</f>
        <v>0</v>
      </c>
      <c r="NO75" s="30">
        <f>SUM(DATA[[#This Row],[Insurance  HOURLY RATE]:[Indirect costs: Other  - please specify (amount) 2 HOURLY RATE]])</f>
        <v>0</v>
      </c>
      <c r="NP75" s="30">
        <f>SUM(DATA[[#This Row],[Central / Regional Management HOURLY RATE]:[Corporate Overheads: Other  - please specify (amount) 2 HOURLY RATE]])</f>
        <v>0</v>
      </c>
      <c r="NQ75" s="30" t="str">
        <f>IFERROR(IF(AVERAGE(DATA[[#This Row],[Registered manager: Current 2021/22 Minimum hourly pay rate ADJUSTED]],DATA[[#This Row],[Registered manager: Current 2021/22 Maximum hourly pay rate ADJUSTED]])&lt;REAL_LIVING_WAGE_22_23,DATA[[#This Row],[Registered manager: Numbers employed (Full Time Equivalent)]],0),"")</f>
        <v/>
      </c>
      <c r="NR75" s="30" t="str">
        <f>IFERROR(IF(AVERAGE(DATA[[#This Row],[Deputy manager: Current 2021/22 Minimum hourly pay rate ADJUSTED]],DATA[[#This Row],[Deputy manager: Current 2021/22 Maximum hourly pay rate ADJUSTED]])&lt;REAL_LIVING_WAGE_22_23,DATA[[#This Row],[Deputy manager: Numbers employed (Full Time Equivalent)]],0),"")</f>
        <v/>
      </c>
      <c r="NS75" s="30">
        <f>IFERROR(IF(AVERAGE(DATA[[#This Row],[Other manager 1: Current 2021/22 Minimum hourly pay rate ADJUSTED]],DATA[[#This Row],[Other manager 1: Current 2021/22 Maximum hourly pay rate ADJUSTED]])&lt;REAL_LIVING_WAGE_22_23,DATA[[#This Row],[Other manager 1: Numbers employed (Full Time Equivalent)]],0),"")</f>
        <v>0</v>
      </c>
      <c r="NT75" s="30">
        <f>IFERROR(IF(AVERAGE(DATA[[#This Row],[Other manager 2: Current 2021/22 Minimum hourly pay rate ADJUSTED]],DATA[[#This Row],[Other manager 2: Current 2021/22 Maximum hourly pay rate ADJUSTED]])&lt;REAL_LIVING_WAGE_22_23,DATA[[#This Row],[Other manager 2: Numbers employed (Full Time Equivalent)]],0),"")</f>
        <v>0</v>
      </c>
      <c r="NU75" s="30" t="str">
        <f>IFERROR(IF(AVERAGE(DATA[[#This Row],[Other manager 3: Current 2021/22 Minimum hourly pay rate ADJUSTED]],DATA[[#This Row],[Other manager 3: Current 2021/22 Maximum hourly pay rate ADJUSTED]])&lt;REAL_LIVING_WAGE_22_23,DATA[[#This Row],[Other manager 3: Numbers employed (Full Time Equivalent)]],0),"")</f>
        <v/>
      </c>
      <c r="NV75" s="30">
        <f>IFERROR(IF(AVERAGE(DATA[[#This Row],[Care Assistant 1: Current 2021/22 Minimum hourly pay rate ADJUSTED]],DATA[[#This Row],[Care Assistant 1: Current 2021/22 Maximum hourly pay rate ADJUSTED]])&lt;REAL_LIVING_WAGE_22_23,DATA[[#This Row],[Care Assistant 1: Numbers employed (Full Time Equivalent)]],0),"")</f>
        <v>6</v>
      </c>
      <c r="NW75"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75"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75"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75"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75"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5" s="30" t="str">
        <f>IFERROR(IF(AVERAGE(DATA[[#This Row],[Other staff 1: Current 2021/22 Minimum hourly pay rate ADJUSTED]],DATA[[#This Row],[Other staff 1: Current 2021/22 Maximum hourly pay rate ADJUSTED]])&lt;REAL_LIVING_WAGE_22_23,DATA[[#This Row],[Other staff 1: Numbers employed (Full Time Equivalent)]],0),"")</f>
        <v/>
      </c>
      <c r="OC75" s="30" t="str">
        <f>IFERROR(IF(AVERAGE(DATA[[#This Row],[Other staff 2: Current 2021/22 Minimum hourly pay rate ADJUSTED]],DATA[[#This Row],[Other staff 2: Current 2021/22 Maximum hourly pay rate ADJUSTED]])&lt;REAL_LIVING_WAGE_22_23,DATA[[#This Row],[Other staff 2: Numbers employed (Full Time Equivalent)]],0),"")</f>
        <v/>
      </c>
      <c r="OD75" s="30" t="str">
        <f>IFERROR(IF(AVERAGE(DATA[[#This Row],[Other staff 3: Current 2021/22 Minimum hourly pay rate ADJUSTED]],DATA[[#This Row],[Other staff 3: Current 2021/22 Maximum hourly pay rate ADJUSTED]])&lt;REAL_LIVING_WAGE_22_23,DATA[[#This Row],[Other staff 3: Numbers employed (Full Time Equivalent)]],0),"")</f>
        <v/>
      </c>
      <c r="OE75" s="30">
        <f>SUM(DATA[[#This Row],[Registered Manager FTE earning less than RLW 23yrs 2022/23]:[Other staff 3 FTE earning less than RLW 23yrs 2022/23]])</f>
        <v>6</v>
      </c>
      <c r="OF75" s="30" t="str">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
      </c>
      <c r="OG75"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75"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75"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75"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5"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2.5799999999999983</v>
      </c>
      <c r="OL75"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75"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75"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75"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75"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5"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5"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5"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5" s="30" t="str">
        <f>IFERROR(IF(DATA[[#This Row],[Registered manager: Numbers employed (Full Time Equivalent)]]=0,"",DATA[[#This Row],[Registered manager: Current 2021/22 Minimum hourly pay rate ADJUSTED 2]]*DATA[[#This Row],[Registered manager: Numbers employed (Full Time Equivalent)]]),"")</f>
        <v/>
      </c>
      <c r="OU75" s="30" t="str">
        <f>IFERROR(IF(DATA[[#This Row],[Registered manager: Numbers employed (Full Time Equivalent)]]=0,"",DATA[[#This Row],[Registered manager: Current 2021/22 Maximum hourly pay rate ADJUSTED 2]]*DATA[[#This Row],[Registered manager: Numbers employed (Full Time Equivalent)]]),"")</f>
        <v/>
      </c>
      <c r="OV75" s="30" t="str">
        <f>IFERROR(IF(DATA[[#This Row],[Registered manager: Numbers employed (Full Time Equivalent)]]=0,"",DATA[[#This Row],[Registered manager: Previous 2020/21 Minimum hourly pay rate ADJUSTED 2]]*DATA[[#This Row],[Registered manager: Numbers employed (Full Time Equivalent)]]),"")</f>
        <v/>
      </c>
      <c r="OW75" s="30" t="str">
        <f>IFERROR(IF(DATA[[#This Row],[Registered manager: Numbers employed (Full Time Equivalent)]]=0,"",DATA[[#This Row],[Registered manager: Previous 2020/21 Maximum hourly pay rate ADJUSTED 2]]*DATA[[#This Row],[Registered manager: Numbers employed (Full Time Equivalent)]]),"")</f>
        <v/>
      </c>
      <c r="OX75" s="30" t="str">
        <f>IFERROR(IF(DATA[[#This Row],[Deputy manager: Numbers employed (Full Time Equivalent)]]=0,"",DATA[[#This Row],[Deputy manager: Current 2021/22 Minimum hourly pay rate ADJUSTED 2]]*DATA[[#This Row],[Deputy manager: Numbers employed (Full Time Equivalent)]]),"")</f>
        <v/>
      </c>
      <c r="OY75" s="30" t="str">
        <f>IFERROR(IF(DATA[[#This Row],[Deputy manager: Numbers employed (Full Time Equivalent)]]=0,"",DATA[[#This Row],[Deputy manager: Current 2021/22 Maximum hourly pay rate ADJUSTED 2]]*DATA[[#This Row],[Deputy manager: Numbers employed (Full Time Equivalent)]]),"")</f>
        <v/>
      </c>
      <c r="OZ75" s="30" t="str">
        <f>IFERROR(IF(DATA[[#This Row],[Deputy manager: Numbers employed (Full Time Equivalent)]]=0,"",DATA[[#This Row],[Deputy manager: Previous 2020/21 Minimum hourly pay rate ADJUSTED 2]]*DATA[[#This Row],[Deputy manager: Numbers employed (Full Time Equivalent)]]),"")</f>
        <v/>
      </c>
      <c r="PA75" s="30" t="str">
        <f>IFERROR(IF(DATA[[#This Row],[Deputy manager: Numbers employed (Full Time Equivalent)]]=0,"",DATA[[#This Row],[Deputy manager: Previous 2020/21 Maximum hourly pay rate ADJUSTED 2]]*DATA[[#This Row],[Deputy manager: Numbers employed (Full Time Equivalent)]]),"")</f>
        <v/>
      </c>
      <c r="PB75" s="30">
        <f>IFERROR(IF(DATA[[#This Row],[Other manager 1: Numbers employed (Full Time Equivalent)]]=0,"",DATA[[#This Row],[Other manager 1: Current 2021/22 Minimum hourly pay rate ADJUSTED 2]]*DATA[[#This Row],[Other manager 1: Numbers employed (Full Time Equivalent)]]),"")</f>
        <v>5.3196000000000003</v>
      </c>
      <c r="PC75" s="30">
        <f>IFERROR(IF(DATA[[#This Row],[Other manager 1: Numbers employed (Full Time Equivalent)]]=0,"",DATA[[#This Row],[Other manager 1: Current 2021/22 Maximum hourly pay rate ADJUSTED 2]]*DATA[[#This Row],[Other manager 1: Numbers employed (Full Time Equivalent)]]),"")</f>
        <v>5.9004000000000003</v>
      </c>
      <c r="PD75" s="30">
        <f>IFERROR(IF(DATA[[#This Row],[Other manager 1: Numbers employed (Full Time Equivalent)]]=0,"",DATA[[#This Row],[Other manager 1: Previous 2020/21 Minimum hourly pay rate ADJUSTED 2]]*DATA[[#This Row],[Other manager 1: Numbers employed (Full Time Equivalent)]]),"")</f>
        <v>5.3196000000000003</v>
      </c>
      <c r="PE75" s="30">
        <f>IFERROR(IF(DATA[[#This Row],[Other manager 1: Numbers employed (Full Time Equivalent)]]=0,"",DATA[[#This Row],[Other manager 1: Previous 2020/21 Maximum hourly pay rate ADJUSTED 2]]*DATA[[#This Row],[Other manager 1: Numbers employed (Full Time Equivalent)]]),"")</f>
        <v>5.9004000000000003</v>
      </c>
      <c r="PF75" s="30">
        <f>IFERROR(IF(DATA[[#This Row],[Other manager 2: Numbers employed (Full Time Equivalent)]]=0,"",DATA[[#This Row],[Other manager 2: Current 2021/22 Minimum hourly pay rate ADJUSTED 2]]*DATA[[#This Row],[Other manager 2: Numbers employed (Full Time Equivalent)]]),"")</f>
        <v>5.3650000000000002</v>
      </c>
      <c r="PG75" s="30">
        <f>IFERROR(IF(DATA[[#This Row],[Other manager 2: Numbers employed (Full Time Equivalent)]]=0,"",DATA[[#This Row],[Other manager 2: Current 2021/22 Maximum hourly pay rate ADJUSTED 2]]*DATA[[#This Row],[Other manager 2: Numbers employed (Full Time Equivalent)]]),"")</f>
        <v>5.96</v>
      </c>
      <c r="PH75" s="30">
        <f>IFERROR(IF(DATA[[#This Row],[Other manager 2: Numbers employed (Full Time Equivalent)]]=0,"",DATA[[#This Row],[Other manager 2: Previous 2020/21 Minimum hourly pay rate ADJUSTED 2]]*DATA[[#This Row],[Other manager 2: Numbers employed (Full Time Equivalent)]]),"")</f>
        <v>5.3650000000000002</v>
      </c>
      <c r="PI75" s="30">
        <f>IFERROR(IF(DATA[[#This Row],[Other manager 2: Numbers employed (Full Time Equivalent)]]=0,"",DATA[[#This Row],[Other manager 2: Previous 2020/21 Maximum hourly pay rate ADJUSTED 2]]*DATA[[#This Row],[Other manager 2: Numbers employed (Full Time Equivalent)]]),"")</f>
        <v>5.96</v>
      </c>
      <c r="PJ75" s="30" t="str">
        <f>IFERROR(IF(DATA[[#This Row],[Other manager 3: Numbers employed (Full Time Equivalent)]]=0,"",DATA[[#This Row],[Other manager 3: Current 2021/22 Minimum hourly pay rate ADJUSTED 2]]*DATA[[#This Row],[Other manager 3: Numbers employed (Full Time Equivalent)]]),"")</f>
        <v/>
      </c>
      <c r="PK75" s="30" t="str">
        <f>IFERROR(IF(DATA[[#This Row],[Other manager 3: Numbers employed (Full Time Equivalent)]]=0,"",DATA[[#This Row],[Other manager 3: Current 2021/22 Maximum hourly pay rate ADJUSTED 2]]*DATA[[#This Row],[Other manager 3: Numbers employed (Full Time Equivalent)]]),"")</f>
        <v/>
      </c>
      <c r="PL75" s="30" t="str">
        <f>IFERROR(IF(DATA[[#This Row],[Other manager 3: Numbers employed (Full Time Equivalent)]]=0,"",DATA[[#This Row],[Other manager 3: Previous 2020/21 Minimum hourly pay rate ADJUSTED 2]]*DATA[[#This Row],[Other manager 3: Numbers employed (Full Time Equivalent)]]),"")</f>
        <v/>
      </c>
      <c r="PM75" s="30" t="str">
        <f>IFERROR(IF(DATA[[#This Row],[Other manager 3: Numbers employed (Full Time Equivalent)]]=0,"",DATA[[#This Row],[Other manager 3: Previous 2020/21 Maximum hourly pay rate ADJUSTED 2]]*DATA[[#This Row],[Other manager 3: Numbers employed (Full Time Equivalent)]]),"")</f>
        <v/>
      </c>
      <c r="PN75" s="30">
        <f>IFERROR(IF(DATA[[#This Row],[Care Assistant 1: Numbers employed (Full Time Equivalent)]]=0,"",DATA[[#This Row],[Care Assistant 1: Current 2021/22 Minimum hourly pay rate ADJUSTED 2]]*DATA[[#This Row],[Care Assistant 1: Numbers employed (Full Time Equivalent)]]),"")</f>
        <v>55.800000000000004</v>
      </c>
      <c r="PO75" s="30">
        <f>IFERROR(IF(DATA[[#This Row],[Care Assistant 1: Numbers employed (Full Time Equivalent)]]=0,"",DATA[[#This Row],[Care Assistant 1: Current 2021/22 Maximum hourly pay rate ADJUSTED 2]]*DATA[[#This Row],[Care Assistant 1: Numbers employed (Full Time Equivalent)]]),"")</f>
        <v>57.84</v>
      </c>
      <c r="PP75" s="30">
        <f>IFERROR(IF(DATA[[#This Row],[Care Assistant 1: Numbers employed (Full Time Equivalent)]]=0,"",DATA[[#This Row],[Care Assistant 1: Previous 2020/21 Minimum hourly pay rate ADJUSTED 2]]*DATA[[#This Row],[Care Assistant 1: Numbers employed (Full Time Equivalent)]]),"")</f>
        <v>55.800000000000004</v>
      </c>
      <c r="PQ75" s="30">
        <f>IFERROR(IF(DATA[[#This Row],[Care Assistant 1: Numbers employed (Full Time Equivalent)]]=0,"",DATA[[#This Row],[Care Assistant 1: Previous 2020/21 Maximum hourly pay rate ADJUSTED 2]]*DATA[[#This Row],[Care Assistant 1: Numbers employed (Full Time Equivalent)]]),"")</f>
        <v>57.84</v>
      </c>
      <c r="PR75" s="30" t="str">
        <f>IFERROR(IF(DATA[[#This Row],[Care Assistant 2: Numbers employed (Full Time Equivalent)]]=0,"",DATA[[#This Row],[Care Assistant 2: Current 2021/22 Minimum hourly pay rate ADJUSTED 2]]*DATA[[#This Row],[Care Assistant 2: Numbers employed (Full Time Equivalent)]]),"")</f>
        <v/>
      </c>
      <c r="PS75" s="30" t="str">
        <f>IFERROR(IF(DATA[[#This Row],[Care Assistant 2: Numbers employed (Full Time Equivalent)]]=0,"",DATA[[#This Row],[Care Assistant 2: Current 2021/22 Maximum hourly pay rate ADJUSTED 2]]*DATA[[#This Row],[Care Assistant 2: Numbers employed (Full Time Equivalent)]]),"")</f>
        <v/>
      </c>
      <c r="PT75" s="30" t="str">
        <f>IFERROR(IF(DATA[[#This Row],[Care Assistant 2: Numbers employed (Full Time Equivalent)]]=0,"",DATA[[#This Row],[Care Assistant 2: Previous 2020/21 Minimum hourly pay rate ADJUSTED 2]]*DATA[[#This Row],[Care Assistant 2: Numbers employed (Full Time Equivalent)]]),"")</f>
        <v/>
      </c>
      <c r="PU75" s="30" t="str">
        <f>IFERROR(IF(DATA[[#This Row],[Care Assistant 2: Numbers employed (Full Time Equivalent)]]=0,"",DATA[[#This Row],[Care Assistant 2: Previous 2020/21 Maximum hourly pay rate ADJUSTED 2]]*DATA[[#This Row],[Care Assistant 2: Numbers employed (Full Time Equivalent)]]),"")</f>
        <v/>
      </c>
      <c r="PV75" s="30" t="str">
        <f>IFERROR(IF(DATA[[#This Row],[Care Assistant 3: Numbers employed (Full Time Equivalent)]]=0,"",DATA[[#This Row],[Care Assistant 3: Current 2021/22 Minimum hourly pay rate ADJUSTED 2]]*DATA[[#This Row],[Care Assistant 3: Numbers employed (Full Time Equivalent)]]),"")</f>
        <v/>
      </c>
      <c r="PW75" s="30" t="str">
        <f>IFERROR(IF(DATA[[#This Row],[Care Assistant 3: Numbers employed (Full Time Equivalent)]]=0,"",DATA[[#This Row],[Care Assistant 3: Current 2021/22 Maximum hourly pay rate ADJUSTED 2]]*DATA[[#This Row],[Care Assistant 3: Numbers employed (Full Time Equivalent)]]),"")</f>
        <v/>
      </c>
      <c r="PX75" s="30" t="str">
        <f>IFERROR(IF(DATA[[#This Row],[Care Assistant 3: Numbers employed (Full Time Equivalent)]]=0,"",DATA[[#This Row],[Care Assistant 3: Previous 2020/21 Minimum hourly pay rate ADJUSTED 2]]*DATA[[#This Row],[Care Assistant 3: Numbers employed (Full Time Equivalent)]]),"")</f>
        <v/>
      </c>
      <c r="PY75" s="30" t="str">
        <f>IFERROR(IF(DATA[[#This Row],[Care Assistant 3: Numbers employed (Full Time Equivalent)]]=0,"",DATA[[#This Row],[Care Assistant 3: Previous 2020/21 Maximum hourly pay rate ADJUSTED 2]]*DATA[[#This Row],[Care Assistant 3: Numbers employed (Full Time Equivalent)]]),"")</f>
        <v/>
      </c>
      <c r="PZ75" s="30" t="str">
        <f>IFERROR(IF(DATA[[#This Row],[Care Assistant 4: Numbers employed (Full Time Equivalent)]]=0,"",DATA[[#This Row],[Care Assistant 4: Current 2021/22 Minimum hourly pay rate ADJUSTED 2]]*DATA[[#This Row],[Care Assistant 4: Numbers employed (Full Time Equivalent)]]),"")</f>
        <v/>
      </c>
      <c r="QA75" s="30" t="str">
        <f>IFERROR(IF(DATA[[#This Row],[Care Assistant 4: Numbers employed (Full Time Equivalent)]]=0,"",DATA[[#This Row],[Care Assistant 4: Current 2021/22 Maximum hourly pay rate ADJUSTED 2]]*DATA[[#This Row],[Care Assistant 4: Numbers employed (Full Time Equivalent)]]),"")</f>
        <v/>
      </c>
      <c r="QB75" s="30" t="str">
        <f>IFERROR(IF(DATA[[#This Row],[Care Assistant 4: Numbers employed (Full Time Equivalent)]]=0,"",DATA[[#This Row],[Care Assistant 4: Previous 2020/21 Minimum hourly pay rate ADJUSTED 2]]*DATA[[#This Row],[Care Assistant 4: Numbers employed (Full Time Equivalent)]]),"")</f>
        <v/>
      </c>
      <c r="QC75" s="30" t="str">
        <f>IFERROR(IF(DATA[[#This Row],[Care Assistant 4: Numbers employed (Full Time Equivalent)]]=0,"",DATA[[#This Row],[Care Assistant 4: Previous 2020/21 Maximum hourly pay rate ADJUSTED 2]]*DATA[[#This Row],[Care Assistant 4: Numbers employed (Full Time Equivalent)]]),"")</f>
        <v/>
      </c>
      <c r="QD75" s="30" t="str">
        <f>IFERROR(IF(DATA[[#This Row],[Administrative Officer 1: Numbers employed (Full Time Equivalent)]]=0,"",DATA[[#This Row],[Administrative Officer 1: Current 2021/22 Minimum hourly pay rate ADJUSTED 2]]*DATA[[#This Row],[Administrative Officer 1: Numbers employed (Full Time Equivalent)]]),"")</f>
        <v/>
      </c>
      <c r="QE75" s="30" t="str">
        <f>IFERROR(IF(DATA[[#This Row],[Administrative Officer 1: Numbers employed (Full Time Equivalent)]]=0,"",DATA[[#This Row],[Administrative Officer 1: Current 2021/22 Maximum hourly pay rate ADJUSTED 2]]*DATA[[#This Row],[Administrative Officer 1: Numbers employed (Full Time Equivalent)]]),"")</f>
        <v/>
      </c>
      <c r="QF75" s="30" t="str">
        <f>IFERROR(IF(DATA[[#This Row],[Administrative Officer 1: Numbers employed (Full Time Equivalent)]]=0,"",DATA[[#This Row],[Administrative Officer 1: Previous 2020/21 Minimum hourly pay rate ADJUSTED 2]]*DATA[[#This Row],[Administrative Officer 1: Numbers employed (Full Time Equivalent)]]),"")</f>
        <v/>
      </c>
      <c r="QG75" s="30" t="str">
        <f>IFERROR(IF(DATA[[#This Row],[Administrative Officer 1: Numbers employed (Full Time Equivalent)]]=0,"",DATA[[#This Row],[Administrative Officer 1: Previous 2020/21 Maximum hourly pay rate ADJUSTED 2]]*DATA[[#This Row],[Administrative Officer 1: Numbers employed (Full Time Equivalent)]]),"")</f>
        <v/>
      </c>
      <c r="QH75" s="30" t="str">
        <f>IFERROR(IF(DATA[[#This Row],[Administrative Officer 2: Numbers employed (Full Time Equivalent)]]=0,"",DATA[[#This Row],[Administrative Officer 2: Current 2021/22 Minimum hourly pay rate ADJUSTED 2]]*DATA[[#This Row],[Administrative Officer 2: Numbers employed (Full Time Equivalent)]]),"")</f>
        <v/>
      </c>
      <c r="QI75" s="30" t="str">
        <f>IFERROR(IF(DATA[[#This Row],[Administrative Officer 2: Numbers employed (Full Time Equivalent)]]=0,"",DATA[[#This Row],[Administrative Officer 2: Current 2021/22 Maximum hourly pay rate ADJUSTED 2]]*DATA[[#This Row],[Administrative Officer 2: Numbers employed (Full Time Equivalent)]]),"")</f>
        <v/>
      </c>
      <c r="QJ75" s="30" t="str">
        <f>IFERROR(IF(DATA[[#This Row],[Administrative Officer 2: Numbers employed (Full Time Equivalent)]]=0,"",DATA[[#This Row],[Administrative Officer 2: Previous 2020/21 Minimum hourly pay rate ADJUSTED 2]]*DATA[[#This Row],[Administrative Officer 2: Numbers employed (Full Time Equivalent)]]),"")</f>
        <v/>
      </c>
      <c r="QK75" s="30" t="str">
        <f>IFERROR(IF(DATA[[#This Row],[Administrative Officer 2: Numbers employed (Full Time Equivalent)]]=0,"",DATA[[#This Row],[Administrative Officer 2: Previous 2020/21 Maximum hourly pay rate ADJUSTED 2]]*DATA[[#This Row],[Administrative Officer 2: Numbers employed (Full Time Equivalent)]]),"")</f>
        <v/>
      </c>
      <c r="QL75" s="30" t="str">
        <f>IFERROR(IF(DATA[[#This Row],[Administrative Officer 3: Numbers employed (Full Time Equivalent)]]=0,"",DATA[[#This Row],[Administrative Officer 3: Current 2021/22 Minimum hourly pay rate ADJUSTED 2]]*DATA[[#This Row],[Administrative Officer 3: Numbers employed (Full Time Equivalent)]]),"")</f>
        <v/>
      </c>
      <c r="QM75" s="30" t="str">
        <f>IFERROR(IF(DATA[[#This Row],[Administrative Officer 3: Numbers employed (Full Time Equivalent)]]=0,"",DATA[[#This Row],[Administrative Officer 3: Current 2021/22 Maximum hourly pay rate ADJUSTED 2]]*DATA[[#This Row],[Administrative Officer 3: Numbers employed (Full Time Equivalent)]]),"")</f>
        <v/>
      </c>
      <c r="QN75" s="30" t="str">
        <f>IFERROR(IF(DATA[[#This Row],[Administrative Officer 3: Numbers employed (Full Time Equivalent)]]=0,"",DATA[[#This Row],[Administrative Officer 3: Previous 2020/21 Minimum hourly pay rate ADJUSTED 2]]*DATA[[#This Row],[Administrative Officer 3: Numbers employed (Full Time Equivalent)]]),"")</f>
        <v/>
      </c>
      <c r="QO75" s="30" t="str">
        <f>IFERROR(IF(DATA[[#This Row],[Administrative Officer 3: Numbers employed (Full Time Equivalent)]]=0,"",DATA[[#This Row],[Administrative Officer 3: Previous 2020/21 Maximum hourly pay rate ADJUSTED 2]]*DATA[[#This Row],[Administrative Officer 3: Numbers employed (Full Time Equivalent)]]),"")</f>
        <v/>
      </c>
      <c r="QP75" s="28" t="str">
        <f>IFERROR(IF(DATA[[#This Row],[Other staff 1: Numbers employed (Full Time Equivalent)]]=0,"",DATA[[#This Row],[Other staff 1: Current 2021/22 Minimum hourly pay rate ADJUSTED 2]]*DATA[[#This Row],[Other staff 1: Numbers employed (Full Time Equivalent)]]),"")</f>
        <v/>
      </c>
      <c r="QQ75" s="28" t="str">
        <f>IFERROR(IF(DATA[[#This Row],[Other staff 1: Numbers employed (Full Time Equivalent)]]=0,"",DATA[[#This Row],[Other staff 1: Current 2021/22 Maximum hourly pay rate ADJUSTED 2]]*DATA[[#This Row],[Other staff 1: Numbers employed (Full Time Equivalent)]]),"")</f>
        <v/>
      </c>
      <c r="QR75" s="28" t="str">
        <f>IFERROR(IF(DATA[[#This Row],[Other staff 1: Numbers employed (Full Time Equivalent)]]=0,"",DATA[[#This Row],[Other staff 1: Previous 2020/21 Minimum hourly pay rate ADJUSTED 2]]*DATA[[#This Row],[Other staff 1: Numbers employed (Full Time Equivalent)]]),"")</f>
        <v/>
      </c>
      <c r="QS75" s="28" t="str">
        <f>IFERROR(IF(DATA[[#This Row],[Other staff 1: Numbers employed (Full Time Equivalent)]]=0,"",DATA[[#This Row],[Other staff 1: Previous 2020/21 Maximum hourly pay rate ADJUSTED 2]]*DATA[[#This Row],[Other staff 1: Numbers employed (Full Time Equivalent)]]),"")</f>
        <v/>
      </c>
      <c r="QT75" s="28" t="str">
        <f>IFERROR(IF(DATA[[#This Row],[Other staff 2: Numbers employed (Full Time Equivalent)]]=0,"",DATA[[#This Row],[Other staff 2: Current 2021/22 Minimum hourly pay rate ADJUSTED 2]]*DATA[[#This Row],[Other staff 2: Numbers employed (Full Time Equivalent)]]),"")</f>
        <v/>
      </c>
      <c r="QU75" s="28" t="str">
        <f>IFERROR(IF(DATA[[#This Row],[Other staff 2: Numbers employed (Full Time Equivalent)]]=0,"",DATA[[#This Row],[Other staff 2: Current 2021/22 Maximum hourly pay rate ADJUSTED 2]]*DATA[[#This Row],[Other staff 2: Numbers employed (Full Time Equivalent)]]),"")</f>
        <v/>
      </c>
      <c r="QV75" s="28" t="str">
        <f>IFERROR(IF(DATA[[#This Row],[Other staff 2: Numbers employed (Full Time Equivalent)]]=0,"",DATA[[#This Row],[Other staff 2: Previous 2020/21 Minimum hourly pay rate ADJUSTED 2]]*DATA[[#This Row],[Other staff 2: Numbers employed (Full Time Equivalent)]]),"")</f>
        <v/>
      </c>
      <c r="QW75" s="28" t="str">
        <f>IFERROR(IF(DATA[[#This Row],[Other staff 2: Numbers employed (Full Time Equivalent)]]=0,"",DATA[[#This Row],[Other staff 2: Previous 2020/21 Maximum hourly pay rate ADJUSTED 2]]*DATA[[#This Row],[Other staff 2: Numbers employed (Full Time Equivalent)]]),"")</f>
        <v/>
      </c>
      <c r="QX75" s="28" t="str">
        <f>IFERROR(IF(DATA[[#This Row],[Other staff 3: Numbers employed (Full Time Equivalent)]]=0,"",DATA[[#This Row],[Other staff 3: Current 2021/22 Minimum hourly pay rate ADJUSTED 2]]*DATA[[#This Row],[Other staff 3: Numbers employed (Full Time Equivalent)]]),"")</f>
        <v/>
      </c>
      <c r="QY75" s="28" t="str">
        <f>IFERROR(IF(DATA[[#This Row],[Other staff 3: Numbers employed (Full Time Equivalent)]]=0,"",DATA[[#This Row],[Other staff 3: Current 2021/22 Maximum hourly pay rate ADJUSTED 2]]*DATA[[#This Row],[Other staff 3: Numbers employed (Full Time Equivalent)]]),"")</f>
        <v/>
      </c>
      <c r="QZ75" s="28" t="str">
        <f>IFERROR(IF(DATA[[#This Row],[Other staff 3: Numbers employed (Full Time Equivalent)]]=0,"",DATA[[#This Row],[Other staff 3: Previous 2020/21 Minimum hourly pay rate ADJUSTED 2]]*DATA[[#This Row],[Other staff 3: Numbers employed (Full Time Equivalent)]]),"")</f>
        <v/>
      </c>
      <c r="RA75" s="28" t="str">
        <f>IFERROR(IF(DATA[[#This Row],[Other staff 3: Numbers employed (Full Time Equivalent)]]=0,"",DATA[[#This Row],[Other staff 3: Previous 2020/21 Maximum hourly pay rate ADJUSTED 2]]*DATA[[#This Row],[Other staff 3: Numbers employed (Full Time Equivalent)]]),"")</f>
        <v/>
      </c>
      <c r="RB75"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75"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75"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0.33</v>
      </c>
      <c r="RE75"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0.5</v>
      </c>
      <c r="RF75"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5"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6</v>
      </c>
      <c r="RH75"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75"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5"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5"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75"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5"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5"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5"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5"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6" spans="7:484" x14ac:dyDescent="0.25">
      <c r="G76" s="2">
        <v>70</v>
      </c>
      <c r="H76" s="2">
        <v>0</v>
      </c>
      <c r="I76" s="2" t="s">
        <v>599</v>
      </c>
      <c r="AB76" s="2" t="s">
        <v>560</v>
      </c>
      <c r="AC76" s="2">
        <v>16.12</v>
      </c>
      <c r="AD76" s="2">
        <v>17.88</v>
      </c>
      <c r="AE76" s="2">
        <v>0</v>
      </c>
      <c r="AF76" s="2">
        <v>0</v>
      </c>
      <c r="AG76" s="2">
        <v>0.34</v>
      </c>
      <c r="AH76" s="2" t="s">
        <v>590</v>
      </c>
      <c r="AI76" s="2">
        <v>10.73</v>
      </c>
      <c r="AJ76" s="2">
        <v>11.92</v>
      </c>
      <c r="AK76" s="2">
        <v>0</v>
      </c>
      <c r="AL76" s="2">
        <v>0</v>
      </c>
      <c r="AM76" s="2">
        <v>0.5</v>
      </c>
      <c r="AN76" s="2"/>
      <c r="AO76" s="2"/>
      <c r="AP76" s="2"/>
      <c r="AQ76" s="2"/>
      <c r="AR76" s="2"/>
      <c r="AS76" s="2"/>
      <c r="AT76" s="2" t="s">
        <v>337</v>
      </c>
      <c r="AU76" s="2">
        <v>9.3000000000000007</v>
      </c>
      <c r="AV76" s="2">
        <v>9.64</v>
      </c>
      <c r="AW76" s="2">
        <v>0</v>
      </c>
      <c r="AX76" s="2">
        <v>0</v>
      </c>
      <c r="AY76" s="2">
        <v>5.73</v>
      </c>
      <c r="AZ76" s="2" t="s">
        <v>600</v>
      </c>
      <c r="BA76" s="2"/>
      <c r="BB76" s="2"/>
      <c r="BC76" s="2"/>
      <c r="BD76" s="2"/>
      <c r="BE76" s="2">
        <v>0.48</v>
      </c>
      <c r="BF76" s="2"/>
      <c r="BG76" s="2"/>
      <c r="BH76" s="2"/>
      <c r="BI76" s="2"/>
      <c r="BJ76" s="2"/>
      <c r="BK76" s="2"/>
      <c r="BL76" s="2"/>
      <c r="BM76" s="2"/>
      <c r="BN76" s="2"/>
      <c r="BO76" s="2"/>
      <c r="BP76" s="2"/>
      <c r="BQ76" s="2"/>
      <c r="BR76" s="2" t="s">
        <v>601</v>
      </c>
      <c r="BS76" s="2">
        <v>0</v>
      </c>
      <c r="BT76" s="2">
        <v>0</v>
      </c>
      <c r="BU76" s="2">
        <v>0</v>
      </c>
      <c r="BV76" s="2">
        <v>0</v>
      </c>
      <c r="BW76" s="2">
        <v>0.8</v>
      </c>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v>0</v>
      </c>
      <c r="DD76" s="2">
        <v>0</v>
      </c>
      <c r="DE76" s="2">
        <v>0</v>
      </c>
      <c r="DF76" s="2">
        <v>0</v>
      </c>
      <c r="DG76" s="2">
        <v>0</v>
      </c>
      <c r="DH76" s="2">
        <v>0</v>
      </c>
      <c r="DI76" s="2">
        <v>0</v>
      </c>
      <c r="DJ76" s="2">
        <v>0</v>
      </c>
      <c r="DK76" s="2">
        <v>0</v>
      </c>
      <c r="DL76" s="2">
        <v>0</v>
      </c>
      <c r="DM76" s="2">
        <v>0</v>
      </c>
      <c r="DN76" s="2">
        <v>0</v>
      </c>
      <c r="DO76" s="2">
        <v>0</v>
      </c>
      <c r="DP76" s="2">
        <v>0</v>
      </c>
      <c r="DQ76" s="2">
        <v>0</v>
      </c>
      <c r="DR76" s="18">
        <v>43922</v>
      </c>
      <c r="DS76" s="18">
        <v>44286</v>
      </c>
      <c r="DT76" s="2">
        <v>0</v>
      </c>
      <c r="DU76" s="2">
        <v>9684.8799999999992</v>
      </c>
      <c r="DV76" s="2">
        <v>180892.12</v>
      </c>
      <c r="DW76" s="2">
        <v>0</v>
      </c>
      <c r="DX76" s="2">
        <v>0</v>
      </c>
      <c r="DY76" s="2">
        <v>0</v>
      </c>
      <c r="DZ76" s="2">
        <v>45</v>
      </c>
      <c r="EA76" s="2">
        <v>0</v>
      </c>
      <c r="EB76" s="2">
        <v>0</v>
      </c>
      <c r="EC76" s="2">
        <v>0</v>
      </c>
      <c r="ED76" s="2">
        <v>0</v>
      </c>
      <c r="EE76" s="2">
        <v>0</v>
      </c>
      <c r="EF76" s="2">
        <v>0</v>
      </c>
      <c r="EG76" s="2">
        <v>258</v>
      </c>
      <c r="EH76" s="2" t="s">
        <v>324</v>
      </c>
      <c r="EI76" s="2">
        <v>0</v>
      </c>
      <c r="EJ76" s="2" t="s">
        <v>324</v>
      </c>
      <c r="EK76" s="2">
        <v>0</v>
      </c>
      <c r="EL76" s="2">
        <v>1029</v>
      </c>
      <c r="EM76" s="2">
        <v>5168</v>
      </c>
      <c r="EN76" s="2">
        <v>181</v>
      </c>
      <c r="EO76" s="2">
        <v>0</v>
      </c>
      <c r="EP76" s="2">
        <v>0</v>
      </c>
      <c r="EQ76" s="2">
        <v>0</v>
      </c>
      <c r="ER76" s="2">
        <v>0</v>
      </c>
      <c r="ES76" s="2">
        <v>12988</v>
      </c>
      <c r="ET76" s="2" t="s">
        <v>602</v>
      </c>
      <c r="EU76" s="2">
        <v>5247</v>
      </c>
      <c r="EV76" s="2" t="s">
        <v>587</v>
      </c>
      <c r="EW76" s="2">
        <v>2672</v>
      </c>
      <c r="EX76" s="2">
        <v>3193.1350000000002</v>
      </c>
      <c r="EY76" s="2">
        <v>28738.215</v>
      </c>
      <c r="EZ76" s="2" t="s">
        <v>326</v>
      </c>
      <c r="FA76" s="2">
        <v>0</v>
      </c>
      <c r="FB76" s="2" t="s">
        <v>326</v>
      </c>
      <c r="FC76" s="2">
        <v>0</v>
      </c>
      <c r="FD76" s="2"/>
      <c r="FE76" s="2">
        <v>0</v>
      </c>
      <c r="FF76" s="2">
        <v>0</v>
      </c>
      <c r="FG76" s="2"/>
      <c r="FH76" s="19">
        <v>44480.627638888887</v>
      </c>
      <c r="FI76" s="2" t="s">
        <v>345</v>
      </c>
      <c r="FJ76" s="2">
        <f>SUM(DATA[[#This Row],[Number of Home support clients:]],DATA[[#This Row],[Number of supported living clients:]])</f>
        <v>0</v>
      </c>
      <c r="FK76" s="2">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0</v>
      </c>
      <c r="FL76" s="2" t="str">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
      </c>
      <c r="FM76" s="2" t="str">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
      </c>
      <c r="FN76"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76"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76"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76"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76"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76"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76"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16.12</v>
      </c>
      <c r="FU76"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17.88</v>
      </c>
      <c r="FV76"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76"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76"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10.73</v>
      </c>
      <c r="FY76"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11.92</v>
      </c>
      <c r="FZ76"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6"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6"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6"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6"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6"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6"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9.3000000000000007</v>
      </c>
      <c r="GG76"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9.64</v>
      </c>
      <c r="GH76"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76"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76"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76"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76"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76"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76"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76"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76"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6"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6"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76"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76"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6"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6"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76"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76"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76"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76"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6"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6"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6"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6"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6"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6"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6"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6"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6"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6"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6"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6"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6"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6"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6"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6"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6"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6"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6"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6" s="2" t="str">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
      </c>
      <c r="HU76" s="2" t="str">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
      </c>
      <c r="HV76" s="2" t="str">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
      </c>
      <c r="HW76" s="2" t="str">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
      </c>
      <c r="HX76"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76"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76"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76"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76"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16.12</v>
      </c>
      <c r="IC76"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17.88</v>
      </c>
      <c r="ID76"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16.12</v>
      </c>
      <c r="IE76"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17.88</v>
      </c>
      <c r="IF76"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10.73</v>
      </c>
      <c r="IG76"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11.92</v>
      </c>
      <c r="IH76"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10.73</v>
      </c>
      <c r="II76"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11.92</v>
      </c>
      <c r="IJ76"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6"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6"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6"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6"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9.3000000000000007</v>
      </c>
      <c r="IO76"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9.64</v>
      </c>
      <c r="IP76"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9.3000000000000007</v>
      </c>
      <c r="IQ76"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9.64</v>
      </c>
      <c r="IR76"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76"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76"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76"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76"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76"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76"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76"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76"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76"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76"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76"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76"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76"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76"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76"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76"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6"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6"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6"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6"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6"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6"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6"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6"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6"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6"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6"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6"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6"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6"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6"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6"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6"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6"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6"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6"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0.84000000000000008</v>
      </c>
      <c r="KC76" s="21">
        <f>SUM(DATA[[#This Row],[Care Assistant 1: Numbers employed (Full Time Equivalent)]],DATA[[#This Row],[Care Assistant 2: Numbers employed (Full Time Equivalent)]],DATA[[#This Row],[Care Assistant 3: Numbers employed (Full Time Equivalent)]],DATA[[#This Row],[Care Assistant 4: Numbers employed (Full Time Equivalent)]])</f>
        <v>6.2100000000000009</v>
      </c>
      <c r="KD76" s="21">
        <f>SUM(DATA[[#This Row],[Administrative Officer 1: Numbers employed (Full Time Equivalent)]],DATA[[#This Row],[Administrative Officer 2: Numbers employed (Full Time Equivalent)]])</f>
        <v>0.8</v>
      </c>
      <c r="KE76" s="21">
        <f>SUM(DATA[[#This Row],[Other staff 1: Numbers employed (Full Time Equivalent)]],DATA[[#This Row],[Other staff 2: Numbers employed (Full Time Equivalent)]],DATA[[#This Row],[Other staff 3: Numbers employed (Full Time Equivalent)]])</f>
        <v>0</v>
      </c>
      <c r="KF76" s="21">
        <f>SUM(DATA[[#This Row],[Total FTE Management Employees]:[Total FTE Other Employees]])</f>
        <v>7.8500000000000005</v>
      </c>
      <c r="KG76" s="21" t="str">
        <f>IF(SUM(DATA[[#This Row],[Home Support service split percentage (Expenditure):]],DATA[[#This Row],[Supported Living service split percentage (Expenditure):]])&gt;0, IF(DATA[[#This Row],[Home Support service split percentage (Expenditure):]]&gt;0.5,"Home Support","Supported Living"), "Unknown")</f>
        <v>Unknown</v>
      </c>
      <c r="KH76" s="21">
        <f>SUM(DATA[[#This Row],[Home Support: Birmingham City Council]:[Home Support: Self-funded]])</f>
        <v>0</v>
      </c>
      <c r="KI76" s="21">
        <f>SUM(DATA[[#This Row],[Supported Living: Birmingham City Council]:[Supported Living: Self-funded]])</f>
        <v>0</v>
      </c>
      <c r="KJ76"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6"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6"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6"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6" s="21" t="b">
        <f>SUM(DATA[[#This Row],[Number of hours of care charged for in last full accounting year]:[Corporate Overheads: Other  - please specify (category) 1]])&gt;0</f>
        <v>1</v>
      </c>
      <c r="KO76" s="21">
        <f>SUM(DATA[[#This Row],[Total annual expenditure: Management staff]:[Total annual expenditure: Training and development]])</f>
        <v>190622</v>
      </c>
      <c r="KP76" s="21">
        <f>SUM(DATA[[#This Row],[Recruitment &amp; advertising (including DBS checks)]:[Non-Staffing Direct Cost: Other  - please specify (amount) 2]])</f>
        <v>258</v>
      </c>
      <c r="KQ76" s="21">
        <f>SUM(DATA[[#This Row],[Insurance ]:[Indirect costs: Other 2 - please specify (amount)]])</f>
        <v>27285</v>
      </c>
      <c r="KR76" s="21">
        <f>SUM(DATA[[#This Row],[Central / Regional Management]],DATA[[#This Row],[Support Services (finance / HR / Payroll / legal etc.)]],DATA[[#This Row],[Corporate Overheads: Other  - please specify (amount) 1]],DATA[[#This Row],[Corporate Overheads: Other  - please specify (amount) 2]])</f>
        <v>31931.35</v>
      </c>
      <c r="KS76"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76"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76"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76"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76"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76"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76"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6"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76"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76"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76" s="30">
        <f>IF(OR(NOT(DATA[[#This Row],[Care consumables &amp; uniforms]]&gt;0),NOT(DATA[[#This Row],[Number of hours of care charged for in last full accounting year]]&gt;0)),0,DATA[[#This Row],[Care consumables &amp; uniforms]]/DATA[[#This Row],[Number of hours of care charged for in last full accounting year]])</f>
        <v>0</v>
      </c>
      <c r="LD76" s="30">
        <f>IF(OR(NOT(DATA[[#This Row],[Electronic call monitoring]]&gt;0),NOT(DATA[[#This Row],[Number of hours of care charged for in last full accounting year]]&gt;0)),0,DATA[[#This Row],[Electronic call monitoring]]/DATA[[#This Row],[Number of hours of care charged for in last full accounting year]])</f>
        <v>0</v>
      </c>
      <c r="LE76" s="30">
        <f>IF(OR(NOT(DATA[[#This Row],[IT Equipment &amp; Telephoney]]&gt;0),NOT(DATA[[#This Row],[Number of hours of care charged for in last full accounting year]]&gt;0)),0,DATA[[#This Row],[IT Equipment &amp; Telephoney]]/DATA[[#This Row],[Number of hours of care charged for in last full accounting year]])</f>
        <v>0</v>
      </c>
      <c r="LF76"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76"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6" s="30">
        <f>IF(OR(NOT(DATA[[#This Row],[Insurance ]]&gt;0),NOT(DATA[[#This Row],[Number of hours of care charged for in last full accounting year]]&gt;0)),0,DATA[[#This Row],[Insurance ]]/DATA[[#This Row],[Number of hours of care charged for in last full accounting year]])</f>
        <v>0</v>
      </c>
      <c r="LI76"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76" s="30">
        <f>IF(OR(NOT(DATA[[#This Row],[Repairs and maintenance]]&gt;0),NOT(DATA[[#This Row],[Number of hours of care charged for in last full accounting year]]&gt;0)),0,DATA[[#This Row],[Repairs and maintenance]]/DATA[[#This Row],[Number of hours of care charged for in last full accounting year]])</f>
        <v>0</v>
      </c>
      <c r="LK76"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76" s="30">
        <f>IF(OR(NOT(DATA[[#This Row],[Registration &amp; Inspection fees ]]&gt;0),NOT(DATA[[#This Row],[Number of hours of care charged for in last full accounting year]]&gt;0)),0,DATA[[#This Row],[Registration &amp; Inspection fees ]]/DATA[[#This Row],[Number of hours of care charged for in last full accounting year]])</f>
        <v>0</v>
      </c>
      <c r="LM76" s="30">
        <f>IF(OR(NOT(DATA[[#This Row],[Subscriptions]]&gt;0),NOT(DATA[[#This Row],[Number of hours of care charged for in last full accounting year]]&gt;0)),0,DATA[[#This Row],[Subscriptions]]/DATA[[#This Row],[Number of hours of care charged for in last full accounting year]])</f>
        <v>0</v>
      </c>
      <c r="LN76" s="30">
        <f>IF(OR(NOT(DATA[[#This Row],[Cost of finance]]&gt;0),NOT(DATA[[#This Row],[Number of hours of care charged for in last full accounting year]]&gt;0)),0,DATA[[#This Row],[Cost of finance]]/DATA[[#This Row],[Number of hours of care charged for in last full accounting year]])</f>
        <v>0</v>
      </c>
      <c r="LO76" s="30">
        <f>IF(OR(NOT(DATA[[#This Row],[Other non-staff current expenses]]&gt;0),NOT(DATA[[#This Row],[Number of hours of care charged for in last full accounting year]]&gt;0)),0,DATA[[#This Row],[Other non-staff current expenses]]/DATA[[#This Row],[Number of hours of care charged for in last full accounting year]])</f>
        <v>0</v>
      </c>
      <c r="LP76"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76"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6" s="30">
        <f>IF(OR(NOT(DATA[[#This Row],[Central / Regional Management]]&gt;0),NOT(DATA[[#This Row],[Number of hours of care charged for in last full accounting year]]&gt;0)),0,DATA[[#This Row],[Central / Regional Management]]/DATA[[#This Row],[Number of hours of care charged for in last full accounting year]])</f>
        <v>0</v>
      </c>
      <c r="LS76"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76"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6"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6" s="30">
        <f>SUM(DATA[[#This Row],[Management staff HOURLY RATE]:[Corporate Overheads: Other  - please specify (amount) 2 HOURLY RATE]])</f>
        <v>0</v>
      </c>
      <c r="LW76" s="30" t="str">
        <f>IF(OR(NOT(DATA[[#This Row],[Net Operating Profit]]&gt;0),NOT(DATA[[#This Row],[Number of hours of care charged for in last full accounting year]]&gt;0)),"",DATA[[#This Row],[Net Operating Profit]]/DATA[[#This Row],[Number of hours of care charged for in last full accounting year]])</f>
        <v/>
      </c>
      <c r="LX76" s="30">
        <f>IF(OR(NOT(DATA[[#This Row],[Return on Capital employed]]&gt;0),NOT(DATA[[#This Row],[Number of hours of care charged for in last full accounting year]]&gt;0)),0,DATA[[#This Row],[Return on Capital employed]]/DATA[[#This Row],[Number of hours of care charged for in last full accounting year]])</f>
        <v>0</v>
      </c>
      <c r="LY76" s="31">
        <v>71</v>
      </c>
      <c r="LZ76" s="30" t="s">
        <v>345</v>
      </c>
      <c r="MA76" s="30" t="b">
        <f>DATA[[#This Row],[Number of Home support clients:]]&gt;0</f>
        <v>0</v>
      </c>
      <c r="MB76" s="30" t="b">
        <f>DATA[[#This Row],[Number of supported living clients:]]&gt;0</f>
        <v>1</v>
      </c>
      <c r="MC76" s="30" t="b">
        <f>DATA[[#This Row],[Total Home Support Hours]]&gt;0</f>
        <v>0</v>
      </c>
      <c r="MD76" s="30" t="b">
        <f>DATA[[#This Row],[Total Supported Living Hours]]&gt;0</f>
        <v>0</v>
      </c>
      <c r="ME76" s="30" t="b">
        <f>DATA[[#This Row],[Home Support service split percentage (Expenditure):]]&gt;0.5</f>
        <v>0</v>
      </c>
      <c r="MF76" s="30" t="b">
        <f>DATA[[#This Row],[Agency staff HOURLY RATE]]=0</f>
        <v>1</v>
      </c>
      <c r="MG76" s="30" t="str">
        <f>IFERROR(IF(AVERAGE(DATA[[#This Row],[Registered manager: Current 2021/22 Minimum hourly pay rate ADJUSTED]],DATA[[#This Row],[Registered manager: Current 2021/22 Maximum hourly pay rate ADJUSTED]])&lt;LIVING_WAGE_22_23,DATA[[#This Row],[Registered manager: Numbers employed (Full Time Equivalent)]],0),"")</f>
        <v/>
      </c>
      <c r="MH76" s="30" t="str">
        <f>IFERROR(IF(AVERAGE(DATA[[#This Row],[Deputy manager: Current 2021/22 Minimum hourly pay rate ADJUSTED]],DATA[[#This Row],[Deputy manager: Current 2021/22 Maximum hourly pay rate ADJUSTED]])&lt;LIVING_WAGE_22_23,DATA[[#This Row],[Deputy manager: Numbers employed (Full Time Equivalent)]],0),"")</f>
        <v/>
      </c>
      <c r="MI76" s="30">
        <f>IFERROR(IF(AVERAGE(DATA[[#This Row],[Other manager 1: Current 2021/22 Minimum hourly pay rate ADJUSTED]],DATA[[#This Row],[Other manager 1: Current 2021/22 Maximum hourly pay rate ADJUSTED]])&lt;LIVING_WAGE_22_23,DATA[[#This Row],[Other manager 1: Numbers employed (Full Time Equivalent)]],0),"")</f>
        <v>0</v>
      </c>
      <c r="MJ76" s="30">
        <f>IFERROR(IF(AVERAGE(DATA[[#This Row],[Other manager 2: Current 2021/22 Minimum hourly pay rate ADJUSTED]],DATA[[#This Row],[Other manager 2: Current 2021/22 Maximum hourly pay rate ADJUSTED]])&lt;LIVING_WAGE_22_23,DATA[[#This Row],[Other manager 2: Numbers employed (Full Time Equivalent)]],0),"")</f>
        <v>0</v>
      </c>
      <c r="MK76" s="30" t="str">
        <f>IFERROR(IF(AVERAGE(DATA[[#This Row],[Other manager 3: Current 2021/22 Minimum hourly pay rate ADJUSTED]],DATA[[#This Row],[Other manager 3: Current 2021/22 Maximum hourly pay rate ADJUSTED]])&lt;LIVING_WAGE_22_23,DATA[[#This Row],[Other manager 3: Numbers employed (Full Time Equivalent)]],0),"")</f>
        <v/>
      </c>
      <c r="ML76" s="30">
        <f>IFERROR(IF(AVERAGE(DATA[[#This Row],[Care Assistant 1: Current 2021/22 Minimum hourly pay rate ADJUSTED]],DATA[[#This Row],[Care Assistant 1: Current 2021/22 Maximum hourly pay rate ADJUSTED]])&lt;LIVING_WAGE_22_23,DATA[[#This Row],[Care Assistant 1: Numbers employed (Full Time Equivalent)]],0),"")</f>
        <v>5.73</v>
      </c>
      <c r="MM76" s="30" t="str">
        <f>IFERROR(IF(AVERAGE(DATA[[#This Row],[Care Assistant 2: Current 2021/22 Minimum hourly pay rate ADJUSTED]],DATA[[#This Row],[Care Assistant 2: Current 2021/22 Maximum hourly pay rate ADJUSTED]])&lt;LIVING_WAGE_22_23,DATA[[#This Row],[Care Assistant 2: Numbers employed (Full Time Equivalent)]],0),"")</f>
        <v/>
      </c>
      <c r="MN76" s="30" t="str">
        <f>IFERROR(IF(AVERAGE(DATA[[#This Row],[Care Assistant 3: Current 2021/22 Minimum hourly pay rate ADJUSTED]],DATA[[#This Row],[Care Assistant 3: Current 2021/22 Maximum hourly pay rate ADJUSTED]])&lt;LIVING_WAGE_22_23,DATA[[#This Row],[Care Assistant 3: Numbers employed (Full Time Equivalent)]],0),"")</f>
        <v/>
      </c>
      <c r="MO76" s="30" t="str">
        <f>IFERROR(IF(AVERAGE(DATA[[#This Row],[Care Assistant 4: Current 2021/22 Minimum hourly pay rate ADJUSTED]],DATA[[#This Row],[Care Assistant 4: Current 2021/22 Maximum hourly pay rate ADJUSTED]])&lt;LIVING_WAGE_22_23,DATA[[#This Row],[Care Assistant 4: Numbers employed (Full Time Equivalent)]],0),"")</f>
        <v/>
      </c>
      <c r="MP76"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76"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6" s="30" t="str">
        <f>IFERROR(IF(AVERAGE(DATA[[#This Row],[Other staff 1: Current 2021/22 Minimum hourly pay rate ADJUSTED]],DATA[[#This Row],[Other staff 1: Current 2021/22 Maximum hourly pay rate ADJUSTED]])&lt;LIVING_WAGE_22_23,DATA[[#This Row],[Other staff 1: Numbers employed (Full Time Equivalent)]],0),"")</f>
        <v/>
      </c>
      <c r="MS76" s="30" t="str">
        <f>IFERROR(IF(AVERAGE(DATA[[#This Row],[Other staff 2: Current 2021/22 Minimum hourly pay rate ADJUSTED]],DATA[[#This Row],[Other staff 2: Current 2021/22 Maximum hourly pay rate ADJUSTED]])&lt;LIVING_WAGE_22_23,DATA[[#This Row],[Other staff 2: Numbers employed (Full Time Equivalent)]],0),"")</f>
        <v/>
      </c>
      <c r="MT76" s="30" t="str">
        <f>IFERROR(IF(AVERAGE(DATA[[#This Row],[Other staff 3: Current 2021/22 Minimum hourly pay rate ADJUSTED]],DATA[[#This Row],[Other staff 3: Current 2021/22 Maximum hourly pay rate ADJUSTED]])&lt;LIVING_WAGE_22_23,DATA[[#This Row],[Other staff 3: Numbers employed (Full Time Equivalent)]],0),"")</f>
        <v/>
      </c>
      <c r="MU76" s="30">
        <f>SUM(DATA[[#This Row],[Registered Manager FTE earning less than NLW 23yrs 2022/23]:[Other staff 3 FTE earning less than NLW 23yrs 2022/23]])</f>
        <v>5.73</v>
      </c>
      <c r="MV76" s="30" t="str">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
      </c>
      <c r="MW76"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76"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76"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76"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6"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0.17189999999999636</v>
      </c>
      <c r="NB76"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76"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76"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76"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76"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6"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6"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6"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6" s="30" t="b">
        <v>1</v>
      </c>
      <c r="NK76" s="30" t="b">
        <v>1</v>
      </c>
      <c r="NL76" s="30" t="s">
        <v>505</v>
      </c>
      <c r="NM76" s="30">
        <f>SUM(DATA[[#This Row],[Management staff HOURLY RATE]:[Training and development HOURLY RATE]])</f>
        <v>0</v>
      </c>
      <c r="NN76" s="30">
        <f>SUM(DATA[[#This Row],[Recruitment &amp; advertising (including DBS checks) HOURLY RATE]:[Non-Staffing Direct Cost: Other  - please specify (amount) 2 HOURLY RATE]])</f>
        <v>0</v>
      </c>
      <c r="NO76" s="30">
        <f>SUM(DATA[[#This Row],[Insurance  HOURLY RATE]:[Indirect costs: Other  - please specify (amount) 2 HOURLY RATE]])</f>
        <v>0</v>
      </c>
      <c r="NP76" s="30">
        <f>SUM(DATA[[#This Row],[Central / Regional Management HOURLY RATE]:[Corporate Overheads: Other  - please specify (amount) 2 HOURLY RATE]])</f>
        <v>0</v>
      </c>
      <c r="NQ76" s="30" t="str">
        <f>IFERROR(IF(AVERAGE(DATA[[#This Row],[Registered manager: Current 2021/22 Minimum hourly pay rate ADJUSTED]],DATA[[#This Row],[Registered manager: Current 2021/22 Maximum hourly pay rate ADJUSTED]])&lt;REAL_LIVING_WAGE_22_23,DATA[[#This Row],[Registered manager: Numbers employed (Full Time Equivalent)]],0),"")</f>
        <v/>
      </c>
      <c r="NR76" s="30" t="str">
        <f>IFERROR(IF(AVERAGE(DATA[[#This Row],[Deputy manager: Current 2021/22 Minimum hourly pay rate ADJUSTED]],DATA[[#This Row],[Deputy manager: Current 2021/22 Maximum hourly pay rate ADJUSTED]])&lt;REAL_LIVING_WAGE_22_23,DATA[[#This Row],[Deputy manager: Numbers employed (Full Time Equivalent)]],0),"")</f>
        <v/>
      </c>
      <c r="NS76" s="30">
        <f>IFERROR(IF(AVERAGE(DATA[[#This Row],[Other manager 1: Current 2021/22 Minimum hourly pay rate ADJUSTED]],DATA[[#This Row],[Other manager 1: Current 2021/22 Maximum hourly pay rate ADJUSTED]])&lt;REAL_LIVING_WAGE_22_23,DATA[[#This Row],[Other manager 1: Numbers employed (Full Time Equivalent)]],0),"")</f>
        <v>0</v>
      </c>
      <c r="NT76" s="30">
        <f>IFERROR(IF(AVERAGE(DATA[[#This Row],[Other manager 2: Current 2021/22 Minimum hourly pay rate ADJUSTED]],DATA[[#This Row],[Other manager 2: Current 2021/22 Maximum hourly pay rate ADJUSTED]])&lt;REAL_LIVING_WAGE_22_23,DATA[[#This Row],[Other manager 2: Numbers employed (Full Time Equivalent)]],0),"")</f>
        <v>0</v>
      </c>
      <c r="NU76" s="30" t="str">
        <f>IFERROR(IF(AVERAGE(DATA[[#This Row],[Other manager 3: Current 2021/22 Minimum hourly pay rate ADJUSTED]],DATA[[#This Row],[Other manager 3: Current 2021/22 Maximum hourly pay rate ADJUSTED]])&lt;REAL_LIVING_WAGE_22_23,DATA[[#This Row],[Other manager 3: Numbers employed (Full Time Equivalent)]],0),"")</f>
        <v/>
      </c>
      <c r="NV76" s="30">
        <f>IFERROR(IF(AVERAGE(DATA[[#This Row],[Care Assistant 1: Current 2021/22 Minimum hourly pay rate ADJUSTED]],DATA[[#This Row],[Care Assistant 1: Current 2021/22 Maximum hourly pay rate ADJUSTED]])&lt;REAL_LIVING_WAGE_22_23,DATA[[#This Row],[Care Assistant 1: Numbers employed (Full Time Equivalent)]],0),"")</f>
        <v>5.73</v>
      </c>
      <c r="NW76"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76"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76"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76"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76"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6" s="30" t="str">
        <f>IFERROR(IF(AVERAGE(DATA[[#This Row],[Other staff 1: Current 2021/22 Minimum hourly pay rate ADJUSTED]],DATA[[#This Row],[Other staff 1: Current 2021/22 Maximum hourly pay rate ADJUSTED]])&lt;REAL_LIVING_WAGE_22_23,DATA[[#This Row],[Other staff 1: Numbers employed (Full Time Equivalent)]],0),"")</f>
        <v/>
      </c>
      <c r="OC76" s="30" t="str">
        <f>IFERROR(IF(AVERAGE(DATA[[#This Row],[Other staff 2: Current 2021/22 Minimum hourly pay rate ADJUSTED]],DATA[[#This Row],[Other staff 2: Current 2021/22 Maximum hourly pay rate ADJUSTED]])&lt;REAL_LIVING_WAGE_22_23,DATA[[#This Row],[Other staff 2: Numbers employed (Full Time Equivalent)]],0),"")</f>
        <v/>
      </c>
      <c r="OD76" s="30" t="str">
        <f>IFERROR(IF(AVERAGE(DATA[[#This Row],[Other staff 3: Current 2021/22 Minimum hourly pay rate ADJUSTED]],DATA[[#This Row],[Other staff 3: Current 2021/22 Maximum hourly pay rate ADJUSTED]])&lt;REAL_LIVING_WAGE_22_23,DATA[[#This Row],[Other staff 3: Numbers employed (Full Time Equivalent)]],0),"")</f>
        <v/>
      </c>
      <c r="OE76" s="30">
        <f>SUM(DATA[[#This Row],[Registered Manager FTE earning less than RLW 23yrs 2022/23]:[Other staff 3 FTE earning less than RLW 23yrs 2022/23]])</f>
        <v>5.73</v>
      </c>
      <c r="OF76" s="30" t="str">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
      </c>
      <c r="OG76"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76"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76"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76"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6"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2.4638999999999984</v>
      </c>
      <c r="OL76"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76"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76"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76"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76"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6"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6"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6"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6" s="30" t="str">
        <f>IFERROR(IF(DATA[[#This Row],[Registered manager: Numbers employed (Full Time Equivalent)]]=0,"",DATA[[#This Row],[Registered manager: Current 2021/22 Minimum hourly pay rate ADJUSTED 2]]*DATA[[#This Row],[Registered manager: Numbers employed (Full Time Equivalent)]]),"")</f>
        <v/>
      </c>
      <c r="OU76" s="30" t="str">
        <f>IFERROR(IF(DATA[[#This Row],[Registered manager: Numbers employed (Full Time Equivalent)]]=0,"",DATA[[#This Row],[Registered manager: Current 2021/22 Maximum hourly pay rate ADJUSTED 2]]*DATA[[#This Row],[Registered manager: Numbers employed (Full Time Equivalent)]]),"")</f>
        <v/>
      </c>
      <c r="OV76" s="30" t="str">
        <f>IFERROR(IF(DATA[[#This Row],[Registered manager: Numbers employed (Full Time Equivalent)]]=0,"",DATA[[#This Row],[Registered manager: Previous 2020/21 Minimum hourly pay rate ADJUSTED 2]]*DATA[[#This Row],[Registered manager: Numbers employed (Full Time Equivalent)]]),"")</f>
        <v/>
      </c>
      <c r="OW76" s="30" t="str">
        <f>IFERROR(IF(DATA[[#This Row],[Registered manager: Numbers employed (Full Time Equivalent)]]=0,"",DATA[[#This Row],[Registered manager: Previous 2020/21 Maximum hourly pay rate ADJUSTED 2]]*DATA[[#This Row],[Registered manager: Numbers employed (Full Time Equivalent)]]),"")</f>
        <v/>
      </c>
      <c r="OX76" s="30" t="str">
        <f>IFERROR(IF(DATA[[#This Row],[Deputy manager: Numbers employed (Full Time Equivalent)]]=0,"",DATA[[#This Row],[Deputy manager: Current 2021/22 Minimum hourly pay rate ADJUSTED 2]]*DATA[[#This Row],[Deputy manager: Numbers employed (Full Time Equivalent)]]),"")</f>
        <v/>
      </c>
      <c r="OY76" s="30" t="str">
        <f>IFERROR(IF(DATA[[#This Row],[Deputy manager: Numbers employed (Full Time Equivalent)]]=0,"",DATA[[#This Row],[Deputy manager: Current 2021/22 Maximum hourly pay rate ADJUSTED 2]]*DATA[[#This Row],[Deputy manager: Numbers employed (Full Time Equivalent)]]),"")</f>
        <v/>
      </c>
      <c r="OZ76" s="30" t="str">
        <f>IFERROR(IF(DATA[[#This Row],[Deputy manager: Numbers employed (Full Time Equivalent)]]=0,"",DATA[[#This Row],[Deputy manager: Previous 2020/21 Minimum hourly pay rate ADJUSTED 2]]*DATA[[#This Row],[Deputy manager: Numbers employed (Full Time Equivalent)]]),"")</f>
        <v/>
      </c>
      <c r="PA76" s="30" t="str">
        <f>IFERROR(IF(DATA[[#This Row],[Deputy manager: Numbers employed (Full Time Equivalent)]]=0,"",DATA[[#This Row],[Deputy manager: Previous 2020/21 Maximum hourly pay rate ADJUSTED 2]]*DATA[[#This Row],[Deputy manager: Numbers employed (Full Time Equivalent)]]),"")</f>
        <v/>
      </c>
      <c r="PB76" s="30">
        <f>IFERROR(IF(DATA[[#This Row],[Other manager 1: Numbers employed (Full Time Equivalent)]]=0,"",DATA[[#This Row],[Other manager 1: Current 2021/22 Minimum hourly pay rate ADJUSTED 2]]*DATA[[#This Row],[Other manager 1: Numbers employed (Full Time Equivalent)]]),"")</f>
        <v>5.4808000000000003</v>
      </c>
      <c r="PC76" s="30">
        <f>IFERROR(IF(DATA[[#This Row],[Other manager 1: Numbers employed (Full Time Equivalent)]]=0,"",DATA[[#This Row],[Other manager 1: Current 2021/22 Maximum hourly pay rate ADJUSTED 2]]*DATA[[#This Row],[Other manager 1: Numbers employed (Full Time Equivalent)]]),"")</f>
        <v>6.0792000000000002</v>
      </c>
      <c r="PD76" s="30">
        <f>IFERROR(IF(DATA[[#This Row],[Other manager 1: Numbers employed (Full Time Equivalent)]]=0,"",DATA[[#This Row],[Other manager 1: Previous 2020/21 Minimum hourly pay rate ADJUSTED 2]]*DATA[[#This Row],[Other manager 1: Numbers employed (Full Time Equivalent)]]),"")</f>
        <v>5.4808000000000003</v>
      </c>
      <c r="PE76" s="30">
        <f>IFERROR(IF(DATA[[#This Row],[Other manager 1: Numbers employed (Full Time Equivalent)]]=0,"",DATA[[#This Row],[Other manager 1: Previous 2020/21 Maximum hourly pay rate ADJUSTED 2]]*DATA[[#This Row],[Other manager 1: Numbers employed (Full Time Equivalent)]]),"")</f>
        <v>6.0792000000000002</v>
      </c>
      <c r="PF76" s="30">
        <f>IFERROR(IF(DATA[[#This Row],[Other manager 2: Numbers employed (Full Time Equivalent)]]=0,"",DATA[[#This Row],[Other manager 2: Current 2021/22 Minimum hourly pay rate ADJUSTED 2]]*DATA[[#This Row],[Other manager 2: Numbers employed (Full Time Equivalent)]]),"")</f>
        <v>5.3650000000000002</v>
      </c>
      <c r="PG76" s="30">
        <f>IFERROR(IF(DATA[[#This Row],[Other manager 2: Numbers employed (Full Time Equivalent)]]=0,"",DATA[[#This Row],[Other manager 2: Current 2021/22 Maximum hourly pay rate ADJUSTED 2]]*DATA[[#This Row],[Other manager 2: Numbers employed (Full Time Equivalent)]]),"")</f>
        <v>5.96</v>
      </c>
      <c r="PH76" s="30">
        <f>IFERROR(IF(DATA[[#This Row],[Other manager 2: Numbers employed (Full Time Equivalent)]]=0,"",DATA[[#This Row],[Other manager 2: Previous 2020/21 Minimum hourly pay rate ADJUSTED 2]]*DATA[[#This Row],[Other manager 2: Numbers employed (Full Time Equivalent)]]),"")</f>
        <v>5.3650000000000002</v>
      </c>
      <c r="PI76" s="30">
        <f>IFERROR(IF(DATA[[#This Row],[Other manager 2: Numbers employed (Full Time Equivalent)]]=0,"",DATA[[#This Row],[Other manager 2: Previous 2020/21 Maximum hourly pay rate ADJUSTED 2]]*DATA[[#This Row],[Other manager 2: Numbers employed (Full Time Equivalent)]]),"")</f>
        <v>5.96</v>
      </c>
      <c r="PJ76" s="30" t="str">
        <f>IFERROR(IF(DATA[[#This Row],[Other manager 3: Numbers employed (Full Time Equivalent)]]=0,"",DATA[[#This Row],[Other manager 3: Current 2021/22 Minimum hourly pay rate ADJUSTED 2]]*DATA[[#This Row],[Other manager 3: Numbers employed (Full Time Equivalent)]]),"")</f>
        <v/>
      </c>
      <c r="PK76" s="30" t="str">
        <f>IFERROR(IF(DATA[[#This Row],[Other manager 3: Numbers employed (Full Time Equivalent)]]=0,"",DATA[[#This Row],[Other manager 3: Current 2021/22 Maximum hourly pay rate ADJUSTED 2]]*DATA[[#This Row],[Other manager 3: Numbers employed (Full Time Equivalent)]]),"")</f>
        <v/>
      </c>
      <c r="PL76" s="30" t="str">
        <f>IFERROR(IF(DATA[[#This Row],[Other manager 3: Numbers employed (Full Time Equivalent)]]=0,"",DATA[[#This Row],[Other manager 3: Previous 2020/21 Minimum hourly pay rate ADJUSTED 2]]*DATA[[#This Row],[Other manager 3: Numbers employed (Full Time Equivalent)]]),"")</f>
        <v/>
      </c>
      <c r="PM76" s="30" t="str">
        <f>IFERROR(IF(DATA[[#This Row],[Other manager 3: Numbers employed (Full Time Equivalent)]]=0,"",DATA[[#This Row],[Other manager 3: Previous 2020/21 Maximum hourly pay rate ADJUSTED 2]]*DATA[[#This Row],[Other manager 3: Numbers employed (Full Time Equivalent)]]),"")</f>
        <v/>
      </c>
      <c r="PN76" s="30">
        <f>IFERROR(IF(DATA[[#This Row],[Care Assistant 1: Numbers employed (Full Time Equivalent)]]=0,"",DATA[[#This Row],[Care Assistant 1: Current 2021/22 Minimum hourly pay rate ADJUSTED 2]]*DATA[[#This Row],[Care Assistant 1: Numbers employed (Full Time Equivalent)]]),"")</f>
        <v>53.289000000000009</v>
      </c>
      <c r="PO76" s="30">
        <f>IFERROR(IF(DATA[[#This Row],[Care Assistant 1: Numbers employed (Full Time Equivalent)]]=0,"",DATA[[#This Row],[Care Assistant 1: Current 2021/22 Maximum hourly pay rate ADJUSTED 2]]*DATA[[#This Row],[Care Assistant 1: Numbers employed (Full Time Equivalent)]]),"")</f>
        <v>55.237200000000009</v>
      </c>
      <c r="PP76" s="30">
        <f>IFERROR(IF(DATA[[#This Row],[Care Assistant 1: Numbers employed (Full Time Equivalent)]]=0,"",DATA[[#This Row],[Care Assistant 1: Previous 2020/21 Minimum hourly pay rate ADJUSTED 2]]*DATA[[#This Row],[Care Assistant 1: Numbers employed (Full Time Equivalent)]]),"")</f>
        <v>53.289000000000009</v>
      </c>
      <c r="PQ76" s="30">
        <f>IFERROR(IF(DATA[[#This Row],[Care Assistant 1: Numbers employed (Full Time Equivalent)]]=0,"",DATA[[#This Row],[Care Assistant 1: Previous 2020/21 Maximum hourly pay rate ADJUSTED 2]]*DATA[[#This Row],[Care Assistant 1: Numbers employed (Full Time Equivalent)]]),"")</f>
        <v>55.237200000000009</v>
      </c>
      <c r="PR76" s="30" t="str">
        <f>IFERROR(IF(DATA[[#This Row],[Care Assistant 2: Numbers employed (Full Time Equivalent)]]=0,"",DATA[[#This Row],[Care Assistant 2: Current 2021/22 Minimum hourly pay rate ADJUSTED 2]]*DATA[[#This Row],[Care Assistant 2: Numbers employed (Full Time Equivalent)]]),"")</f>
        <v/>
      </c>
      <c r="PS76" s="30" t="str">
        <f>IFERROR(IF(DATA[[#This Row],[Care Assistant 2: Numbers employed (Full Time Equivalent)]]=0,"",DATA[[#This Row],[Care Assistant 2: Current 2021/22 Maximum hourly pay rate ADJUSTED 2]]*DATA[[#This Row],[Care Assistant 2: Numbers employed (Full Time Equivalent)]]),"")</f>
        <v/>
      </c>
      <c r="PT76" s="30" t="str">
        <f>IFERROR(IF(DATA[[#This Row],[Care Assistant 2: Numbers employed (Full Time Equivalent)]]=0,"",DATA[[#This Row],[Care Assistant 2: Previous 2020/21 Minimum hourly pay rate ADJUSTED 2]]*DATA[[#This Row],[Care Assistant 2: Numbers employed (Full Time Equivalent)]]),"")</f>
        <v/>
      </c>
      <c r="PU76" s="30" t="str">
        <f>IFERROR(IF(DATA[[#This Row],[Care Assistant 2: Numbers employed (Full Time Equivalent)]]=0,"",DATA[[#This Row],[Care Assistant 2: Previous 2020/21 Maximum hourly pay rate ADJUSTED 2]]*DATA[[#This Row],[Care Assistant 2: Numbers employed (Full Time Equivalent)]]),"")</f>
        <v/>
      </c>
      <c r="PV76" s="30" t="str">
        <f>IFERROR(IF(DATA[[#This Row],[Care Assistant 3: Numbers employed (Full Time Equivalent)]]=0,"",DATA[[#This Row],[Care Assistant 3: Current 2021/22 Minimum hourly pay rate ADJUSTED 2]]*DATA[[#This Row],[Care Assistant 3: Numbers employed (Full Time Equivalent)]]),"")</f>
        <v/>
      </c>
      <c r="PW76" s="30" t="str">
        <f>IFERROR(IF(DATA[[#This Row],[Care Assistant 3: Numbers employed (Full Time Equivalent)]]=0,"",DATA[[#This Row],[Care Assistant 3: Current 2021/22 Maximum hourly pay rate ADJUSTED 2]]*DATA[[#This Row],[Care Assistant 3: Numbers employed (Full Time Equivalent)]]),"")</f>
        <v/>
      </c>
      <c r="PX76" s="30" t="str">
        <f>IFERROR(IF(DATA[[#This Row],[Care Assistant 3: Numbers employed (Full Time Equivalent)]]=0,"",DATA[[#This Row],[Care Assistant 3: Previous 2020/21 Minimum hourly pay rate ADJUSTED 2]]*DATA[[#This Row],[Care Assistant 3: Numbers employed (Full Time Equivalent)]]),"")</f>
        <v/>
      </c>
      <c r="PY76" s="30" t="str">
        <f>IFERROR(IF(DATA[[#This Row],[Care Assistant 3: Numbers employed (Full Time Equivalent)]]=0,"",DATA[[#This Row],[Care Assistant 3: Previous 2020/21 Maximum hourly pay rate ADJUSTED 2]]*DATA[[#This Row],[Care Assistant 3: Numbers employed (Full Time Equivalent)]]),"")</f>
        <v/>
      </c>
      <c r="PZ76" s="30" t="str">
        <f>IFERROR(IF(DATA[[#This Row],[Care Assistant 4: Numbers employed (Full Time Equivalent)]]=0,"",DATA[[#This Row],[Care Assistant 4: Current 2021/22 Minimum hourly pay rate ADJUSTED 2]]*DATA[[#This Row],[Care Assistant 4: Numbers employed (Full Time Equivalent)]]),"")</f>
        <v/>
      </c>
      <c r="QA76" s="30" t="str">
        <f>IFERROR(IF(DATA[[#This Row],[Care Assistant 4: Numbers employed (Full Time Equivalent)]]=0,"",DATA[[#This Row],[Care Assistant 4: Current 2021/22 Maximum hourly pay rate ADJUSTED 2]]*DATA[[#This Row],[Care Assistant 4: Numbers employed (Full Time Equivalent)]]),"")</f>
        <v/>
      </c>
      <c r="QB76" s="30" t="str">
        <f>IFERROR(IF(DATA[[#This Row],[Care Assistant 4: Numbers employed (Full Time Equivalent)]]=0,"",DATA[[#This Row],[Care Assistant 4: Previous 2020/21 Minimum hourly pay rate ADJUSTED 2]]*DATA[[#This Row],[Care Assistant 4: Numbers employed (Full Time Equivalent)]]),"")</f>
        <v/>
      </c>
      <c r="QC76" s="30" t="str">
        <f>IFERROR(IF(DATA[[#This Row],[Care Assistant 4: Numbers employed (Full Time Equivalent)]]=0,"",DATA[[#This Row],[Care Assistant 4: Previous 2020/21 Maximum hourly pay rate ADJUSTED 2]]*DATA[[#This Row],[Care Assistant 4: Numbers employed (Full Time Equivalent)]]),"")</f>
        <v/>
      </c>
      <c r="QD76" s="30" t="str">
        <f>IFERROR(IF(DATA[[#This Row],[Administrative Officer 1: Numbers employed (Full Time Equivalent)]]=0,"",DATA[[#This Row],[Administrative Officer 1: Current 2021/22 Minimum hourly pay rate ADJUSTED 2]]*DATA[[#This Row],[Administrative Officer 1: Numbers employed (Full Time Equivalent)]]),"")</f>
        <v/>
      </c>
      <c r="QE76" s="30" t="str">
        <f>IFERROR(IF(DATA[[#This Row],[Administrative Officer 1: Numbers employed (Full Time Equivalent)]]=0,"",DATA[[#This Row],[Administrative Officer 1: Current 2021/22 Maximum hourly pay rate ADJUSTED 2]]*DATA[[#This Row],[Administrative Officer 1: Numbers employed (Full Time Equivalent)]]),"")</f>
        <v/>
      </c>
      <c r="QF76" s="30" t="str">
        <f>IFERROR(IF(DATA[[#This Row],[Administrative Officer 1: Numbers employed (Full Time Equivalent)]]=0,"",DATA[[#This Row],[Administrative Officer 1: Previous 2020/21 Minimum hourly pay rate ADJUSTED 2]]*DATA[[#This Row],[Administrative Officer 1: Numbers employed (Full Time Equivalent)]]),"")</f>
        <v/>
      </c>
      <c r="QG76" s="30" t="str">
        <f>IFERROR(IF(DATA[[#This Row],[Administrative Officer 1: Numbers employed (Full Time Equivalent)]]=0,"",DATA[[#This Row],[Administrative Officer 1: Previous 2020/21 Maximum hourly pay rate ADJUSTED 2]]*DATA[[#This Row],[Administrative Officer 1: Numbers employed (Full Time Equivalent)]]),"")</f>
        <v/>
      </c>
      <c r="QH76" s="30" t="str">
        <f>IFERROR(IF(DATA[[#This Row],[Administrative Officer 2: Numbers employed (Full Time Equivalent)]]=0,"",DATA[[#This Row],[Administrative Officer 2: Current 2021/22 Minimum hourly pay rate ADJUSTED 2]]*DATA[[#This Row],[Administrative Officer 2: Numbers employed (Full Time Equivalent)]]),"")</f>
        <v/>
      </c>
      <c r="QI76" s="30" t="str">
        <f>IFERROR(IF(DATA[[#This Row],[Administrative Officer 2: Numbers employed (Full Time Equivalent)]]=0,"",DATA[[#This Row],[Administrative Officer 2: Current 2021/22 Maximum hourly pay rate ADJUSTED 2]]*DATA[[#This Row],[Administrative Officer 2: Numbers employed (Full Time Equivalent)]]),"")</f>
        <v/>
      </c>
      <c r="QJ76" s="30" t="str">
        <f>IFERROR(IF(DATA[[#This Row],[Administrative Officer 2: Numbers employed (Full Time Equivalent)]]=0,"",DATA[[#This Row],[Administrative Officer 2: Previous 2020/21 Minimum hourly pay rate ADJUSTED 2]]*DATA[[#This Row],[Administrative Officer 2: Numbers employed (Full Time Equivalent)]]),"")</f>
        <v/>
      </c>
      <c r="QK76" s="30" t="str">
        <f>IFERROR(IF(DATA[[#This Row],[Administrative Officer 2: Numbers employed (Full Time Equivalent)]]=0,"",DATA[[#This Row],[Administrative Officer 2: Previous 2020/21 Maximum hourly pay rate ADJUSTED 2]]*DATA[[#This Row],[Administrative Officer 2: Numbers employed (Full Time Equivalent)]]),"")</f>
        <v/>
      </c>
      <c r="QL76" s="30" t="str">
        <f>IFERROR(IF(DATA[[#This Row],[Administrative Officer 3: Numbers employed (Full Time Equivalent)]]=0,"",DATA[[#This Row],[Administrative Officer 3: Current 2021/22 Minimum hourly pay rate ADJUSTED 2]]*DATA[[#This Row],[Administrative Officer 3: Numbers employed (Full Time Equivalent)]]),"")</f>
        <v/>
      </c>
      <c r="QM76" s="30" t="str">
        <f>IFERROR(IF(DATA[[#This Row],[Administrative Officer 3: Numbers employed (Full Time Equivalent)]]=0,"",DATA[[#This Row],[Administrative Officer 3: Current 2021/22 Maximum hourly pay rate ADJUSTED 2]]*DATA[[#This Row],[Administrative Officer 3: Numbers employed (Full Time Equivalent)]]),"")</f>
        <v/>
      </c>
      <c r="QN76" s="30" t="str">
        <f>IFERROR(IF(DATA[[#This Row],[Administrative Officer 3: Numbers employed (Full Time Equivalent)]]=0,"",DATA[[#This Row],[Administrative Officer 3: Previous 2020/21 Minimum hourly pay rate ADJUSTED 2]]*DATA[[#This Row],[Administrative Officer 3: Numbers employed (Full Time Equivalent)]]),"")</f>
        <v/>
      </c>
      <c r="QO76" s="30" t="str">
        <f>IFERROR(IF(DATA[[#This Row],[Administrative Officer 3: Numbers employed (Full Time Equivalent)]]=0,"",DATA[[#This Row],[Administrative Officer 3: Previous 2020/21 Maximum hourly pay rate ADJUSTED 2]]*DATA[[#This Row],[Administrative Officer 3: Numbers employed (Full Time Equivalent)]]),"")</f>
        <v/>
      </c>
      <c r="QP76" s="28" t="str">
        <f>IFERROR(IF(DATA[[#This Row],[Other staff 1: Numbers employed (Full Time Equivalent)]]=0,"",DATA[[#This Row],[Other staff 1: Current 2021/22 Minimum hourly pay rate ADJUSTED 2]]*DATA[[#This Row],[Other staff 1: Numbers employed (Full Time Equivalent)]]),"")</f>
        <v/>
      </c>
      <c r="QQ76" s="28" t="str">
        <f>IFERROR(IF(DATA[[#This Row],[Other staff 1: Numbers employed (Full Time Equivalent)]]=0,"",DATA[[#This Row],[Other staff 1: Current 2021/22 Maximum hourly pay rate ADJUSTED 2]]*DATA[[#This Row],[Other staff 1: Numbers employed (Full Time Equivalent)]]),"")</f>
        <v/>
      </c>
      <c r="QR76" s="28" t="str">
        <f>IFERROR(IF(DATA[[#This Row],[Other staff 1: Numbers employed (Full Time Equivalent)]]=0,"",DATA[[#This Row],[Other staff 1: Previous 2020/21 Minimum hourly pay rate ADJUSTED 2]]*DATA[[#This Row],[Other staff 1: Numbers employed (Full Time Equivalent)]]),"")</f>
        <v/>
      </c>
      <c r="QS76" s="28" t="str">
        <f>IFERROR(IF(DATA[[#This Row],[Other staff 1: Numbers employed (Full Time Equivalent)]]=0,"",DATA[[#This Row],[Other staff 1: Previous 2020/21 Maximum hourly pay rate ADJUSTED 2]]*DATA[[#This Row],[Other staff 1: Numbers employed (Full Time Equivalent)]]),"")</f>
        <v/>
      </c>
      <c r="QT76" s="28" t="str">
        <f>IFERROR(IF(DATA[[#This Row],[Other staff 2: Numbers employed (Full Time Equivalent)]]=0,"",DATA[[#This Row],[Other staff 2: Current 2021/22 Minimum hourly pay rate ADJUSTED 2]]*DATA[[#This Row],[Other staff 2: Numbers employed (Full Time Equivalent)]]),"")</f>
        <v/>
      </c>
      <c r="QU76" s="28" t="str">
        <f>IFERROR(IF(DATA[[#This Row],[Other staff 2: Numbers employed (Full Time Equivalent)]]=0,"",DATA[[#This Row],[Other staff 2: Current 2021/22 Maximum hourly pay rate ADJUSTED 2]]*DATA[[#This Row],[Other staff 2: Numbers employed (Full Time Equivalent)]]),"")</f>
        <v/>
      </c>
      <c r="QV76" s="28" t="str">
        <f>IFERROR(IF(DATA[[#This Row],[Other staff 2: Numbers employed (Full Time Equivalent)]]=0,"",DATA[[#This Row],[Other staff 2: Previous 2020/21 Minimum hourly pay rate ADJUSTED 2]]*DATA[[#This Row],[Other staff 2: Numbers employed (Full Time Equivalent)]]),"")</f>
        <v/>
      </c>
      <c r="QW76" s="28" t="str">
        <f>IFERROR(IF(DATA[[#This Row],[Other staff 2: Numbers employed (Full Time Equivalent)]]=0,"",DATA[[#This Row],[Other staff 2: Previous 2020/21 Maximum hourly pay rate ADJUSTED 2]]*DATA[[#This Row],[Other staff 2: Numbers employed (Full Time Equivalent)]]),"")</f>
        <v/>
      </c>
      <c r="QX76" s="28" t="str">
        <f>IFERROR(IF(DATA[[#This Row],[Other staff 3: Numbers employed (Full Time Equivalent)]]=0,"",DATA[[#This Row],[Other staff 3: Current 2021/22 Minimum hourly pay rate ADJUSTED 2]]*DATA[[#This Row],[Other staff 3: Numbers employed (Full Time Equivalent)]]),"")</f>
        <v/>
      </c>
      <c r="QY76" s="28" t="str">
        <f>IFERROR(IF(DATA[[#This Row],[Other staff 3: Numbers employed (Full Time Equivalent)]]=0,"",DATA[[#This Row],[Other staff 3: Current 2021/22 Maximum hourly pay rate ADJUSTED 2]]*DATA[[#This Row],[Other staff 3: Numbers employed (Full Time Equivalent)]]),"")</f>
        <v/>
      </c>
      <c r="QZ76" s="28" t="str">
        <f>IFERROR(IF(DATA[[#This Row],[Other staff 3: Numbers employed (Full Time Equivalent)]]=0,"",DATA[[#This Row],[Other staff 3: Previous 2020/21 Minimum hourly pay rate ADJUSTED 2]]*DATA[[#This Row],[Other staff 3: Numbers employed (Full Time Equivalent)]]),"")</f>
        <v/>
      </c>
      <c r="RA76" s="28" t="str">
        <f>IFERROR(IF(DATA[[#This Row],[Other staff 3: Numbers employed (Full Time Equivalent)]]=0,"",DATA[[#This Row],[Other staff 3: Previous 2020/21 Maximum hourly pay rate ADJUSTED 2]]*DATA[[#This Row],[Other staff 3: Numbers employed (Full Time Equivalent)]]),"")</f>
        <v/>
      </c>
      <c r="RB76"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76"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76"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0.34</v>
      </c>
      <c r="RE76"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0.5</v>
      </c>
      <c r="RF76"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6"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5.73</v>
      </c>
      <c r="RH76"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76"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6"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6"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76"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6"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6"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6"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6"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7" spans="7:484" x14ac:dyDescent="0.25">
      <c r="G77" s="2">
        <v>71</v>
      </c>
      <c r="H77" s="2">
        <v>4</v>
      </c>
      <c r="I77" s="2">
        <v>97</v>
      </c>
      <c r="J77" s="2">
        <v>0.04</v>
      </c>
      <c r="K77" s="2">
        <v>0.96</v>
      </c>
      <c r="L77" s="2" t="s">
        <v>240</v>
      </c>
      <c r="M77" s="2" t="s">
        <v>240</v>
      </c>
      <c r="R77" s="2">
        <v>18.260000000000002</v>
      </c>
      <c r="S77" s="2">
        <v>18.260000000000002</v>
      </c>
      <c r="T77" s="2">
        <v>17.899999999999999</v>
      </c>
      <c r="U77" s="2">
        <v>17.899999999999999</v>
      </c>
      <c r="V77" s="2">
        <v>1</v>
      </c>
      <c r="W77" s="2">
        <v>14.05</v>
      </c>
      <c r="X77" s="2">
        <v>14.05</v>
      </c>
      <c r="Y77" s="2">
        <v>13.77</v>
      </c>
      <c r="Z77" s="2">
        <v>13.77</v>
      </c>
      <c r="AA77" s="2">
        <v>1</v>
      </c>
      <c r="AB77" s="2" t="s">
        <v>603</v>
      </c>
      <c r="AC77" s="2">
        <v>12.76</v>
      </c>
      <c r="AD77" s="2">
        <v>12.76</v>
      </c>
      <c r="AE77" s="2">
        <v>12.51</v>
      </c>
      <c r="AF77" s="2">
        <v>12.51</v>
      </c>
      <c r="AG77" s="2">
        <v>4</v>
      </c>
      <c r="AH77" s="2"/>
      <c r="AI77" s="2">
        <v>0</v>
      </c>
      <c r="AJ77" s="2">
        <v>0</v>
      </c>
      <c r="AK77" s="2">
        <v>0</v>
      </c>
      <c r="AL77" s="2">
        <v>0</v>
      </c>
      <c r="AM77" s="2">
        <v>0</v>
      </c>
      <c r="AN77" s="2"/>
      <c r="AO77" s="2">
        <v>0</v>
      </c>
      <c r="AP77" s="2">
        <v>0</v>
      </c>
      <c r="AQ77" s="2">
        <v>0</v>
      </c>
      <c r="AR77" s="2">
        <v>0</v>
      </c>
      <c r="AS77" s="2">
        <v>0</v>
      </c>
      <c r="AT77" s="2" t="s">
        <v>604</v>
      </c>
      <c r="AU77" s="2">
        <v>10.01</v>
      </c>
      <c r="AV77" s="2">
        <v>10.01</v>
      </c>
      <c r="AW77" s="2">
        <v>9.82</v>
      </c>
      <c r="AX77" s="2">
        <v>9.82</v>
      </c>
      <c r="AY77" s="2">
        <v>6</v>
      </c>
      <c r="AZ77" s="2" t="s">
        <v>605</v>
      </c>
      <c r="BA77" s="2">
        <v>9.1199999999999992</v>
      </c>
      <c r="BB77" s="2">
        <v>9.1199999999999992</v>
      </c>
      <c r="BC77" s="2">
        <v>8.93</v>
      </c>
      <c r="BD77" s="2">
        <v>8.93</v>
      </c>
      <c r="BE77" s="2">
        <v>92</v>
      </c>
      <c r="BF77" s="2" t="s">
        <v>606</v>
      </c>
      <c r="BG77" s="2">
        <v>9.7200000000000006</v>
      </c>
      <c r="BH77" s="2">
        <v>9.7200000000000006</v>
      </c>
      <c r="BI77" s="2">
        <v>9.5299999999999994</v>
      </c>
      <c r="BJ77" s="2">
        <v>9.5299999999999994</v>
      </c>
      <c r="BK77" s="2">
        <v>18</v>
      </c>
      <c r="BL77" s="2" t="s">
        <v>607</v>
      </c>
      <c r="BM77" s="2">
        <v>8.91</v>
      </c>
      <c r="BN77" s="2">
        <v>8.91</v>
      </c>
      <c r="BO77" s="2">
        <v>8.7200000000000006</v>
      </c>
      <c r="BP77" s="2">
        <v>8.7200000000000006</v>
      </c>
      <c r="BQ77" s="2">
        <v>16</v>
      </c>
      <c r="BR77" s="2" t="s">
        <v>608</v>
      </c>
      <c r="BS77" s="2">
        <v>9.1199999999999992</v>
      </c>
      <c r="BT77" s="2">
        <v>9.1199999999999992</v>
      </c>
      <c r="BU77" s="2">
        <v>8.93</v>
      </c>
      <c r="BV77" s="2">
        <v>8.93</v>
      </c>
      <c r="BW77" s="2">
        <v>2.5</v>
      </c>
      <c r="BX77" s="2"/>
      <c r="BY77" s="2">
        <v>0</v>
      </c>
      <c r="BZ77" s="2">
        <v>0</v>
      </c>
      <c r="CA77" s="2">
        <v>0</v>
      </c>
      <c r="CB77" s="2">
        <v>0</v>
      </c>
      <c r="CC77" s="2">
        <v>0</v>
      </c>
      <c r="CD77" s="2"/>
      <c r="CE77" s="2">
        <v>0</v>
      </c>
      <c r="CF77" s="2">
        <v>0</v>
      </c>
      <c r="CG77" s="2">
        <v>0</v>
      </c>
      <c r="CH77" s="2">
        <v>0</v>
      </c>
      <c r="CI77" s="2">
        <v>0</v>
      </c>
      <c r="CJ77" s="2"/>
      <c r="CK77" s="2">
        <v>0</v>
      </c>
      <c r="CL77" s="2">
        <v>0</v>
      </c>
      <c r="CM77" s="2">
        <v>0</v>
      </c>
      <c r="CN77" s="2">
        <v>0</v>
      </c>
      <c r="CO77" s="2">
        <v>0</v>
      </c>
      <c r="CP77" s="2"/>
      <c r="CQ77" s="2">
        <v>0</v>
      </c>
      <c r="CR77" s="2">
        <v>0</v>
      </c>
      <c r="CS77" s="2">
        <v>0</v>
      </c>
      <c r="CT77" s="2">
        <v>0</v>
      </c>
      <c r="CU77" s="2">
        <v>0</v>
      </c>
      <c r="CV77" s="2"/>
      <c r="CW77" s="2">
        <v>0</v>
      </c>
      <c r="CX77" s="2">
        <v>0</v>
      </c>
      <c r="CY77" s="2">
        <v>0</v>
      </c>
      <c r="CZ77" s="2">
        <v>0</v>
      </c>
      <c r="DA77" s="2">
        <v>0</v>
      </c>
      <c r="DB77" s="2">
        <v>0.03</v>
      </c>
      <c r="DC77" s="2">
        <v>437.5</v>
      </c>
      <c r="DD77" s="2">
        <v>0</v>
      </c>
      <c r="DE77" s="2">
        <v>0</v>
      </c>
      <c r="DF77" s="2">
        <v>0</v>
      </c>
      <c r="DG77" s="2">
        <v>0</v>
      </c>
      <c r="DH77" s="2">
        <v>0</v>
      </c>
      <c r="DI77" s="2">
        <v>3861.25</v>
      </c>
      <c r="DJ77" s="2">
        <v>0</v>
      </c>
      <c r="DK77" s="2">
        <v>0</v>
      </c>
      <c r="DL77" s="2">
        <v>0</v>
      </c>
      <c r="DM77" s="2">
        <v>235</v>
      </c>
      <c r="DN77" s="2">
        <v>62</v>
      </c>
      <c r="DO77" s="2">
        <v>15.58</v>
      </c>
      <c r="DP77" s="2">
        <v>15.58</v>
      </c>
      <c r="DQ77" s="2">
        <v>15.58</v>
      </c>
      <c r="DR77" s="18">
        <v>43922</v>
      </c>
      <c r="DS77" s="18">
        <v>44286</v>
      </c>
      <c r="DT77" s="2">
        <v>251103.25</v>
      </c>
      <c r="DU77" s="2">
        <v>131013.1155</v>
      </c>
      <c r="DV77" s="2">
        <v>2938823.0249999999</v>
      </c>
      <c r="DW77" s="2">
        <v>52094.069499999998</v>
      </c>
      <c r="DX77" s="2">
        <v>7488.8</v>
      </c>
      <c r="DY77" s="2">
        <v>11638.94</v>
      </c>
      <c r="DZ77" s="2">
        <v>1211.08</v>
      </c>
      <c r="EA77" s="2">
        <v>0</v>
      </c>
      <c r="EB77" s="2">
        <v>3372</v>
      </c>
      <c r="EC77" s="2">
        <v>10454</v>
      </c>
      <c r="ED77" s="2">
        <v>0</v>
      </c>
      <c r="EE77" s="2">
        <v>16405.64</v>
      </c>
      <c r="EF77" s="2">
        <v>57012.18</v>
      </c>
      <c r="EG77" s="2">
        <v>149095.10999999999</v>
      </c>
      <c r="EH77" s="2" t="s">
        <v>324</v>
      </c>
      <c r="EI77" s="2">
        <v>735.97</v>
      </c>
      <c r="EJ77" s="2" t="s">
        <v>324</v>
      </c>
      <c r="EK77" s="2">
        <v>0</v>
      </c>
      <c r="EL77" s="2">
        <v>16412.669999999998</v>
      </c>
      <c r="EM77" s="2">
        <v>1165.31</v>
      </c>
      <c r="EN77" s="2">
        <v>24008.400000000001</v>
      </c>
      <c r="EO77" s="2">
        <v>0</v>
      </c>
      <c r="EP77" s="2"/>
      <c r="EQ77" s="2">
        <v>0</v>
      </c>
      <c r="ER77" s="2">
        <v>0</v>
      </c>
      <c r="ES77" s="2">
        <v>11671.62</v>
      </c>
      <c r="ET77" s="2" t="s">
        <v>609</v>
      </c>
      <c r="EU77" s="2">
        <v>6252.97</v>
      </c>
      <c r="EV77" s="2" t="s">
        <v>324</v>
      </c>
      <c r="EW77" s="2">
        <v>0</v>
      </c>
      <c r="EX77" s="2">
        <v>343630.18170000002</v>
      </c>
      <c r="EY77" s="2">
        <v>31370.27</v>
      </c>
      <c r="EZ77" s="2" t="s">
        <v>610</v>
      </c>
      <c r="FA77" s="2">
        <v>95735.818299999999</v>
      </c>
      <c r="FB77" s="2" t="s">
        <v>326</v>
      </c>
      <c r="FC77" s="2">
        <v>0</v>
      </c>
      <c r="FD77" s="2">
        <v>280361.96999999997</v>
      </c>
      <c r="FE77" s="2">
        <v>0</v>
      </c>
      <c r="FF77" s="2">
        <v>0</v>
      </c>
      <c r="FG77" s="2"/>
      <c r="FH77" s="19">
        <v>44480.62767361111</v>
      </c>
      <c r="FI77" s="2" t="s">
        <v>345</v>
      </c>
      <c r="FJ77" s="2">
        <f>SUM(DATA[[#This Row],[Number of Home support clients:]],DATA[[#This Row],[Number of supported living clients:]])</f>
        <v>101</v>
      </c>
      <c r="FK77"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101-110</v>
      </c>
      <c r="FL77"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18.260000000000002</v>
      </c>
      <c r="FM77"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18.260000000000002</v>
      </c>
      <c r="FN77"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17.899999999999999</v>
      </c>
      <c r="FO77"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17.899999999999999</v>
      </c>
      <c r="FP77"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14.05</v>
      </c>
      <c r="FQ77"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14.05</v>
      </c>
      <c r="FR77"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13.77</v>
      </c>
      <c r="FS77"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13.77</v>
      </c>
      <c r="FT77"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12.76</v>
      </c>
      <c r="FU77"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12.76</v>
      </c>
      <c r="FV77"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12.51</v>
      </c>
      <c r="FW77"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12.51</v>
      </c>
      <c r="FX77"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77"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77"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7"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7"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7"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7"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7"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7"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10.01</v>
      </c>
      <c r="GG77"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10.01</v>
      </c>
      <c r="GH77"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9.82</v>
      </c>
      <c r="GI77"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9.82</v>
      </c>
      <c r="GJ77"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9.1199999999999992</v>
      </c>
      <c r="GK77"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9.1199999999999992</v>
      </c>
      <c r="GL77"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8.93</v>
      </c>
      <c r="GM77"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8.93</v>
      </c>
      <c r="GN77"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9.7200000000000006</v>
      </c>
      <c r="GO77"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9.7200000000000006</v>
      </c>
      <c r="GP77"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9.5299999999999994</v>
      </c>
      <c r="GQ77"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9.5299999999999994</v>
      </c>
      <c r="GR77"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8.91</v>
      </c>
      <c r="GS77"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8.91</v>
      </c>
      <c r="GT77"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8.7200000000000006</v>
      </c>
      <c r="GU77"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8.7200000000000006</v>
      </c>
      <c r="GV77"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9.1199999999999992</v>
      </c>
      <c r="GW77"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9.1199999999999992</v>
      </c>
      <c r="GX77"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8.93</v>
      </c>
      <c r="GY77"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8.93</v>
      </c>
      <c r="GZ77"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7"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7"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7"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7"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7"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7"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7"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7"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7"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7"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7"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7"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7"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7"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7"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7"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7"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7"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7"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7"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18.260000000000002</v>
      </c>
      <c r="HU77"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18.260000000000002</v>
      </c>
      <c r="HV77"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17.899999999999999</v>
      </c>
      <c r="HW77"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17.899999999999999</v>
      </c>
      <c r="HX77"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14.05</v>
      </c>
      <c r="HY77"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14.05</v>
      </c>
      <c r="HZ77"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13.77</v>
      </c>
      <c r="IA77"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13.77</v>
      </c>
      <c r="IB77"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12.76</v>
      </c>
      <c r="IC77"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12.76</v>
      </c>
      <c r="ID77"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12.51</v>
      </c>
      <c r="IE77"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12.51</v>
      </c>
      <c r="IF77"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77"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77"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77"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77"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7"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7"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7"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7"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10.01</v>
      </c>
      <c r="IO77"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10.01</v>
      </c>
      <c r="IP77"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9.82</v>
      </c>
      <c r="IQ77"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9.82</v>
      </c>
      <c r="IR77"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9.1199999999999992</v>
      </c>
      <c r="IS77"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9.1199999999999992</v>
      </c>
      <c r="IT77"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8.93</v>
      </c>
      <c r="IU77"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8.93</v>
      </c>
      <c r="IV77"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9.7200000000000006</v>
      </c>
      <c r="IW77"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9.7200000000000006</v>
      </c>
      <c r="IX77"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9.5299999999999994</v>
      </c>
      <c r="IY77"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9.5299999999999994</v>
      </c>
      <c r="IZ77"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8.91</v>
      </c>
      <c r="JA77"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8.91</v>
      </c>
      <c r="JB77"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8.7200000000000006</v>
      </c>
      <c r="JC77"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8.7200000000000006</v>
      </c>
      <c r="JD77"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9.1199999999999992</v>
      </c>
      <c r="JE77"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9.1199999999999992</v>
      </c>
      <c r="JF77"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8.93</v>
      </c>
      <c r="JG77"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8.93</v>
      </c>
      <c r="JH77"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7"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7"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7"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7"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7"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7"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7"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7"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7"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7"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7"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7"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7"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7"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7"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7"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7"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7"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7"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7"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6</v>
      </c>
      <c r="KC77" s="21">
        <f>SUM(DATA[[#This Row],[Care Assistant 1: Numbers employed (Full Time Equivalent)]],DATA[[#This Row],[Care Assistant 2: Numbers employed (Full Time Equivalent)]],DATA[[#This Row],[Care Assistant 3: Numbers employed (Full Time Equivalent)]],DATA[[#This Row],[Care Assistant 4: Numbers employed (Full Time Equivalent)]])</f>
        <v>132</v>
      </c>
      <c r="KD77" s="21">
        <f>SUM(DATA[[#This Row],[Administrative Officer 1: Numbers employed (Full Time Equivalent)]],DATA[[#This Row],[Administrative Officer 2: Numbers employed (Full Time Equivalent)]])</f>
        <v>2.5</v>
      </c>
      <c r="KE77" s="21">
        <f>SUM(DATA[[#This Row],[Other staff 1: Numbers employed (Full Time Equivalent)]],DATA[[#This Row],[Other staff 2: Numbers employed (Full Time Equivalent)]],DATA[[#This Row],[Other staff 3: Numbers employed (Full Time Equivalent)]])</f>
        <v>0</v>
      </c>
      <c r="KF77" s="21">
        <f>SUM(DATA[[#This Row],[Total FTE Management Employees]:[Total FTE Other Employees]])</f>
        <v>140.5</v>
      </c>
      <c r="KG77" s="21" t="str">
        <f>IF(SUM(DATA[[#This Row],[Home Support service split percentage (Expenditure):]],DATA[[#This Row],[Supported Living service split percentage (Expenditure):]])&gt;0, IF(DATA[[#This Row],[Home Support service split percentage (Expenditure):]]&gt;0.5,"Home Support","Supported Living"), "Unknown")</f>
        <v>Supported Living</v>
      </c>
      <c r="KH77" s="21">
        <f>SUM(DATA[[#This Row],[Home Support: Birmingham City Council]:[Home Support: Self-funded]])</f>
        <v>437.5</v>
      </c>
      <c r="KI77" s="21">
        <f>SUM(DATA[[#This Row],[Supported Living: Birmingham City Council]:[Supported Living: Self-funded]])</f>
        <v>4158.25</v>
      </c>
      <c r="KJ77"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7"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7"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7"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7" s="21" t="b">
        <f>SUM(DATA[[#This Row],[Number of hours of care charged for in last full accounting year]:[Corporate Overheads: Other  - please specify (category) 1]])&gt;0</f>
        <v>1</v>
      </c>
      <c r="KO77" s="21">
        <f>SUM(DATA[[#This Row],[Total annual expenditure: Management staff]:[Total annual expenditure: Training and development]])</f>
        <v>3145641.03</v>
      </c>
      <c r="KP77" s="21">
        <f>SUM(DATA[[#This Row],[Recruitment &amp; advertising (including DBS checks)]:[Non-Staffing Direct Cost: Other  - please specify (amount) 2]])</f>
        <v>233702.9</v>
      </c>
      <c r="KQ77" s="21">
        <f>SUM(DATA[[#This Row],[Insurance ]:[Indirect costs: Other 2 - please specify (amount)]])</f>
        <v>59510.970000000008</v>
      </c>
      <c r="KR77" s="21">
        <f>SUM(DATA[[#This Row],[Central / Regional Management]],DATA[[#This Row],[Support Services (finance / HR / Payroll / legal etc.)]],DATA[[#This Row],[Corporate Overheads: Other  - please specify (amount) 1]],DATA[[#This Row],[Corporate Overheads: Other  - please specify (amount) 2]])</f>
        <v>470736.27</v>
      </c>
      <c r="KS77"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0.5217499793411674</v>
      </c>
      <c r="KT77"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11.70364391938376</v>
      </c>
      <c r="KU77"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0.20746075369394859</v>
      </c>
      <c r="KV77" s="30">
        <f>IF(OR(NOT(DATA[[#This Row],[Total annual expenditure: Other staff]]&gt;0),NOT(DATA[[#This Row],[Number of hours of care charged for in last full accounting year]]&gt;0)),0,DATA[[#This Row],[Total annual expenditure: Other staff]]/DATA[[#This Row],[Number of hours of care charged for in last full accounting year]])</f>
        <v>2.9823588503932148E-2</v>
      </c>
      <c r="KW77" s="30">
        <f>IF(OR(NOT(DATA[[#This Row],[Total annual expenditure: Agency staff]]&gt;0),NOT(DATA[[#This Row],[Number of hours of care charged for in last full accounting year]]&gt;0)),0,DATA[[#This Row],[Total annual expenditure: Agency staff]]/DATA[[#This Row],[Number of hours of care charged for in last full accounting year]])</f>
        <v>4.6351212100998296E-2</v>
      </c>
      <c r="KX77" s="30">
        <f>IF(OR(NOT(DATA[[#This Row],[Total annual expenditure: Travel Cost]]&gt;0),NOT(DATA[[#This Row],[Number of hours of care charged for in last full accounting year]]&gt;0)),0,DATA[[#This Row],[Total annual expenditure: Travel Cost]]/DATA[[#This Row],[Number of hours of care charged for in last full accounting year]])</f>
        <v>4.8230359423862496E-3</v>
      </c>
      <c r="KY77"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7"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1.3428738974903751E-2</v>
      </c>
      <c r="LA77"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4.1632276762646442E-2</v>
      </c>
      <c r="LB77"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77" s="30">
        <f>IF(OR(NOT(DATA[[#This Row],[Care consumables &amp; uniforms]]&gt;0),NOT(DATA[[#This Row],[Number of hours of care charged for in last full accounting year]]&gt;0)),0,DATA[[#This Row],[Care consumables &amp; uniforms]]/DATA[[#This Row],[Number of hours of care charged for in last full accounting year]])</f>
        <v>6.5334239998884922E-2</v>
      </c>
      <c r="LD77" s="30">
        <f>IF(OR(NOT(DATA[[#This Row],[Electronic call monitoring]]&gt;0),NOT(DATA[[#This Row],[Number of hours of care charged for in last full accounting year]]&gt;0)),0,DATA[[#This Row],[Electronic call monitoring]]/DATA[[#This Row],[Number of hours of care charged for in last full accounting year]])</f>
        <v>0.22704676263648518</v>
      </c>
      <c r="LE77" s="30">
        <f>IF(OR(NOT(DATA[[#This Row],[IT Equipment &amp; Telephoney]]&gt;0),NOT(DATA[[#This Row],[Number of hours of care charged for in last full accounting year]]&gt;0)),0,DATA[[#This Row],[IT Equipment &amp; Telephoney]]/DATA[[#This Row],[Number of hours of care charged for in last full accounting year]])</f>
        <v>0.59376017634180356</v>
      </c>
      <c r="LF77"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2.9309457364649801E-3</v>
      </c>
      <c r="LG77"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7" s="30">
        <f>IF(OR(NOT(DATA[[#This Row],[Insurance ]]&gt;0),NOT(DATA[[#This Row],[Number of hours of care charged for in last full accounting year]]&gt;0)),0,DATA[[#This Row],[Insurance ]]/DATA[[#This Row],[Number of hours of care charged for in last full accounting year]])</f>
        <v>6.5362236450543745E-2</v>
      </c>
      <c r="LI77"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4.6407603246871555E-3</v>
      </c>
      <c r="LJ77" s="30">
        <f>IF(OR(NOT(DATA[[#This Row],[Repairs and maintenance]]&gt;0),NOT(DATA[[#This Row],[Number of hours of care charged for in last full accounting year]]&gt;0)),0,DATA[[#This Row],[Repairs and maintenance]]/DATA[[#This Row],[Number of hours of care charged for in last full accounting year]])</f>
        <v>9.5611665719181255E-2</v>
      </c>
      <c r="LK77"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77" s="30">
        <f>IF(OR(NOT(DATA[[#This Row],[Registration &amp; Inspection fees ]]&gt;0),NOT(DATA[[#This Row],[Number of hours of care charged for in last full accounting year]]&gt;0)),0,DATA[[#This Row],[Registration &amp; Inspection fees ]]/DATA[[#This Row],[Number of hours of care charged for in last full accounting year]])</f>
        <v>0</v>
      </c>
      <c r="LM77" s="30">
        <f>IF(OR(NOT(DATA[[#This Row],[Subscriptions]]&gt;0),NOT(DATA[[#This Row],[Number of hours of care charged for in last full accounting year]]&gt;0)),0,DATA[[#This Row],[Subscriptions]]/DATA[[#This Row],[Number of hours of care charged for in last full accounting year]])</f>
        <v>0</v>
      </c>
      <c r="LN77" s="30">
        <f>IF(OR(NOT(DATA[[#This Row],[Cost of finance]]&gt;0),NOT(DATA[[#This Row],[Number of hours of care charged for in last full accounting year]]&gt;0)),0,DATA[[#This Row],[Cost of finance]]/DATA[[#This Row],[Number of hours of care charged for in last full accounting year]])</f>
        <v>0</v>
      </c>
      <c r="LO77" s="30">
        <f>IF(OR(NOT(DATA[[#This Row],[Other non-staff current expenses]]&gt;0),NOT(DATA[[#This Row],[Number of hours of care charged for in last full accounting year]]&gt;0)),0,DATA[[#This Row],[Other non-staff current expenses]]/DATA[[#This Row],[Number of hours of care charged for in last full accounting year]])</f>
        <v>4.6481357768169071E-2</v>
      </c>
      <c r="LP77"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2.4901987529034372E-2</v>
      </c>
      <c r="LQ77"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7" s="30">
        <f>IF(OR(NOT(DATA[[#This Row],[Central / Regional Management]]&gt;0),NOT(DATA[[#This Row],[Number of hours of care charged for in last full accounting year]]&gt;0)),0,DATA[[#This Row],[Central / Regional Management]]/DATA[[#This Row],[Number of hours of care charged for in last full accounting year]])</f>
        <v>1.3684816174223153</v>
      </c>
      <c r="LS77"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0.12492976494728762</v>
      </c>
      <c r="LT77"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0.38126076942452952</v>
      </c>
      <c r="LU77"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7" s="30">
        <f>SUM(DATA[[#This Row],[Management staff HOURLY RATE]:[Corporate Overheads: Other  - please specify (amount) 2 HOURLY RATE]])</f>
        <v>15.569655789003127</v>
      </c>
      <c r="LW77" s="30">
        <f>IF(OR(NOT(DATA[[#This Row],[Net Operating Profit]]&gt;0),NOT(DATA[[#This Row],[Number of hours of care charged for in last full accounting year]]&gt;0)),"",DATA[[#This Row],[Net Operating Profit]]/DATA[[#This Row],[Number of hours of care charged for in last full accounting year]])</f>
        <v>1.1165206742644709</v>
      </c>
      <c r="LX77" s="30">
        <f>IF(OR(NOT(DATA[[#This Row],[Return on Capital employed]]&gt;0),NOT(DATA[[#This Row],[Number of hours of care charged for in last full accounting year]]&gt;0)),0,DATA[[#This Row],[Return on Capital employed]]/DATA[[#This Row],[Number of hours of care charged for in last full accounting year]])</f>
        <v>0</v>
      </c>
      <c r="LY77" s="31">
        <v>72</v>
      </c>
      <c r="LZ77" s="30" t="s">
        <v>345</v>
      </c>
      <c r="MA77" s="30" t="b">
        <f>DATA[[#This Row],[Number of Home support clients:]]&gt;0</f>
        <v>1</v>
      </c>
      <c r="MB77" s="30" t="b">
        <f>DATA[[#This Row],[Number of supported living clients:]]&gt;0</f>
        <v>1</v>
      </c>
      <c r="MC77" s="30" t="b">
        <f>DATA[[#This Row],[Total Home Support Hours]]&gt;0</f>
        <v>1</v>
      </c>
      <c r="MD77" s="30" t="b">
        <f>DATA[[#This Row],[Total Supported Living Hours]]&gt;0</f>
        <v>1</v>
      </c>
      <c r="ME77" s="30" t="b">
        <f>DATA[[#This Row],[Home Support service split percentage (Expenditure):]]&gt;0.5</f>
        <v>0</v>
      </c>
      <c r="MF77" s="30" t="b">
        <f>DATA[[#This Row],[Agency staff HOURLY RATE]]=0</f>
        <v>0</v>
      </c>
      <c r="MG77" s="30">
        <f>IFERROR(IF(AVERAGE(DATA[[#This Row],[Registered manager: Current 2021/22 Minimum hourly pay rate ADJUSTED]],DATA[[#This Row],[Registered manager: Current 2021/22 Maximum hourly pay rate ADJUSTED]])&lt;LIVING_WAGE_22_23,DATA[[#This Row],[Registered manager: Numbers employed (Full Time Equivalent)]],0),"")</f>
        <v>0</v>
      </c>
      <c r="MH77" s="30">
        <f>IFERROR(IF(AVERAGE(DATA[[#This Row],[Deputy manager: Current 2021/22 Minimum hourly pay rate ADJUSTED]],DATA[[#This Row],[Deputy manager: Current 2021/22 Maximum hourly pay rate ADJUSTED]])&lt;LIVING_WAGE_22_23,DATA[[#This Row],[Deputy manager: Numbers employed (Full Time Equivalent)]],0),"")</f>
        <v>0</v>
      </c>
      <c r="MI77" s="30">
        <f>IFERROR(IF(AVERAGE(DATA[[#This Row],[Other manager 1: Current 2021/22 Minimum hourly pay rate ADJUSTED]],DATA[[#This Row],[Other manager 1: Current 2021/22 Maximum hourly pay rate ADJUSTED]])&lt;LIVING_WAGE_22_23,DATA[[#This Row],[Other manager 1: Numbers employed (Full Time Equivalent)]],0),"")</f>
        <v>0</v>
      </c>
      <c r="MJ77" s="30" t="str">
        <f>IFERROR(IF(AVERAGE(DATA[[#This Row],[Other manager 2: Current 2021/22 Minimum hourly pay rate ADJUSTED]],DATA[[#This Row],[Other manager 2: Current 2021/22 Maximum hourly pay rate ADJUSTED]])&lt;LIVING_WAGE_22_23,DATA[[#This Row],[Other manager 2: Numbers employed (Full Time Equivalent)]],0),"")</f>
        <v/>
      </c>
      <c r="MK77" s="30" t="str">
        <f>IFERROR(IF(AVERAGE(DATA[[#This Row],[Other manager 3: Current 2021/22 Minimum hourly pay rate ADJUSTED]],DATA[[#This Row],[Other manager 3: Current 2021/22 Maximum hourly pay rate ADJUSTED]])&lt;LIVING_WAGE_22_23,DATA[[#This Row],[Other manager 3: Numbers employed (Full Time Equivalent)]],0),"")</f>
        <v/>
      </c>
      <c r="ML77" s="30">
        <f>IFERROR(IF(AVERAGE(DATA[[#This Row],[Care Assistant 1: Current 2021/22 Minimum hourly pay rate ADJUSTED]],DATA[[#This Row],[Care Assistant 1: Current 2021/22 Maximum hourly pay rate ADJUSTED]])&lt;LIVING_WAGE_22_23,DATA[[#This Row],[Care Assistant 1: Numbers employed (Full Time Equivalent)]],0),"")</f>
        <v>0</v>
      </c>
      <c r="MM77" s="30">
        <f>IFERROR(IF(AVERAGE(DATA[[#This Row],[Care Assistant 2: Current 2021/22 Minimum hourly pay rate ADJUSTED]],DATA[[#This Row],[Care Assistant 2: Current 2021/22 Maximum hourly pay rate ADJUSTED]])&lt;LIVING_WAGE_22_23,DATA[[#This Row],[Care Assistant 2: Numbers employed (Full Time Equivalent)]],0),"")</f>
        <v>92</v>
      </c>
      <c r="MN77" s="30">
        <f>IFERROR(IF(AVERAGE(DATA[[#This Row],[Care Assistant 3: Current 2021/22 Minimum hourly pay rate ADJUSTED]],DATA[[#This Row],[Care Assistant 3: Current 2021/22 Maximum hourly pay rate ADJUSTED]])&lt;LIVING_WAGE_22_23,DATA[[#This Row],[Care Assistant 3: Numbers employed (Full Time Equivalent)]],0),"")</f>
        <v>0</v>
      </c>
      <c r="MO77" s="30">
        <f>IFERROR(IF(AVERAGE(DATA[[#This Row],[Care Assistant 4: Current 2021/22 Minimum hourly pay rate ADJUSTED]],DATA[[#This Row],[Care Assistant 4: Current 2021/22 Maximum hourly pay rate ADJUSTED]])&lt;LIVING_WAGE_22_23,DATA[[#This Row],[Care Assistant 4: Numbers employed (Full Time Equivalent)]],0),"")</f>
        <v>16</v>
      </c>
      <c r="MP77"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2.5</v>
      </c>
      <c r="MQ77"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7" s="30" t="str">
        <f>IFERROR(IF(AVERAGE(DATA[[#This Row],[Other staff 1: Current 2021/22 Minimum hourly pay rate ADJUSTED]],DATA[[#This Row],[Other staff 1: Current 2021/22 Maximum hourly pay rate ADJUSTED]])&lt;LIVING_WAGE_22_23,DATA[[#This Row],[Other staff 1: Numbers employed (Full Time Equivalent)]],0),"")</f>
        <v/>
      </c>
      <c r="MS77" s="30" t="str">
        <f>IFERROR(IF(AVERAGE(DATA[[#This Row],[Other staff 2: Current 2021/22 Minimum hourly pay rate ADJUSTED]],DATA[[#This Row],[Other staff 2: Current 2021/22 Maximum hourly pay rate ADJUSTED]])&lt;LIVING_WAGE_22_23,DATA[[#This Row],[Other staff 2: Numbers employed (Full Time Equivalent)]],0),"")</f>
        <v/>
      </c>
      <c r="MT77" s="30" t="str">
        <f>IFERROR(IF(AVERAGE(DATA[[#This Row],[Other staff 3: Current 2021/22 Minimum hourly pay rate ADJUSTED]],DATA[[#This Row],[Other staff 3: Current 2021/22 Maximum hourly pay rate ADJUSTED]])&lt;LIVING_WAGE_22_23,DATA[[#This Row],[Other staff 3: Numbers employed (Full Time Equivalent)]],0),"")</f>
        <v/>
      </c>
      <c r="MU77" s="30">
        <f>SUM(DATA[[#This Row],[Registered Manager FTE earning less than NLW 23yrs 2022/23]:[Other staff 3 FTE earning less than NLW 23yrs 2022/23]])</f>
        <v>110.5</v>
      </c>
      <c r="MV77"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77"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77"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77"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77"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7"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77"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34.960000000000072</v>
      </c>
      <c r="NC77"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77"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9.4399999999999977</v>
      </c>
      <c r="NE77"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0.95000000000000195</v>
      </c>
      <c r="NF77"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7"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7"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7"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7" s="30" t="b">
        <v>0</v>
      </c>
      <c r="NK77" s="30" t="b">
        <v>1</v>
      </c>
      <c r="NL77" s="30" t="s">
        <v>972</v>
      </c>
      <c r="NM77" s="30">
        <f>SUM(DATA[[#This Row],[Management staff HOURLY RATE]:[Training and development HOURLY RATE]])</f>
        <v>12.527281227941097</v>
      </c>
      <c r="NN77" s="30">
        <f>SUM(DATA[[#This Row],[Recruitment &amp; advertising (including DBS checks) HOURLY RATE]:[Non-Staffing Direct Cost: Other  - please specify (amount) 2 HOURLY RATE]])</f>
        <v>0.93070440147628508</v>
      </c>
      <c r="NO77" s="30">
        <f>SUM(DATA[[#This Row],[Insurance  HOURLY RATE]:[Indirect costs: Other  - please specify (amount) 2 HOURLY RATE]])</f>
        <v>0.23699800779161562</v>
      </c>
      <c r="NP77" s="30">
        <f>SUM(DATA[[#This Row],[Central / Regional Management HOURLY RATE]:[Corporate Overheads: Other  - please specify (amount) 2 HOURLY RATE]])</f>
        <v>1.8746721517941325</v>
      </c>
      <c r="NQ77"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77" s="30">
        <f>IFERROR(IF(AVERAGE(DATA[[#This Row],[Deputy manager: Current 2021/22 Minimum hourly pay rate ADJUSTED]],DATA[[#This Row],[Deputy manager: Current 2021/22 Maximum hourly pay rate ADJUSTED]])&lt;REAL_LIVING_WAGE_22_23,DATA[[#This Row],[Deputy manager: Numbers employed (Full Time Equivalent)]],0),"")</f>
        <v>0</v>
      </c>
      <c r="NS77" s="30">
        <f>IFERROR(IF(AVERAGE(DATA[[#This Row],[Other manager 1: Current 2021/22 Minimum hourly pay rate ADJUSTED]],DATA[[#This Row],[Other manager 1: Current 2021/22 Maximum hourly pay rate ADJUSTED]])&lt;REAL_LIVING_WAGE_22_23,DATA[[#This Row],[Other manager 1: Numbers employed (Full Time Equivalent)]],0),"")</f>
        <v>0</v>
      </c>
      <c r="NT77" s="30" t="str">
        <f>IFERROR(IF(AVERAGE(DATA[[#This Row],[Other manager 2: Current 2021/22 Minimum hourly pay rate ADJUSTED]],DATA[[#This Row],[Other manager 2: Current 2021/22 Maximum hourly pay rate ADJUSTED]])&lt;REAL_LIVING_WAGE_22_23,DATA[[#This Row],[Other manager 2: Numbers employed (Full Time Equivalent)]],0),"")</f>
        <v/>
      </c>
      <c r="NU77" s="30" t="str">
        <f>IFERROR(IF(AVERAGE(DATA[[#This Row],[Other manager 3: Current 2021/22 Minimum hourly pay rate ADJUSTED]],DATA[[#This Row],[Other manager 3: Current 2021/22 Maximum hourly pay rate ADJUSTED]])&lt;REAL_LIVING_WAGE_22_23,DATA[[#This Row],[Other manager 3: Numbers employed (Full Time Equivalent)]],0),"")</f>
        <v/>
      </c>
      <c r="NV77" s="30">
        <f>IFERROR(IF(AVERAGE(DATA[[#This Row],[Care Assistant 1: Current 2021/22 Minimum hourly pay rate ADJUSTED]],DATA[[#This Row],[Care Assistant 1: Current 2021/22 Maximum hourly pay rate ADJUSTED]])&lt;REAL_LIVING_WAGE_22_23,DATA[[#This Row],[Care Assistant 1: Numbers employed (Full Time Equivalent)]],0),"")</f>
        <v>0</v>
      </c>
      <c r="NW77" s="30">
        <f>IFERROR(IF(AVERAGE(DATA[[#This Row],[Care Assistant 2: Current 2021/22 Minimum hourly pay rate ADJUSTED]],DATA[[#This Row],[Care Assistant 2: Current 2021/22 Maximum hourly pay rate ADJUSTED]])&lt;REAL_LIVING_WAGE_22_23,DATA[[#This Row],[Care Assistant 2: Numbers employed (Full Time Equivalent)]],0),"")</f>
        <v>92</v>
      </c>
      <c r="NX77" s="30">
        <f>IFERROR(IF(AVERAGE(DATA[[#This Row],[Care Assistant 3: Current 2021/22 Minimum hourly pay rate ADJUSTED]],DATA[[#This Row],[Care Assistant 3: Current 2021/22 Maximum hourly pay rate ADJUSTED]])&lt;REAL_LIVING_WAGE_22_23,DATA[[#This Row],[Care Assistant 3: Numbers employed (Full Time Equivalent)]],0),"")</f>
        <v>18</v>
      </c>
      <c r="NY77" s="30">
        <f>IFERROR(IF(AVERAGE(DATA[[#This Row],[Care Assistant 4: Current 2021/22 Minimum hourly pay rate ADJUSTED]],DATA[[#This Row],[Care Assistant 4: Current 2021/22 Maximum hourly pay rate ADJUSTED]])&lt;REAL_LIVING_WAGE_22_23,DATA[[#This Row],[Care Assistant 4: Numbers employed (Full Time Equivalent)]],0),"")</f>
        <v>16</v>
      </c>
      <c r="NZ77"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2.5</v>
      </c>
      <c r="OA77"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7" s="30" t="str">
        <f>IFERROR(IF(AVERAGE(DATA[[#This Row],[Other staff 1: Current 2021/22 Minimum hourly pay rate ADJUSTED]],DATA[[#This Row],[Other staff 1: Current 2021/22 Maximum hourly pay rate ADJUSTED]])&lt;REAL_LIVING_WAGE_22_23,DATA[[#This Row],[Other staff 1: Numbers employed (Full Time Equivalent)]],0),"")</f>
        <v/>
      </c>
      <c r="OC77" s="30" t="str">
        <f>IFERROR(IF(AVERAGE(DATA[[#This Row],[Other staff 2: Current 2021/22 Minimum hourly pay rate ADJUSTED]],DATA[[#This Row],[Other staff 2: Current 2021/22 Maximum hourly pay rate ADJUSTED]])&lt;REAL_LIVING_WAGE_22_23,DATA[[#This Row],[Other staff 2: Numbers employed (Full Time Equivalent)]],0),"")</f>
        <v/>
      </c>
      <c r="OD77" s="30" t="str">
        <f>IFERROR(IF(AVERAGE(DATA[[#This Row],[Other staff 3: Current 2021/22 Minimum hourly pay rate ADJUSTED]],DATA[[#This Row],[Other staff 3: Current 2021/22 Maximum hourly pay rate ADJUSTED]])&lt;REAL_LIVING_WAGE_22_23,DATA[[#This Row],[Other staff 3: Numbers employed (Full Time Equivalent)]],0),"")</f>
        <v/>
      </c>
      <c r="OE77" s="30">
        <f>SUM(DATA[[#This Row],[Registered Manager FTE earning less than RLW 23yrs 2022/23]:[Other staff 3 FTE earning less than RLW 23yrs 2022/23]])</f>
        <v>128.5</v>
      </c>
      <c r="OF77"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77"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77"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77"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77"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7"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77"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71.760000000000105</v>
      </c>
      <c r="OM77"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3.2399999999999949</v>
      </c>
      <c r="ON77"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15.840000000000003</v>
      </c>
      <c r="OO77"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1.9500000000000028</v>
      </c>
      <c r="OP77"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7"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7"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7"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7" s="30">
        <f>IFERROR(IF(DATA[[#This Row],[Registered manager: Numbers employed (Full Time Equivalent)]]=0,"",DATA[[#This Row],[Registered manager: Current 2021/22 Minimum hourly pay rate ADJUSTED 2]]*DATA[[#This Row],[Registered manager: Numbers employed (Full Time Equivalent)]]),"")</f>
        <v>18.260000000000002</v>
      </c>
      <c r="OU77" s="30">
        <f>IFERROR(IF(DATA[[#This Row],[Registered manager: Numbers employed (Full Time Equivalent)]]=0,"",DATA[[#This Row],[Registered manager: Current 2021/22 Maximum hourly pay rate ADJUSTED 2]]*DATA[[#This Row],[Registered manager: Numbers employed (Full Time Equivalent)]]),"")</f>
        <v>18.260000000000002</v>
      </c>
      <c r="OV77" s="30">
        <f>IFERROR(IF(DATA[[#This Row],[Registered manager: Numbers employed (Full Time Equivalent)]]=0,"",DATA[[#This Row],[Registered manager: Previous 2020/21 Minimum hourly pay rate ADJUSTED 2]]*DATA[[#This Row],[Registered manager: Numbers employed (Full Time Equivalent)]]),"")</f>
        <v>17.899999999999999</v>
      </c>
      <c r="OW77" s="30">
        <f>IFERROR(IF(DATA[[#This Row],[Registered manager: Numbers employed (Full Time Equivalent)]]=0,"",DATA[[#This Row],[Registered manager: Previous 2020/21 Maximum hourly pay rate ADJUSTED 2]]*DATA[[#This Row],[Registered manager: Numbers employed (Full Time Equivalent)]]),"")</f>
        <v>17.899999999999999</v>
      </c>
      <c r="OX77" s="30">
        <f>IFERROR(IF(DATA[[#This Row],[Deputy manager: Numbers employed (Full Time Equivalent)]]=0,"",DATA[[#This Row],[Deputy manager: Current 2021/22 Minimum hourly pay rate ADJUSTED 2]]*DATA[[#This Row],[Deputy manager: Numbers employed (Full Time Equivalent)]]),"")</f>
        <v>14.05</v>
      </c>
      <c r="OY77" s="30">
        <f>IFERROR(IF(DATA[[#This Row],[Deputy manager: Numbers employed (Full Time Equivalent)]]=0,"",DATA[[#This Row],[Deputy manager: Current 2021/22 Maximum hourly pay rate ADJUSTED 2]]*DATA[[#This Row],[Deputy manager: Numbers employed (Full Time Equivalent)]]),"")</f>
        <v>14.05</v>
      </c>
      <c r="OZ77" s="30">
        <f>IFERROR(IF(DATA[[#This Row],[Deputy manager: Numbers employed (Full Time Equivalent)]]=0,"",DATA[[#This Row],[Deputy manager: Previous 2020/21 Minimum hourly pay rate ADJUSTED 2]]*DATA[[#This Row],[Deputy manager: Numbers employed (Full Time Equivalent)]]),"")</f>
        <v>13.77</v>
      </c>
      <c r="PA77" s="30">
        <f>IFERROR(IF(DATA[[#This Row],[Deputy manager: Numbers employed (Full Time Equivalent)]]=0,"",DATA[[#This Row],[Deputy manager: Previous 2020/21 Maximum hourly pay rate ADJUSTED 2]]*DATA[[#This Row],[Deputy manager: Numbers employed (Full Time Equivalent)]]),"")</f>
        <v>13.77</v>
      </c>
      <c r="PB77" s="30">
        <f>IFERROR(IF(DATA[[#This Row],[Other manager 1: Numbers employed (Full Time Equivalent)]]=0,"",DATA[[#This Row],[Other manager 1: Current 2021/22 Minimum hourly pay rate ADJUSTED 2]]*DATA[[#This Row],[Other manager 1: Numbers employed (Full Time Equivalent)]]),"")</f>
        <v>51.04</v>
      </c>
      <c r="PC77" s="30">
        <f>IFERROR(IF(DATA[[#This Row],[Other manager 1: Numbers employed (Full Time Equivalent)]]=0,"",DATA[[#This Row],[Other manager 1: Current 2021/22 Maximum hourly pay rate ADJUSTED 2]]*DATA[[#This Row],[Other manager 1: Numbers employed (Full Time Equivalent)]]),"")</f>
        <v>51.04</v>
      </c>
      <c r="PD77" s="30">
        <f>IFERROR(IF(DATA[[#This Row],[Other manager 1: Numbers employed (Full Time Equivalent)]]=0,"",DATA[[#This Row],[Other manager 1: Previous 2020/21 Minimum hourly pay rate ADJUSTED 2]]*DATA[[#This Row],[Other manager 1: Numbers employed (Full Time Equivalent)]]),"")</f>
        <v>50.04</v>
      </c>
      <c r="PE77" s="30">
        <f>IFERROR(IF(DATA[[#This Row],[Other manager 1: Numbers employed (Full Time Equivalent)]]=0,"",DATA[[#This Row],[Other manager 1: Previous 2020/21 Maximum hourly pay rate ADJUSTED 2]]*DATA[[#This Row],[Other manager 1: Numbers employed (Full Time Equivalent)]]),"")</f>
        <v>50.04</v>
      </c>
      <c r="PF77" s="30" t="str">
        <f>IFERROR(IF(DATA[[#This Row],[Other manager 2: Numbers employed (Full Time Equivalent)]]=0,"",DATA[[#This Row],[Other manager 2: Current 2021/22 Minimum hourly pay rate ADJUSTED 2]]*DATA[[#This Row],[Other manager 2: Numbers employed (Full Time Equivalent)]]),"")</f>
        <v/>
      </c>
      <c r="PG77" s="30" t="str">
        <f>IFERROR(IF(DATA[[#This Row],[Other manager 2: Numbers employed (Full Time Equivalent)]]=0,"",DATA[[#This Row],[Other manager 2: Current 2021/22 Maximum hourly pay rate ADJUSTED 2]]*DATA[[#This Row],[Other manager 2: Numbers employed (Full Time Equivalent)]]),"")</f>
        <v/>
      </c>
      <c r="PH77" s="30" t="str">
        <f>IFERROR(IF(DATA[[#This Row],[Other manager 2: Numbers employed (Full Time Equivalent)]]=0,"",DATA[[#This Row],[Other manager 2: Previous 2020/21 Minimum hourly pay rate ADJUSTED 2]]*DATA[[#This Row],[Other manager 2: Numbers employed (Full Time Equivalent)]]),"")</f>
        <v/>
      </c>
      <c r="PI77" s="30" t="str">
        <f>IFERROR(IF(DATA[[#This Row],[Other manager 2: Numbers employed (Full Time Equivalent)]]=0,"",DATA[[#This Row],[Other manager 2: Previous 2020/21 Maximum hourly pay rate ADJUSTED 2]]*DATA[[#This Row],[Other manager 2: Numbers employed (Full Time Equivalent)]]),"")</f>
        <v/>
      </c>
      <c r="PJ77" s="30" t="str">
        <f>IFERROR(IF(DATA[[#This Row],[Other manager 3: Numbers employed (Full Time Equivalent)]]=0,"",DATA[[#This Row],[Other manager 3: Current 2021/22 Minimum hourly pay rate ADJUSTED 2]]*DATA[[#This Row],[Other manager 3: Numbers employed (Full Time Equivalent)]]),"")</f>
        <v/>
      </c>
      <c r="PK77" s="30" t="str">
        <f>IFERROR(IF(DATA[[#This Row],[Other manager 3: Numbers employed (Full Time Equivalent)]]=0,"",DATA[[#This Row],[Other manager 3: Current 2021/22 Maximum hourly pay rate ADJUSTED 2]]*DATA[[#This Row],[Other manager 3: Numbers employed (Full Time Equivalent)]]),"")</f>
        <v/>
      </c>
      <c r="PL77" s="30" t="str">
        <f>IFERROR(IF(DATA[[#This Row],[Other manager 3: Numbers employed (Full Time Equivalent)]]=0,"",DATA[[#This Row],[Other manager 3: Previous 2020/21 Minimum hourly pay rate ADJUSTED 2]]*DATA[[#This Row],[Other manager 3: Numbers employed (Full Time Equivalent)]]),"")</f>
        <v/>
      </c>
      <c r="PM77" s="30" t="str">
        <f>IFERROR(IF(DATA[[#This Row],[Other manager 3: Numbers employed (Full Time Equivalent)]]=0,"",DATA[[#This Row],[Other manager 3: Previous 2020/21 Maximum hourly pay rate ADJUSTED 2]]*DATA[[#This Row],[Other manager 3: Numbers employed (Full Time Equivalent)]]),"")</f>
        <v/>
      </c>
      <c r="PN77" s="30">
        <f>IFERROR(IF(DATA[[#This Row],[Care Assistant 1: Numbers employed (Full Time Equivalent)]]=0,"",DATA[[#This Row],[Care Assistant 1: Current 2021/22 Minimum hourly pay rate ADJUSTED 2]]*DATA[[#This Row],[Care Assistant 1: Numbers employed (Full Time Equivalent)]]),"")</f>
        <v>60.06</v>
      </c>
      <c r="PO77" s="30">
        <f>IFERROR(IF(DATA[[#This Row],[Care Assistant 1: Numbers employed (Full Time Equivalent)]]=0,"",DATA[[#This Row],[Care Assistant 1: Current 2021/22 Maximum hourly pay rate ADJUSTED 2]]*DATA[[#This Row],[Care Assistant 1: Numbers employed (Full Time Equivalent)]]),"")</f>
        <v>60.06</v>
      </c>
      <c r="PP77" s="30">
        <f>IFERROR(IF(DATA[[#This Row],[Care Assistant 1: Numbers employed (Full Time Equivalent)]]=0,"",DATA[[#This Row],[Care Assistant 1: Previous 2020/21 Minimum hourly pay rate ADJUSTED 2]]*DATA[[#This Row],[Care Assistant 1: Numbers employed (Full Time Equivalent)]]),"")</f>
        <v>58.92</v>
      </c>
      <c r="PQ77" s="30">
        <f>IFERROR(IF(DATA[[#This Row],[Care Assistant 1: Numbers employed (Full Time Equivalent)]]=0,"",DATA[[#This Row],[Care Assistant 1: Previous 2020/21 Maximum hourly pay rate ADJUSTED 2]]*DATA[[#This Row],[Care Assistant 1: Numbers employed (Full Time Equivalent)]]),"")</f>
        <v>58.92</v>
      </c>
      <c r="PR77" s="30">
        <f>IFERROR(IF(DATA[[#This Row],[Care Assistant 2: Numbers employed (Full Time Equivalent)]]=0,"",DATA[[#This Row],[Care Assistant 2: Current 2021/22 Minimum hourly pay rate ADJUSTED 2]]*DATA[[#This Row],[Care Assistant 2: Numbers employed (Full Time Equivalent)]]),"")</f>
        <v>839.04</v>
      </c>
      <c r="PS77" s="30">
        <f>IFERROR(IF(DATA[[#This Row],[Care Assistant 2: Numbers employed (Full Time Equivalent)]]=0,"",DATA[[#This Row],[Care Assistant 2: Current 2021/22 Maximum hourly pay rate ADJUSTED 2]]*DATA[[#This Row],[Care Assistant 2: Numbers employed (Full Time Equivalent)]]),"")</f>
        <v>839.04</v>
      </c>
      <c r="PT77" s="30">
        <f>IFERROR(IF(DATA[[#This Row],[Care Assistant 2: Numbers employed (Full Time Equivalent)]]=0,"",DATA[[#This Row],[Care Assistant 2: Previous 2020/21 Minimum hourly pay rate ADJUSTED 2]]*DATA[[#This Row],[Care Assistant 2: Numbers employed (Full Time Equivalent)]]),"")</f>
        <v>821.56</v>
      </c>
      <c r="PU77" s="30">
        <f>IFERROR(IF(DATA[[#This Row],[Care Assistant 2: Numbers employed (Full Time Equivalent)]]=0,"",DATA[[#This Row],[Care Assistant 2: Previous 2020/21 Maximum hourly pay rate ADJUSTED 2]]*DATA[[#This Row],[Care Assistant 2: Numbers employed (Full Time Equivalent)]]),"")</f>
        <v>821.56</v>
      </c>
      <c r="PV77" s="30">
        <f>IFERROR(IF(DATA[[#This Row],[Care Assistant 3: Numbers employed (Full Time Equivalent)]]=0,"",DATA[[#This Row],[Care Assistant 3: Current 2021/22 Minimum hourly pay rate ADJUSTED 2]]*DATA[[#This Row],[Care Assistant 3: Numbers employed (Full Time Equivalent)]]),"")</f>
        <v>174.96</v>
      </c>
      <c r="PW77" s="30">
        <f>IFERROR(IF(DATA[[#This Row],[Care Assistant 3: Numbers employed (Full Time Equivalent)]]=0,"",DATA[[#This Row],[Care Assistant 3: Current 2021/22 Maximum hourly pay rate ADJUSTED 2]]*DATA[[#This Row],[Care Assistant 3: Numbers employed (Full Time Equivalent)]]),"")</f>
        <v>174.96</v>
      </c>
      <c r="PX77" s="30">
        <f>IFERROR(IF(DATA[[#This Row],[Care Assistant 3: Numbers employed (Full Time Equivalent)]]=0,"",DATA[[#This Row],[Care Assistant 3: Previous 2020/21 Minimum hourly pay rate ADJUSTED 2]]*DATA[[#This Row],[Care Assistant 3: Numbers employed (Full Time Equivalent)]]),"")</f>
        <v>171.54</v>
      </c>
      <c r="PY77" s="30">
        <f>IFERROR(IF(DATA[[#This Row],[Care Assistant 3: Numbers employed (Full Time Equivalent)]]=0,"",DATA[[#This Row],[Care Assistant 3: Previous 2020/21 Maximum hourly pay rate ADJUSTED 2]]*DATA[[#This Row],[Care Assistant 3: Numbers employed (Full Time Equivalent)]]),"")</f>
        <v>171.54</v>
      </c>
      <c r="PZ77" s="30">
        <f>IFERROR(IF(DATA[[#This Row],[Care Assistant 4: Numbers employed (Full Time Equivalent)]]=0,"",DATA[[#This Row],[Care Assistant 4: Current 2021/22 Minimum hourly pay rate ADJUSTED 2]]*DATA[[#This Row],[Care Assistant 4: Numbers employed (Full Time Equivalent)]]),"")</f>
        <v>142.56</v>
      </c>
      <c r="QA77" s="30">
        <f>IFERROR(IF(DATA[[#This Row],[Care Assistant 4: Numbers employed (Full Time Equivalent)]]=0,"",DATA[[#This Row],[Care Assistant 4: Current 2021/22 Maximum hourly pay rate ADJUSTED 2]]*DATA[[#This Row],[Care Assistant 4: Numbers employed (Full Time Equivalent)]]),"")</f>
        <v>142.56</v>
      </c>
      <c r="QB77" s="30">
        <f>IFERROR(IF(DATA[[#This Row],[Care Assistant 4: Numbers employed (Full Time Equivalent)]]=0,"",DATA[[#This Row],[Care Assistant 4: Previous 2020/21 Minimum hourly pay rate ADJUSTED 2]]*DATA[[#This Row],[Care Assistant 4: Numbers employed (Full Time Equivalent)]]),"")</f>
        <v>139.52000000000001</v>
      </c>
      <c r="QC77" s="30">
        <f>IFERROR(IF(DATA[[#This Row],[Care Assistant 4: Numbers employed (Full Time Equivalent)]]=0,"",DATA[[#This Row],[Care Assistant 4: Previous 2020/21 Maximum hourly pay rate ADJUSTED 2]]*DATA[[#This Row],[Care Assistant 4: Numbers employed (Full Time Equivalent)]]),"")</f>
        <v>139.52000000000001</v>
      </c>
      <c r="QD77" s="30">
        <f>IFERROR(IF(DATA[[#This Row],[Administrative Officer 1: Numbers employed (Full Time Equivalent)]]=0,"",DATA[[#This Row],[Administrative Officer 1: Current 2021/22 Minimum hourly pay rate ADJUSTED 2]]*DATA[[#This Row],[Administrative Officer 1: Numbers employed (Full Time Equivalent)]]),"")</f>
        <v>22.799999999999997</v>
      </c>
      <c r="QE77" s="30">
        <f>IFERROR(IF(DATA[[#This Row],[Administrative Officer 1: Numbers employed (Full Time Equivalent)]]=0,"",DATA[[#This Row],[Administrative Officer 1: Current 2021/22 Maximum hourly pay rate ADJUSTED 2]]*DATA[[#This Row],[Administrative Officer 1: Numbers employed (Full Time Equivalent)]]),"")</f>
        <v>22.799999999999997</v>
      </c>
      <c r="QF77" s="30">
        <f>IFERROR(IF(DATA[[#This Row],[Administrative Officer 1: Numbers employed (Full Time Equivalent)]]=0,"",DATA[[#This Row],[Administrative Officer 1: Previous 2020/21 Minimum hourly pay rate ADJUSTED 2]]*DATA[[#This Row],[Administrative Officer 1: Numbers employed (Full Time Equivalent)]]),"")</f>
        <v>22.324999999999999</v>
      </c>
      <c r="QG77" s="30">
        <f>IFERROR(IF(DATA[[#This Row],[Administrative Officer 1: Numbers employed (Full Time Equivalent)]]=0,"",DATA[[#This Row],[Administrative Officer 1: Previous 2020/21 Maximum hourly pay rate ADJUSTED 2]]*DATA[[#This Row],[Administrative Officer 1: Numbers employed (Full Time Equivalent)]]),"")</f>
        <v>22.324999999999999</v>
      </c>
      <c r="QH77" s="30" t="str">
        <f>IFERROR(IF(DATA[[#This Row],[Administrative Officer 2: Numbers employed (Full Time Equivalent)]]=0,"",DATA[[#This Row],[Administrative Officer 2: Current 2021/22 Minimum hourly pay rate ADJUSTED 2]]*DATA[[#This Row],[Administrative Officer 2: Numbers employed (Full Time Equivalent)]]),"")</f>
        <v/>
      </c>
      <c r="QI77" s="30" t="str">
        <f>IFERROR(IF(DATA[[#This Row],[Administrative Officer 2: Numbers employed (Full Time Equivalent)]]=0,"",DATA[[#This Row],[Administrative Officer 2: Current 2021/22 Maximum hourly pay rate ADJUSTED 2]]*DATA[[#This Row],[Administrative Officer 2: Numbers employed (Full Time Equivalent)]]),"")</f>
        <v/>
      </c>
      <c r="QJ77" s="30" t="str">
        <f>IFERROR(IF(DATA[[#This Row],[Administrative Officer 2: Numbers employed (Full Time Equivalent)]]=0,"",DATA[[#This Row],[Administrative Officer 2: Previous 2020/21 Minimum hourly pay rate ADJUSTED 2]]*DATA[[#This Row],[Administrative Officer 2: Numbers employed (Full Time Equivalent)]]),"")</f>
        <v/>
      </c>
      <c r="QK77" s="30" t="str">
        <f>IFERROR(IF(DATA[[#This Row],[Administrative Officer 2: Numbers employed (Full Time Equivalent)]]=0,"",DATA[[#This Row],[Administrative Officer 2: Previous 2020/21 Maximum hourly pay rate ADJUSTED 2]]*DATA[[#This Row],[Administrative Officer 2: Numbers employed (Full Time Equivalent)]]),"")</f>
        <v/>
      </c>
      <c r="QL77" s="30" t="str">
        <f>IFERROR(IF(DATA[[#This Row],[Administrative Officer 3: Numbers employed (Full Time Equivalent)]]=0,"",DATA[[#This Row],[Administrative Officer 3: Current 2021/22 Minimum hourly pay rate ADJUSTED 2]]*DATA[[#This Row],[Administrative Officer 3: Numbers employed (Full Time Equivalent)]]),"")</f>
        <v/>
      </c>
      <c r="QM77" s="30" t="str">
        <f>IFERROR(IF(DATA[[#This Row],[Administrative Officer 3: Numbers employed (Full Time Equivalent)]]=0,"",DATA[[#This Row],[Administrative Officer 3: Current 2021/22 Maximum hourly pay rate ADJUSTED 2]]*DATA[[#This Row],[Administrative Officer 3: Numbers employed (Full Time Equivalent)]]),"")</f>
        <v/>
      </c>
      <c r="QN77" s="30" t="str">
        <f>IFERROR(IF(DATA[[#This Row],[Administrative Officer 3: Numbers employed (Full Time Equivalent)]]=0,"",DATA[[#This Row],[Administrative Officer 3: Previous 2020/21 Minimum hourly pay rate ADJUSTED 2]]*DATA[[#This Row],[Administrative Officer 3: Numbers employed (Full Time Equivalent)]]),"")</f>
        <v/>
      </c>
      <c r="QO77" s="30" t="str">
        <f>IFERROR(IF(DATA[[#This Row],[Administrative Officer 3: Numbers employed (Full Time Equivalent)]]=0,"",DATA[[#This Row],[Administrative Officer 3: Previous 2020/21 Maximum hourly pay rate ADJUSTED 2]]*DATA[[#This Row],[Administrative Officer 3: Numbers employed (Full Time Equivalent)]]),"")</f>
        <v/>
      </c>
      <c r="QP77" s="28" t="str">
        <f>IFERROR(IF(DATA[[#This Row],[Other staff 1: Numbers employed (Full Time Equivalent)]]=0,"",DATA[[#This Row],[Other staff 1: Current 2021/22 Minimum hourly pay rate ADJUSTED 2]]*DATA[[#This Row],[Other staff 1: Numbers employed (Full Time Equivalent)]]),"")</f>
        <v/>
      </c>
      <c r="QQ77" s="28" t="str">
        <f>IFERROR(IF(DATA[[#This Row],[Other staff 1: Numbers employed (Full Time Equivalent)]]=0,"",DATA[[#This Row],[Other staff 1: Current 2021/22 Maximum hourly pay rate ADJUSTED 2]]*DATA[[#This Row],[Other staff 1: Numbers employed (Full Time Equivalent)]]),"")</f>
        <v/>
      </c>
      <c r="QR77" s="28" t="str">
        <f>IFERROR(IF(DATA[[#This Row],[Other staff 1: Numbers employed (Full Time Equivalent)]]=0,"",DATA[[#This Row],[Other staff 1: Previous 2020/21 Minimum hourly pay rate ADJUSTED 2]]*DATA[[#This Row],[Other staff 1: Numbers employed (Full Time Equivalent)]]),"")</f>
        <v/>
      </c>
      <c r="QS77" s="28" t="str">
        <f>IFERROR(IF(DATA[[#This Row],[Other staff 1: Numbers employed (Full Time Equivalent)]]=0,"",DATA[[#This Row],[Other staff 1: Previous 2020/21 Maximum hourly pay rate ADJUSTED 2]]*DATA[[#This Row],[Other staff 1: Numbers employed (Full Time Equivalent)]]),"")</f>
        <v/>
      </c>
      <c r="QT77" s="28" t="str">
        <f>IFERROR(IF(DATA[[#This Row],[Other staff 2: Numbers employed (Full Time Equivalent)]]=0,"",DATA[[#This Row],[Other staff 2: Current 2021/22 Minimum hourly pay rate ADJUSTED 2]]*DATA[[#This Row],[Other staff 2: Numbers employed (Full Time Equivalent)]]),"")</f>
        <v/>
      </c>
      <c r="QU77" s="28" t="str">
        <f>IFERROR(IF(DATA[[#This Row],[Other staff 2: Numbers employed (Full Time Equivalent)]]=0,"",DATA[[#This Row],[Other staff 2: Current 2021/22 Maximum hourly pay rate ADJUSTED 2]]*DATA[[#This Row],[Other staff 2: Numbers employed (Full Time Equivalent)]]),"")</f>
        <v/>
      </c>
      <c r="QV77" s="28" t="str">
        <f>IFERROR(IF(DATA[[#This Row],[Other staff 2: Numbers employed (Full Time Equivalent)]]=0,"",DATA[[#This Row],[Other staff 2: Previous 2020/21 Minimum hourly pay rate ADJUSTED 2]]*DATA[[#This Row],[Other staff 2: Numbers employed (Full Time Equivalent)]]),"")</f>
        <v/>
      </c>
      <c r="QW77" s="28" t="str">
        <f>IFERROR(IF(DATA[[#This Row],[Other staff 2: Numbers employed (Full Time Equivalent)]]=0,"",DATA[[#This Row],[Other staff 2: Previous 2020/21 Maximum hourly pay rate ADJUSTED 2]]*DATA[[#This Row],[Other staff 2: Numbers employed (Full Time Equivalent)]]),"")</f>
        <v/>
      </c>
      <c r="QX77" s="28" t="str">
        <f>IFERROR(IF(DATA[[#This Row],[Other staff 3: Numbers employed (Full Time Equivalent)]]=0,"",DATA[[#This Row],[Other staff 3: Current 2021/22 Minimum hourly pay rate ADJUSTED 2]]*DATA[[#This Row],[Other staff 3: Numbers employed (Full Time Equivalent)]]),"")</f>
        <v/>
      </c>
      <c r="QY77" s="28" t="str">
        <f>IFERROR(IF(DATA[[#This Row],[Other staff 3: Numbers employed (Full Time Equivalent)]]=0,"",DATA[[#This Row],[Other staff 3: Current 2021/22 Maximum hourly pay rate ADJUSTED 2]]*DATA[[#This Row],[Other staff 3: Numbers employed (Full Time Equivalent)]]),"")</f>
        <v/>
      </c>
      <c r="QZ77" s="28" t="str">
        <f>IFERROR(IF(DATA[[#This Row],[Other staff 3: Numbers employed (Full Time Equivalent)]]=0,"",DATA[[#This Row],[Other staff 3: Previous 2020/21 Minimum hourly pay rate ADJUSTED 2]]*DATA[[#This Row],[Other staff 3: Numbers employed (Full Time Equivalent)]]),"")</f>
        <v/>
      </c>
      <c r="RA77" s="28" t="str">
        <f>IFERROR(IF(DATA[[#This Row],[Other staff 3: Numbers employed (Full Time Equivalent)]]=0,"",DATA[[#This Row],[Other staff 3: Previous 2020/21 Maximum hourly pay rate ADJUSTED 2]]*DATA[[#This Row],[Other staff 3: Numbers employed (Full Time Equivalent)]]),"")</f>
        <v/>
      </c>
      <c r="RB77"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77"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77"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4</v>
      </c>
      <c r="RE77"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77"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7"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6</v>
      </c>
      <c r="RH77"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92</v>
      </c>
      <c r="RI77"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18</v>
      </c>
      <c r="RJ77"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16</v>
      </c>
      <c r="RK77"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2.5</v>
      </c>
      <c r="RL77"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7"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7"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7"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7"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8" spans="7:484" x14ac:dyDescent="0.25">
      <c r="G78" s="2">
        <v>72</v>
      </c>
      <c r="H78" s="2">
        <v>140</v>
      </c>
      <c r="I78" s="2">
        <v>0</v>
      </c>
      <c r="J78" s="2">
        <v>1</v>
      </c>
      <c r="K78" s="2">
        <v>0</v>
      </c>
      <c r="L78" s="2" t="s">
        <v>328</v>
      </c>
      <c r="M78" s="2" t="s">
        <v>328</v>
      </c>
      <c r="R78" s="2">
        <v>19.5</v>
      </c>
      <c r="S78" s="2">
        <v>19.5</v>
      </c>
      <c r="T78" s="2">
        <v>19.5</v>
      </c>
      <c r="U78" s="2">
        <v>19.5</v>
      </c>
      <c r="V78" s="2">
        <v>1</v>
      </c>
      <c r="W78" s="2">
        <v>0</v>
      </c>
      <c r="X78" s="2">
        <v>0</v>
      </c>
      <c r="Y78" s="2">
        <v>0</v>
      </c>
      <c r="Z78" s="2">
        <v>0</v>
      </c>
      <c r="AA78" s="2">
        <v>0</v>
      </c>
      <c r="AB78" s="2" t="s">
        <v>611</v>
      </c>
      <c r="AC78" s="2">
        <v>12.5</v>
      </c>
      <c r="AD78" s="2">
        <v>12.5</v>
      </c>
      <c r="AE78" s="2">
        <v>12.5</v>
      </c>
      <c r="AF78" s="2">
        <v>12.5</v>
      </c>
      <c r="AG78" s="2">
        <v>1</v>
      </c>
      <c r="AH78" s="2" t="s">
        <v>336</v>
      </c>
      <c r="AI78" s="2">
        <v>10.5</v>
      </c>
      <c r="AJ78" s="2">
        <v>10.5</v>
      </c>
      <c r="AK78" s="2">
        <v>9.6</v>
      </c>
      <c r="AL78" s="2">
        <v>9.6</v>
      </c>
      <c r="AM78" s="2">
        <v>1</v>
      </c>
      <c r="AN78" s="2" t="s">
        <v>315</v>
      </c>
      <c r="AO78" s="2">
        <v>0</v>
      </c>
      <c r="AP78" s="2">
        <v>0</v>
      </c>
      <c r="AQ78" s="2">
        <v>0</v>
      </c>
      <c r="AR78" s="2">
        <v>0</v>
      </c>
      <c r="AS78" s="2">
        <v>0</v>
      </c>
      <c r="AT78" s="2" t="s">
        <v>612</v>
      </c>
      <c r="AU78" s="2">
        <v>9.1</v>
      </c>
      <c r="AV78" s="2">
        <v>10.1</v>
      </c>
      <c r="AW78" s="2">
        <v>8.91</v>
      </c>
      <c r="AX78" s="2">
        <v>9.91</v>
      </c>
      <c r="AY78" s="2">
        <v>52</v>
      </c>
      <c r="AZ78" s="2" t="s">
        <v>613</v>
      </c>
      <c r="BA78" s="2">
        <v>9.4</v>
      </c>
      <c r="BB78" s="2">
        <v>10.4</v>
      </c>
      <c r="BC78" s="2">
        <v>9.1</v>
      </c>
      <c r="BD78" s="2">
        <v>10.1</v>
      </c>
      <c r="BE78" s="2">
        <v>32</v>
      </c>
      <c r="BF78" s="2" t="s">
        <v>316</v>
      </c>
      <c r="BG78" s="2">
        <v>0</v>
      </c>
      <c r="BH78" s="2">
        <v>0</v>
      </c>
      <c r="BI78" s="2">
        <v>0</v>
      </c>
      <c r="BJ78" s="2">
        <v>0</v>
      </c>
      <c r="BK78" s="2">
        <v>0</v>
      </c>
      <c r="BL78" s="2" t="s">
        <v>316</v>
      </c>
      <c r="BM78" s="2">
        <v>0</v>
      </c>
      <c r="BN78" s="2">
        <v>0</v>
      </c>
      <c r="BO78" s="2">
        <v>0</v>
      </c>
      <c r="BP78" s="2">
        <v>0</v>
      </c>
      <c r="BQ78" s="2">
        <v>0</v>
      </c>
      <c r="BR78" s="2" t="s">
        <v>317</v>
      </c>
      <c r="BS78" s="2">
        <v>10.25</v>
      </c>
      <c r="BT78" s="2">
        <v>10.25</v>
      </c>
      <c r="BU78" s="2">
        <v>9.75</v>
      </c>
      <c r="BV78" s="2">
        <v>9.75</v>
      </c>
      <c r="BW78" s="2">
        <v>1</v>
      </c>
      <c r="BX78" s="2" t="s">
        <v>317</v>
      </c>
      <c r="BY78" s="2">
        <v>0</v>
      </c>
      <c r="BZ78" s="2">
        <v>0</v>
      </c>
      <c r="CA78" s="2">
        <v>0</v>
      </c>
      <c r="CB78" s="2">
        <v>0</v>
      </c>
      <c r="CC78" s="2">
        <v>0</v>
      </c>
      <c r="CD78" s="2" t="s">
        <v>317</v>
      </c>
      <c r="CE78" s="2">
        <v>0</v>
      </c>
      <c r="CF78" s="2">
        <v>0</v>
      </c>
      <c r="CG78" s="2">
        <v>0</v>
      </c>
      <c r="CH78" s="2">
        <v>0</v>
      </c>
      <c r="CI78" s="2">
        <v>0</v>
      </c>
      <c r="CJ78" s="2" t="s">
        <v>318</v>
      </c>
      <c r="CK78" s="2">
        <v>0</v>
      </c>
      <c r="CL78" s="2">
        <v>0</v>
      </c>
      <c r="CM78" s="2">
        <v>0</v>
      </c>
      <c r="CN78" s="2">
        <v>0</v>
      </c>
      <c r="CO78" s="2">
        <v>0</v>
      </c>
      <c r="CP78" s="2" t="s">
        <v>318</v>
      </c>
      <c r="CQ78" s="2">
        <v>0</v>
      </c>
      <c r="CR78" s="2">
        <v>0</v>
      </c>
      <c r="CS78" s="2">
        <v>0</v>
      </c>
      <c r="CT78" s="2">
        <v>0</v>
      </c>
      <c r="CU78" s="2">
        <v>0</v>
      </c>
      <c r="CV78" s="2" t="s">
        <v>318</v>
      </c>
      <c r="CW78" s="2">
        <v>0</v>
      </c>
      <c r="CX78" s="2">
        <v>0</v>
      </c>
      <c r="CY78" s="2">
        <v>0</v>
      </c>
      <c r="CZ78" s="2">
        <v>0</v>
      </c>
      <c r="DA78" s="2">
        <v>0</v>
      </c>
      <c r="DB78" s="2">
        <v>0.05</v>
      </c>
      <c r="DC78" s="2">
        <v>1413</v>
      </c>
      <c r="DD78" s="2">
        <v>0</v>
      </c>
      <c r="DE78" s="2">
        <v>236.55</v>
      </c>
      <c r="DF78" s="2">
        <v>0</v>
      </c>
      <c r="DG78" s="2">
        <v>263</v>
      </c>
      <c r="DH78" s="2">
        <v>39</v>
      </c>
      <c r="DI78" s="2">
        <v>0</v>
      </c>
      <c r="DJ78" s="2">
        <v>0</v>
      </c>
      <c r="DK78" s="2">
        <v>0</v>
      </c>
      <c r="DL78" s="2">
        <v>0</v>
      </c>
      <c r="DM78" s="2">
        <v>0</v>
      </c>
      <c r="DN78" s="2">
        <v>0</v>
      </c>
      <c r="DO78" s="2">
        <v>15.58</v>
      </c>
      <c r="DP78" s="2">
        <v>15.58</v>
      </c>
      <c r="DQ78" s="2">
        <v>15.58</v>
      </c>
      <c r="DR78" s="18">
        <v>43709</v>
      </c>
      <c r="DS78" s="18">
        <v>44074</v>
      </c>
      <c r="DT78" s="2">
        <v>108183</v>
      </c>
      <c r="DU78" s="2">
        <v>38000</v>
      </c>
      <c r="DV78" s="2">
        <v>923156.2</v>
      </c>
      <c r="DW78" s="2">
        <v>118497.07</v>
      </c>
      <c r="DX78" s="2">
        <v>75550.350000000006</v>
      </c>
      <c r="DY78" s="2">
        <v>10900</v>
      </c>
      <c r="DZ78" s="2">
        <v>7550.5</v>
      </c>
      <c r="EA78" s="2">
        <v>0</v>
      </c>
      <c r="EB78" s="2">
        <v>0</v>
      </c>
      <c r="EC78" s="2">
        <v>9883.2999999999993</v>
      </c>
      <c r="ED78" s="2">
        <v>18750</v>
      </c>
      <c r="EE78" s="2">
        <v>15750</v>
      </c>
      <c r="EF78" s="2">
        <v>0</v>
      </c>
      <c r="EG78" s="2">
        <v>5750.25</v>
      </c>
      <c r="EH78" s="2" t="s">
        <v>614</v>
      </c>
      <c r="EI78" s="2">
        <v>19992.8</v>
      </c>
      <c r="EJ78" s="2" t="s">
        <v>615</v>
      </c>
      <c r="EK78" s="2">
        <v>3433.66</v>
      </c>
      <c r="EL78" s="2">
        <v>4390.21</v>
      </c>
      <c r="EM78" s="2">
        <v>6500</v>
      </c>
      <c r="EN78" s="2">
        <v>850</v>
      </c>
      <c r="EO78" s="2">
        <v>34623.39</v>
      </c>
      <c r="EP78" s="2">
        <v>11773</v>
      </c>
      <c r="EQ78" s="2">
        <v>10051.91</v>
      </c>
      <c r="ER78" s="2">
        <v>0</v>
      </c>
      <c r="ES78" s="2">
        <v>0</v>
      </c>
      <c r="ET78" s="2" t="s">
        <v>616</v>
      </c>
      <c r="EU78" s="2">
        <v>1250</v>
      </c>
      <c r="EV78" s="2" t="s">
        <v>324</v>
      </c>
      <c r="EW78" s="2">
        <v>0</v>
      </c>
      <c r="EX78" s="2">
        <v>0</v>
      </c>
      <c r="EY78" s="2">
        <v>0</v>
      </c>
      <c r="EZ78" s="2" t="s">
        <v>326</v>
      </c>
      <c r="FA78" s="2">
        <v>0</v>
      </c>
      <c r="FB78" s="2" t="s">
        <v>326</v>
      </c>
      <c r="FC78" s="2">
        <v>0</v>
      </c>
      <c r="FD78" s="2"/>
      <c r="FE78" s="2">
        <v>0</v>
      </c>
      <c r="FF78" s="2">
        <v>0</v>
      </c>
      <c r="FG78" s="2"/>
      <c r="FH78" s="19">
        <v>44480.627708333333</v>
      </c>
      <c r="FI78" s="2" t="s">
        <v>345</v>
      </c>
      <c r="FJ78" s="2">
        <f>SUM(DATA[[#This Row],[Number of Home support clients:]],DATA[[#This Row],[Number of supported living clients:]])</f>
        <v>140</v>
      </c>
      <c r="FK78"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131-140</v>
      </c>
      <c r="FL78"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19.5</v>
      </c>
      <c r="FM78"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19.5</v>
      </c>
      <c r="FN78"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19.5</v>
      </c>
      <c r="FO78"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19.5</v>
      </c>
      <c r="FP78"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78"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78"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78"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78"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12.5</v>
      </c>
      <c r="FU78"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12.5</v>
      </c>
      <c r="FV78"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12.5</v>
      </c>
      <c r="FW78"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12.5</v>
      </c>
      <c r="FX78"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10.5</v>
      </c>
      <c r="FY78"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10.5</v>
      </c>
      <c r="FZ78"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9.6</v>
      </c>
      <c r="GA78"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9.6</v>
      </c>
      <c r="GB78"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78"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78"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8"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8"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9.1</v>
      </c>
      <c r="GG78"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10.1</v>
      </c>
      <c r="GH78"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8.91</v>
      </c>
      <c r="GI78"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9.91</v>
      </c>
      <c r="GJ78"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9.4</v>
      </c>
      <c r="GK78"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10.4</v>
      </c>
      <c r="GL78"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9.1</v>
      </c>
      <c r="GM78"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10.1</v>
      </c>
      <c r="GN78"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78"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78"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8"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8"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78"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78"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8"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8"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10.25</v>
      </c>
      <c r="GW78"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10.25</v>
      </c>
      <c r="GX78"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9.75</v>
      </c>
      <c r="GY78"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9.75</v>
      </c>
      <c r="GZ78"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78"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78"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8"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8"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78"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78"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8"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8"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78"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78"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8"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8"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8"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8"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8"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8"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8"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8"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8"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8"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19.5</v>
      </c>
      <c r="HU78"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19.5</v>
      </c>
      <c r="HV78"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19.5</v>
      </c>
      <c r="HW78"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19.5</v>
      </c>
      <c r="HX78"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78"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78"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78"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78"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12.5</v>
      </c>
      <c r="IC78"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12.5</v>
      </c>
      <c r="ID78"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12.5</v>
      </c>
      <c r="IE78"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12.5</v>
      </c>
      <c r="IF78"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10.5</v>
      </c>
      <c r="IG78"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10.5</v>
      </c>
      <c r="IH78"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9.6</v>
      </c>
      <c r="II78"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9.6</v>
      </c>
      <c r="IJ78"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78"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78"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78"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78"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9.1</v>
      </c>
      <c r="IO78"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10.1</v>
      </c>
      <c r="IP78"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8.91</v>
      </c>
      <c r="IQ78"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9.91</v>
      </c>
      <c r="IR78"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9.4</v>
      </c>
      <c r="IS78"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10.4</v>
      </c>
      <c r="IT78"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9.1</v>
      </c>
      <c r="IU78"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10.1</v>
      </c>
      <c r="IV78"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78"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78"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78"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78"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78"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78"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78"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78"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10.25</v>
      </c>
      <c r="JE78"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10.25</v>
      </c>
      <c r="JF78"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9.75</v>
      </c>
      <c r="JG78"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9.75</v>
      </c>
      <c r="JH78"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78"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78"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78"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78"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78"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78"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78"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78"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78"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78"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78"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78"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8"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8"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8"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8"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8"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8"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8"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8"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78" s="21">
        <f>SUM(DATA[[#This Row],[Care Assistant 1: Numbers employed (Full Time Equivalent)]],DATA[[#This Row],[Care Assistant 2: Numbers employed (Full Time Equivalent)]],DATA[[#This Row],[Care Assistant 3: Numbers employed (Full Time Equivalent)]],DATA[[#This Row],[Care Assistant 4: Numbers employed (Full Time Equivalent)]])</f>
        <v>84</v>
      </c>
      <c r="KD78" s="21">
        <f>SUM(DATA[[#This Row],[Administrative Officer 1: Numbers employed (Full Time Equivalent)]],DATA[[#This Row],[Administrative Officer 2: Numbers employed (Full Time Equivalent)]])</f>
        <v>1</v>
      </c>
      <c r="KE78" s="21">
        <f>SUM(DATA[[#This Row],[Other staff 1: Numbers employed (Full Time Equivalent)]],DATA[[#This Row],[Other staff 2: Numbers employed (Full Time Equivalent)]],DATA[[#This Row],[Other staff 3: Numbers employed (Full Time Equivalent)]])</f>
        <v>0</v>
      </c>
      <c r="KF78" s="21">
        <f>SUM(DATA[[#This Row],[Total FTE Management Employees]:[Total FTE Other Employees]])</f>
        <v>88</v>
      </c>
      <c r="KG78" s="21" t="str">
        <f>IF(SUM(DATA[[#This Row],[Home Support service split percentage (Expenditure):]],DATA[[#This Row],[Supported Living service split percentage (Expenditure):]])&gt;0, IF(DATA[[#This Row],[Home Support service split percentage (Expenditure):]]&gt;0.5,"Home Support","Supported Living"), "Unknown")</f>
        <v>Home Support</v>
      </c>
      <c r="KH78" s="21">
        <f>SUM(DATA[[#This Row],[Home Support: Birmingham City Council]:[Home Support: Self-funded]])</f>
        <v>1951.55</v>
      </c>
      <c r="KI78" s="21">
        <f>SUM(DATA[[#This Row],[Supported Living: Birmingham City Council]:[Supported Living: Self-funded]])</f>
        <v>0</v>
      </c>
      <c r="KJ78"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8"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8"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78"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8" s="21" t="b">
        <f>SUM(DATA[[#This Row],[Number of hours of care charged for in last full accounting year]:[Corporate Overheads: Other  - please specify (category) 1]])&gt;0</f>
        <v>1</v>
      </c>
      <c r="KO78" s="21">
        <f>SUM(DATA[[#This Row],[Total annual expenditure: Management staff]:[Total annual expenditure: Training and development]])</f>
        <v>1173654.1200000001</v>
      </c>
      <c r="KP78" s="21">
        <f>SUM(DATA[[#This Row],[Recruitment &amp; advertising (including DBS checks)]:[Non-Staffing Direct Cost: Other  - please specify (amount) 2]])</f>
        <v>73560.010000000009</v>
      </c>
      <c r="KQ78" s="21">
        <f>SUM(DATA[[#This Row],[Insurance ]:[Indirect costs: Other 2 - please specify (amount)]])</f>
        <v>69438.509999999995</v>
      </c>
      <c r="KR78" s="21">
        <f>SUM(DATA[[#This Row],[Central / Regional Management]],DATA[[#This Row],[Support Services (finance / HR / Payroll / legal etc.)]],DATA[[#This Row],[Corporate Overheads: Other  - please specify (amount) 1]],DATA[[#This Row],[Corporate Overheads: Other  - please specify (amount) 2]])</f>
        <v>0</v>
      </c>
      <c r="KS78"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0.35125666694397456</v>
      </c>
      <c r="KT78"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8.5332834179122408</v>
      </c>
      <c r="KU78"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1.0953391013375484</v>
      </c>
      <c r="KV78" s="30">
        <f>IF(OR(NOT(DATA[[#This Row],[Total annual expenditure: Other staff]]&gt;0),NOT(DATA[[#This Row],[Number of hours of care charged for in last full accounting year]]&gt;0)),0,DATA[[#This Row],[Total annual expenditure: Other staff]]/DATA[[#This Row],[Number of hours of care charged for in last full accounting year]])</f>
        <v>0.69835695072238713</v>
      </c>
      <c r="KW78" s="30">
        <f>IF(OR(NOT(DATA[[#This Row],[Total annual expenditure: Agency staff]]&gt;0),NOT(DATA[[#This Row],[Number of hours of care charged for in last full accounting year]]&gt;0)),0,DATA[[#This Row],[Total annual expenditure: Agency staff]]/DATA[[#This Row],[Number of hours of care charged for in last full accounting year]])</f>
        <v>0.10075520183392954</v>
      </c>
      <c r="KX78" s="30">
        <f>IF(OR(NOT(DATA[[#This Row],[Total annual expenditure: Travel Cost]]&gt;0),NOT(DATA[[#This Row],[Number of hours of care charged for in last full accounting year]]&gt;0)),0,DATA[[#This Row],[Total annual expenditure: Travel Cost]]/DATA[[#This Row],[Number of hours of care charged for in last full accounting year]])</f>
        <v>6.9793775362117894E-2</v>
      </c>
      <c r="KY78"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8"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78"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9.1357237273878511E-2</v>
      </c>
      <c r="LB78"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0.17331743434735586</v>
      </c>
      <c r="LC78" s="30">
        <f>IF(OR(NOT(DATA[[#This Row],[Care consumables &amp; uniforms]]&gt;0),NOT(DATA[[#This Row],[Number of hours of care charged for in last full accounting year]]&gt;0)),0,DATA[[#This Row],[Care consumables &amp; uniforms]]/DATA[[#This Row],[Number of hours of care charged for in last full accounting year]])</f>
        <v>0.14558664485177894</v>
      </c>
      <c r="LD78" s="30">
        <f>IF(OR(NOT(DATA[[#This Row],[Electronic call monitoring]]&gt;0),NOT(DATA[[#This Row],[Number of hours of care charged for in last full accounting year]]&gt;0)),0,DATA[[#This Row],[Electronic call monitoring]]/DATA[[#This Row],[Number of hours of care charged for in last full accounting year]])</f>
        <v>0</v>
      </c>
      <c r="LE78" s="30">
        <f>IF(OR(NOT(DATA[[#This Row],[IT Equipment &amp; Telephoney]]&gt;0),NOT(DATA[[#This Row],[Number of hours of care charged for in last full accounting year]]&gt;0)),0,DATA[[#This Row],[IT Equipment &amp; Telephoney]]/DATA[[#This Row],[Number of hours of care charged for in last full accounting year]])</f>
        <v>5.3152990765647098E-2</v>
      </c>
      <c r="LF78"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0.18480537607572353</v>
      </c>
      <c r="LG78"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3.1739367553127569E-2</v>
      </c>
      <c r="LH78" s="30">
        <f>IF(OR(NOT(DATA[[#This Row],[Insurance ]]&gt;0),NOT(DATA[[#This Row],[Number of hours of care charged for in last full accounting year]]&gt;0)),0,DATA[[#This Row],[Insurance ]]/DATA[[#This Row],[Number of hours of care charged for in last full accounting year]])</f>
        <v>4.058132978379228E-2</v>
      </c>
      <c r="LI78"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6.0083377240416701E-2</v>
      </c>
      <c r="LJ78" s="30">
        <f>IF(OR(NOT(DATA[[#This Row],[Repairs and maintenance]]&gt;0),NOT(DATA[[#This Row],[Number of hours of care charged for in last full accounting year]]&gt;0)),0,DATA[[#This Row],[Repairs and maintenance]]/DATA[[#This Row],[Number of hours of care charged for in last full accounting year]])</f>
        <v>7.8570570237467986E-3</v>
      </c>
      <c r="LK78"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0.32004464657108789</v>
      </c>
      <c r="LL78" s="30">
        <f>IF(OR(NOT(DATA[[#This Row],[Registration &amp; Inspection fees ]]&gt;0),NOT(DATA[[#This Row],[Number of hours of care charged for in last full accounting year]]&gt;0)),0,DATA[[#This Row],[Registration &amp; Inspection fees ]]/DATA[[#This Row],[Number of hours of care charged for in last full accounting year]])</f>
        <v>0.10882486157714244</v>
      </c>
      <c r="LM78" s="30">
        <f>IF(OR(NOT(DATA[[#This Row],[Subscriptions]]&gt;0),NOT(DATA[[#This Row],[Number of hours of care charged for in last full accounting year]]&gt;0)),0,DATA[[#This Row],[Subscriptions]]/DATA[[#This Row],[Number of hours of care charged for in last full accounting year]])</f>
        <v>9.2915800079494931E-2</v>
      </c>
      <c r="LN78" s="30">
        <f>IF(OR(NOT(DATA[[#This Row],[Cost of finance]]&gt;0),NOT(DATA[[#This Row],[Number of hours of care charged for in last full accounting year]]&gt;0)),0,DATA[[#This Row],[Cost of finance]]/DATA[[#This Row],[Number of hours of care charged for in last full accounting year]])</f>
        <v>0</v>
      </c>
      <c r="LO78" s="30">
        <f>IF(OR(NOT(DATA[[#This Row],[Other non-staff current expenses]]&gt;0),NOT(DATA[[#This Row],[Number of hours of care charged for in last full accounting year]]&gt;0)),0,DATA[[#This Row],[Other non-staff current expenses]]/DATA[[#This Row],[Number of hours of care charged for in last full accounting year]])</f>
        <v>0</v>
      </c>
      <c r="LP78"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1.1554495623157059E-2</v>
      </c>
      <c r="LQ78"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8" s="30">
        <f>IF(OR(NOT(DATA[[#This Row],[Central / Regional Management]]&gt;0),NOT(DATA[[#This Row],[Number of hours of care charged for in last full accounting year]]&gt;0)),0,DATA[[#This Row],[Central / Regional Management]]/DATA[[#This Row],[Number of hours of care charged for in last full accounting year]])</f>
        <v>0</v>
      </c>
      <c r="LS78"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78"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8"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8" s="30">
        <f>SUM(DATA[[#This Row],[Management staff HOURLY RATE]:[Corporate Overheads: Other  - please specify (amount) 2 HOURLY RATE]])</f>
        <v>12.170605732878551</v>
      </c>
      <c r="LW78" s="30" t="str">
        <f>IF(OR(NOT(DATA[[#This Row],[Net Operating Profit]]&gt;0),NOT(DATA[[#This Row],[Number of hours of care charged for in last full accounting year]]&gt;0)),"",DATA[[#This Row],[Net Operating Profit]]/DATA[[#This Row],[Number of hours of care charged for in last full accounting year]])</f>
        <v/>
      </c>
      <c r="LX78" s="30">
        <f>IF(OR(NOT(DATA[[#This Row],[Return on Capital employed]]&gt;0),NOT(DATA[[#This Row],[Number of hours of care charged for in last full accounting year]]&gt;0)),0,DATA[[#This Row],[Return on Capital employed]]/DATA[[#This Row],[Number of hours of care charged for in last full accounting year]])</f>
        <v>0</v>
      </c>
      <c r="LY78" s="31">
        <v>73</v>
      </c>
      <c r="LZ78" s="30" t="s">
        <v>345</v>
      </c>
      <c r="MA78" s="30" t="b">
        <f>DATA[[#This Row],[Number of Home support clients:]]&gt;0</f>
        <v>1</v>
      </c>
      <c r="MB78" s="30" t="b">
        <f>DATA[[#This Row],[Number of supported living clients:]]&gt;0</f>
        <v>0</v>
      </c>
      <c r="MC78" s="30" t="b">
        <f>DATA[[#This Row],[Total Home Support Hours]]&gt;0</f>
        <v>1</v>
      </c>
      <c r="MD78" s="30" t="b">
        <f>DATA[[#This Row],[Total Supported Living Hours]]&gt;0</f>
        <v>0</v>
      </c>
      <c r="ME78" s="30" t="b">
        <f>DATA[[#This Row],[Home Support service split percentage (Expenditure):]]&gt;0.5</f>
        <v>1</v>
      </c>
      <c r="MF78" s="30" t="b">
        <f>DATA[[#This Row],[Agency staff HOURLY RATE]]=0</f>
        <v>0</v>
      </c>
      <c r="MG78" s="30">
        <f>IFERROR(IF(AVERAGE(DATA[[#This Row],[Registered manager: Current 2021/22 Minimum hourly pay rate ADJUSTED]],DATA[[#This Row],[Registered manager: Current 2021/22 Maximum hourly pay rate ADJUSTED]])&lt;LIVING_WAGE_22_23,DATA[[#This Row],[Registered manager: Numbers employed (Full Time Equivalent)]],0),"")</f>
        <v>0</v>
      </c>
      <c r="MH78" s="30" t="str">
        <f>IFERROR(IF(AVERAGE(DATA[[#This Row],[Deputy manager: Current 2021/22 Minimum hourly pay rate ADJUSTED]],DATA[[#This Row],[Deputy manager: Current 2021/22 Maximum hourly pay rate ADJUSTED]])&lt;LIVING_WAGE_22_23,DATA[[#This Row],[Deputy manager: Numbers employed (Full Time Equivalent)]],0),"")</f>
        <v/>
      </c>
      <c r="MI78" s="30">
        <f>IFERROR(IF(AVERAGE(DATA[[#This Row],[Other manager 1: Current 2021/22 Minimum hourly pay rate ADJUSTED]],DATA[[#This Row],[Other manager 1: Current 2021/22 Maximum hourly pay rate ADJUSTED]])&lt;LIVING_WAGE_22_23,DATA[[#This Row],[Other manager 1: Numbers employed (Full Time Equivalent)]],0),"")</f>
        <v>0</v>
      </c>
      <c r="MJ78" s="30">
        <f>IFERROR(IF(AVERAGE(DATA[[#This Row],[Other manager 2: Current 2021/22 Minimum hourly pay rate ADJUSTED]],DATA[[#This Row],[Other manager 2: Current 2021/22 Maximum hourly pay rate ADJUSTED]])&lt;LIVING_WAGE_22_23,DATA[[#This Row],[Other manager 2: Numbers employed (Full Time Equivalent)]],0),"")</f>
        <v>0</v>
      </c>
      <c r="MK78" s="30" t="str">
        <f>IFERROR(IF(AVERAGE(DATA[[#This Row],[Other manager 3: Current 2021/22 Minimum hourly pay rate ADJUSTED]],DATA[[#This Row],[Other manager 3: Current 2021/22 Maximum hourly pay rate ADJUSTED]])&lt;LIVING_WAGE_22_23,DATA[[#This Row],[Other manager 3: Numbers employed (Full Time Equivalent)]],0),"")</f>
        <v/>
      </c>
      <c r="ML78" s="30">
        <f>IFERROR(IF(AVERAGE(DATA[[#This Row],[Care Assistant 1: Current 2021/22 Minimum hourly pay rate ADJUSTED]],DATA[[#This Row],[Care Assistant 1: Current 2021/22 Maximum hourly pay rate ADJUSTED]])&lt;LIVING_WAGE_22_23,DATA[[#This Row],[Care Assistant 1: Numbers employed (Full Time Equivalent)]],0),"")</f>
        <v>0</v>
      </c>
      <c r="MM78" s="30">
        <f>IFERROR(IF(AVERAGE(DATA[[#This Row],[Care Assistant 2: Current 2021/22 Minimum hourly pay rate ADJUSTED]],DATA[[#This Row],[Care Assistant 2: Current 2021/22 Maximum hourly pay rate ADJUSTED]])&lt;LIVING_WAGE_22_23,DATA[[#This Row],[Care Assistant 2: Numbers employed (Full Time Equivalent)]],0),"")</f>
        <v>0</v>
      </c>
      <c r="MN78" s="30" t="str">
        <f>IFERROR(IF(AVERAGE(DATA[[#This Row],[Care Assistant 3: Current 2021/22 Minimum hourly pay rate ADJUSTED]],DATA[[#This Row],[Care Assistant 3: Current 2021/22 Maximum hourly pay rate ADJUSTED]])&lt;LIVING_WAGE_22_23,DATA[[#This Row],[Care Assistant 3: Numbers employed (Full Time Equivalent)]],0),"")</f>
        <v/>
      </c>
      <c r="MO78" s="30" t="str">
        <f>IFERROR(IF(AVERAGE(DATA[[#This Row],[Care Assistant 4: Current 2021/22 Minimum hourly pay rate ADJUSTED]],DATA[[#This Row],[Care Assistant 4: Current 2021/22 Maximum hourly pay rate ADJUSTED]])&lt;LIVING_WAGE_22_23,DATA[[#This Row],[Care Assistant 4: Numbers employed (Full Time Equivalent)]],0),"")</f>
        <v/>
      </c>
      <c r="MP78"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78"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78" s="30" t="str">
        <f>IFERROR(IF(AVERAGE(DATA[[#This Row],[Other staff 1: Current 2021/22 Minimum hourly pay rate ADJUSTED]],DATA[[#This Row],[Other staff 1: Current 2021/22 Maximum hourly pay rate ADJUSTED]])&lt;LIVING_WAGE_22_23,DATA[[#This Row],[Other staff 1: Numbers employed (Full Time Equivalent)]],0),"")</f>
        <v/>
      </c>
      <c r="MS78" s="30" t="str">
        <f>IFERROR(IF(AVERAGE(DATA[[#This Row],[Other staff 2: Current 2021/22 Minimum hourly pay rate ADJUSTED]],DATA[[#This Row],[Other staff 2: Current 2021/22 Maximum hourly pay rate ADJUSTED]])&lt;LIVING_WAGE_22_23,DATA[[#This Row],[Other staff 2: Numbers employed (Full Time Equivalent)]],0),"")</f>
        <v/>
      </c>
      <c r="MT78" s="30" t="str">
        <f>IFERROR(IF(AVERAGE(DATA[[#This Row],[Other staff 3: Current 2021/22 Minimum hourly pay rate ADJUSTED]],DATA[[#This Row],[Other staff 3: Current 2021/22 Maximum hourly pay rate ADJUSTED]])&lt;LIVING_WAGE_22_23,DATA[[#This Row],[Other staff 3: Numbers employed (Full Time Equivalent)]],0),"")</f>
        <v/>
      </c>
      <c r="MU78" s="30">
        <f>SUM(DATA[[#This Row],[Registered Manager FTE earning less than NLW 23yrs 2022/23]:[Other staff 3 FTE earning less than NLW 23yrs 2022/23]])</f>
        <v>0</v>
      </c>
      <c r="MV78"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78"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78"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78"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78"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78"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78"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78"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78"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78"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78"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78"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78"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8"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8" s="30" t="b">
        <v>1</v>
      </c>
      <c r="NK78" s="30" t="b">
        <v>1</v>
      </c>
      <c r="NL78" s="30" t="s">
        <v>505</v>
      </c>
      <c r="NM78" s="30">
        <f>SUM(DATA[[#This Row],[Management staff HOURLY RATE]:[Training and development HOURLY RATE]])</f>
        <v>10.8487851141122</v>
      </c>
      <c r="NN78" s="30">
        <f>SUM(DATA[[#This Row],[Recruitment &amp; advertising (including DBS checks) HOURLY RATE]:[Non-Staffing Direct Cost: Other  - please specify (amount) 2 HOURLY RATE]])</f>
        <v>0.67995905086751152</v>
      </c>
      <c r="NO78" s="30">
        <f>SUM(DATA[[#This Row],[Insurance  HOURLY RATE]:[Indirect costs: Other  - please specify (amount) 2 HOURLY RATE]])</f>
        <v>0.64186156789883808</v>
      </c>
      <c r="NP78" s="30">
        <f>SUM(DATA[[#This Row],[Central / Regional Management HOURLY RATE]:[Corporate Overheads: Other  - please specify (amount) 2 HOURLY RATE]])</f>
        <v>0</v>
      </c>
      <c r="NQ78"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78" s="30" t="str">
        <f>IFERROR(IF(AVERAGE(DATA[[#This Row],[Deputy manager: Current 2021/22 Minimum hourly pay rate ADJUSTED]],DATA[[#This Row],[Deputy manager: Current 2021/22 Maximum hourly pay rate ADJUSTED]])&lt;REAL_LIVING_WAGE_22_23,DATA[[#This Row],[Deputy manager: Numbers employed (Full Time Equivalent)]],0),"")</f>
        <v/>
      </c>
      <c r="NS78" s="30">
        <f>IFERROR(IF(AVERAGE(DATA[[#This Row],[Other manager 1: Current 2021/22 Minimum hourly pay rate ADJUSTED]],DATA[[#This Row],[Other manager 1: Current 2021/22 Maximum hourly pay rate ADJUSTED]])&lt;REAL_LIVING_WAGE_22_23,DATA[[#This Row],[Other manager 1: Numbers employed (Full Time Equivalent)]],0),"")</f>
        <v>0</v>
      </c>
      <c r="NT78" s="30">
        <f>IFERROR(IF(AVERAGE(DATA[[#This Row],[Other manager 2: Current 2021/22 Minimum hourly pay rate ADJUSTED]],DATA[[#This Row],[Other manager 2: Current 2021/22 Maximum hourly pay rate ADJUSTED]])&lt;REAL_LIVING_WAGE_22_23,DATA[[#This Row],[Other manager 2: Numbers employed (Full Time Equivalent)]],0),"")</f>
        <v>0</v>
      </c>
      <c r="NU78" s="30" t="str">
        <f>IFERROR(IF(AVERAGE(DATA[[#This Row],[Other manager 3: Current 2021/22 Minimum hourly pay rate ADJUSTED]],DATA[[#This Row],[Other manager 3: Current 2021/22 Maximum hourly pay rate ADJUSTED]])&lt;REAL_LIVING_WAGE_22_23,DATA[[#This Row],[Other manager 3: Numbers employed (Full Time Equivalent)]],0),"")</f>
        <v/>
      </c>
      <c r="NV78" s="30">
        <f>IFERROR(IF(AVERAGE(DATA[[#This Row],[Care Assistant 1: Current 2021/22 Minimum hourly pay rate ADJUSTED]],DATA[[#This Row],[Care Assistant 1: Current 2021/22 Maximum hourly pay rate ADJUSTED]])&lt;REAL_LIVING_WAGE_22_23,DATA[[#This Row],[Care Assistant 1: Numbers employed (Full Time Equivalent)]],0),"")</f>
        <v>52</v>
      </c>
      <c r="NW78" s="30">
        <f>IFERROR(IF(AVERAGE(DATA[[#This Row],[Care Assistant 2: Current 2021/22 Minimum hourly pay rate ADJUSTED]],DATA[[#This Row],[Care Assistant 2: Current 2021/22 Maximum hourly pay rate ADJUSTED]])&lt;REAL_LIVING_WAGE_22_23,DATA[[#This Row],[Care Assistant 2: Numbers employed (Full Time Equivalent)]],0),"")</f>
        <v>0</v>
      </c>
      <c r="NX78"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78"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78"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78"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78" s="30" t="str">
        <f>IFERROR(IF(AVERAGE(DATA[[#This Row],[Other staff 1: Current 2021/22 Minimum hourly pay rate ADJUSTED]],DATA[[#This Row],[Other staff 1: Current 2021/22 Maximum hourly pay rate ADJUSTED]])&lt;REAL_LIVING_WAGE_22_23,DATA[[#This Row],[Other staff 1: Numbers employed (Full Time Equivalent)]],0),"")</f>
        <v/>
      </c>
      <c r="OC78" s="30" t="str">
        <f>IFERROR(IF(AVERAGE(DATA[[#This Row],[Other staff 2: Current 2021/22 Minimum hourly pay rate ADJUSTED]],DATA[[#This Row],[Other staff 2: Current 2021/22 Maximum hourly pay rate ADJUSTED]])&lt;REAL_LIVING_WAGE_22_23,DATA[[#This Row],[Other staff 2: Numbers employed (Full Time Equivalent)]],0),"")</f>
        <v/>
      </c>
      <c r="OD78" s="30" t="str">
        <f>IFERROR(IF(AVERAGE(DATA[[#This Row],[Other staff 3: Current 2021/22 Minimum hourly pay rate ADJUSTED]],DATA[[#This Row],[Other staff 3: Current 2021/22 Maximum hourly pay rate ADJUSTED]])&lt;REAL_LIVING_WAGE_22_23,DATA[[#This Row],[Other staff 3: Numbers employed (Full Time Equivalent)]],0),"")</f>
        <v/>
      </c>
      <c r="OE78" s="30">
        <f>SUM(DATA[[#This Row],[Registered Manager FTE earning less than RLW 23yrs 2022/23]:[Other staff 3 FTE earning less than RLW 23yrs 2022/23]])</f>
        <v>52</v>
      </c>
      <c r="OF78"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78"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78"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78"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78"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78"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15.600000000000037</v>
      </c>
      <c r="OL78"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78"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78"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78"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78"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78"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78"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8"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8" s="30">
        <f>IFERROR(IF(DATA[[#This Row],[Registered manager: Numbers employed (Full Time Equivalent)]]=0,"",DATA[[#This Row],[Registered manager: Current 2021/22 Minimum hourly pay rate ADJUSTED 2]]*DATA[[#This Row],[Registered manager: Numbers employed (Full Time Equivalent)]]),"")</f>
        <v>19.5</v>
      </c>
      <c r="OU78" s="30">
        <f>IFERROR(IF(DATA[[#This Row],[Registered manager: Numbers employed (Full Time Equivalent)]]=0,"",DATA[[#This Row],[Registered manager: Current 2021/22 Maximum hourly pay rate ADJUSTED 2]]*DATA[[#This Row],[Registered manager: Numbers employed (Full Time Equivalent)]]),"")</f>
        <v>19.5</v>
      </c>
      <c r="OV78" s="30">
        <f>IFERROR(IF(DATA[[#This Row],[Registered manager: Numbers employed (Full Time Equivalent)]]=0,"",DATA[[#This Row],[Registered manager: Previous 2020/21 Minimum hourly pay rate ADJUSTED 2]]*DATA[[#This Row],[Registered manager: Numbers employed (Full Time Equivalent)]]),"")</f>
        <v>19.5</v>
      </c>
      <c r="OW78" s="30">
        <f>IFERROR(IF(DATA[[#This Row],[Registered manager: Numbers employed (Full Time Equivalent)]]=0,"",DATA[[#This Row],[Registered manager: Previous 2020/21 Maximum hourly pay rate ADJUSTED 2]]*DATA[[#This Row],[Registered manager: Numbers employed (Full Time Equivalent)]]),"")</f>
        <v>19.5</v>
      </c>
      <c r="OX78" s="30" t="str">
        <f>IFERROR(IF(DATA[[#This Row],[Deputy manager: Numbers employed (Full Time Equivalent)]]=0,"",DATA[[#This Row],[Deputy manager: Current 2021/22 Minimum hourly pay rate ADJUSTED 2]]*DATA[[#This Row],[Deputy manager: Numbers employed (Full Time Equivalent)]]),"")</f>
        <v/>
      </c>
      <c r="OY78" s="30" t="str">
        <f>IFERROR(IF(DATA[[#This Row],[Deputy manager: Numbers employed (Full Time Equivalent)]]=0,"",DATA[[#This Row],[Deputy manager: Current 2021/22 Maximum hourly pay rate ADJUSTED 2]]*DATA[[#This Row],[Deputy manager: Numbers employed (Full Time Equivalent)]]),"")</f>
        <v/>
      </c>
      <c r="OZ78" s="30" t="str">
        <f>IFERROR(IF(DATA[[#This Row],[Deputy manager: Numbers employed (Full Time Equivalent)]]=0,"",DATA[[#This Row],[Deputy manager: Previous 2020/21 Minimum hourly pay rate ADJUSTED 2]]*DATA[[#This Row],[Deputy manager: Numbers employed (Full Time Equivalent)]]),"")</f>
        <v/>
      </c>
      <c r="PA78" s="30" t="str">
        <f>IFERROR(IF(DATA[[#This Row],[Deputy manager: Numbers employed (Full Time Equivalent)]]=0,"",DATA[[#This Row],[Deputy manager: Previous 2020/21 Maximum hourly pay rate ADJUSTED 2]]*DATA[[#This Row],[Deputy manager: Numbers employed (Full Time Equivalent)]]),"")</f>
        <v/>
      </c>
      <c r="PB78" s="30">
        <f>IFERROR(IF(DATA[[#This Row],[Other manager 1: Numbers employed (Full Time Equivalent)]]=0,"",DATA[[#This Row],[Other manager 1: Current 2021/22 Minimum hourly pay rate ADJUSTED 2]]*DATA[[#This Row],[Other manager 1: Numbers employed (Full Time Equivalent)]]),"")</f>
        <v>12.5</v>
      </c>
      <c r="PC78" s="30">
        <f>IFERROR(IF(DATA[[#This Row],[Other manager 1: Numbers employed (Full Time Equivalent)]]=0,"",DATA[[#This Row],[Other manager 1: Current 2021/22 Maximum hourly pay rate ADJUSTED 2]]*DATA[[#This Row],[Other manager 1: Numbers employed (Full Time Equivalent)]]),"")</f>
        <v>12.5</v>
      </c>
      <c r="PD78" s="30">
        <f>IFERROR(IF(DATA[[#This Row],[Other manager 1: Numbers employed (Full Time Equivalent)]]=0,"",DATA[[#This Row],[Other manager 1: Previous 2020/21 Minimum hourly pay rate ADJUSTED 2]]*DATA[[#This Row],[Other manager 1: Numbers employed (Full Time Equivalent)]]),"")</f>
        <v>12.5</v>
      </c>
      <c r="PE78" s="30">
        <f>IFERROR(IF(DATA[[#This Row],[Other manager 1: Numbers employed (Full Time Equivalent)]]=0,"",DATA[[#This Row],[Other manager 1: Previous 2020/21 Maximum hourly pay rate ADJUSTED 2]]*DATA[[#This Row],[Other manager 1: Numbers employed (Full Time Equivalent)]]),"")</f>
        <v>12.5</v>
      </c>
      <c r="PF78" s="30">
        <f>IFERROR(IF(DATA[[#This Row],[Other manager 2: Numbers employed (Full Time Equivalent)]]=0,"",DATA[[#This Row],[Other manager 2: Current 2021/22 Minimum hourly pay rate ADJUSTED 2]]*DATA[[#This Row],[Other manager 2: Numbers employed (Full Time Equivalent)]]),"")</f>
        <v>10.5</v>
      </c>
      <c r="PG78" s="30">
        <f>IFERROR(IF(DATA[[#This Row],[Other manager 2: Numbers employed (Full Time Equivalent)]]=0,"",DATA[[#This Row],[Other manager 2: Current 2021/22 Maximum hourly pay rate ADJUSTED 2]]*DATA[[#This Row],[Other manager 2: Numbers employed (Full Time Equivalent)]]),"")</f>
        <v>10.5</v>
      </c>
      <c r="PH78" s="30">
        <f>IFERROR(IF(DATA[[#This Row],[Other manager 2: Numbers employed (Full Time Equivalent)]]=0,"",DATA[[#This Row],[Other manager 2: Previous 2020/21 Minimum hourly pay rate ADJUSTED 2]]*DATA[[#This Row],[Other manager 2: Numbers employed (Full Time Equivalent)]]),"")</f>
        <v>9.6</v>
      </c>
      <c r="PI78" s="30">
        <f>IFERROR(IF(DATA[[#This Row],[Other manager 2: Numbers employed (Full Time Equivalent)]]=0,"",DATA[[#This Row],[Other manager 2: Previous 2020/21 Maximum hourly pay rate ADJUSTED 2]]*DATA[[#This Row],[Other manager 2: Numbers employed (Full Time Equivalent)]]),"")</f>
        <v>9.6</v>
      </c>
      <c r="PJ78" s="30" t="str">
        <f>IFERROR(IF(DATA[[#This Row],[Other manager 3: Numbers employed (Full Time Equivalent)]]=0,"",DATA[[#This Row],[Other manager 3: Current 2021/22 Minimum hourly pay rate ADJUSTED 2]]*DATA[[#This Row],[Other manager 3: Numbers employed (Full Time Equivalent)]]),"")</f>
        <v/>
      </c>
      <c r="PK78" s="30" t="str">
        <f>IFERROR(IF(DATA[[#This Row],[Other manager 3: Numbers employed (Full Time Equivalent)]]=0,"",DATA[[#This Row],[Other manager 3: Current 2021/22 Maximum hourly pay rate ADJUSTED 2]]*DATA[[#This Row],[Other manager 3: Numbers employed (Full Time Equivalent)]]),"")</f>
        <v/>
      </c>
      <c r="PL78" s="30" t="str">
        <f>IFERROR(IF(DATA[[#This Row],[Other manager 3: Numbers employed (Full Time Equivalent)]]=0,"",DATA[[#This Row],[Other manager 3: Previous 2020/21 Minimum hourly pay rate ADJUSTED 2]]*DATA[[#This Row],[Other manager 3: Numbers employed (Full Time Equivalent)]]),"")</f>
        <v/>
      </c>
      <c r="PM78" s="30" t="str">
        <f>IFERROR(IF(DATA[[#This Row],[Other manager 3: Numbers employed (Full Time Equivalent)]]=0,"",DATA[[#This Row],[Other manager 3: Previous 2020/21 Maximum hourly pay rate ADJUSTED 2]]*DATA[[#This Row],[Other manager 3: Numbers employed (Full Time Equivalent)]]),"")</f>
        <v/>
      </c>
      <c r="PN78" s="30">
        <f>IFERROR(IF(DATA[[#This Row],[Care Assistant 1: Numbers employed (Full Time Equivalent)]]=0,"",DATA[[#This Row],[Care Assistant 1: Current 2021/22 Minimum hourly pay rate ADJUSTED 2]]*DATA[[#This Row],[Care Assistant 1: Numbers employed (Full Time Equivalent)]]),"")</f>
        <v>473.2</v>
      </c>
      <c r="PO78" s="30">
        <f>IFERROR(IF(DATA[[#This Row],[Care Assistant 1: Numbers employed (Full Time Equivalent)]]=0,"",DATA[[#This Row],[Care Assistant 1: Current 2021/22 Maximum hourly pay rate ADJUSTED 2]]*DATA[[#This Row],[Care Assistant 1: Numbers employed (Full Time Equivalent)]]),"")</f>
        <v>525.19999999999993</v>
      </c>
      <c r="PP78" s="30">
        <f>IFERROR(IF(DATA[[#This Row],[Care Assistant 1: Numbers employed (Full Time Equivalent)]]=0,"",DATA[[#This Row],[Care Assistant 1: Previous 2020/21 Minimum hourly pay rate ADJUSTED 2]]*DATA[[#This Row],[Care Assistant 1: Numbers employed (Full Time Equivalent)]]),"")</f>
        <v>463.32</v>
      </c>
      <c r="PQ78" s="30">
        <f>IFERROR(IF(DATA[[#This Row],[Care Assistant 1: Numbers employed (Full Time Equivalent)]]=0,"",DATA[[#This Row],[Care Assistant 1: Previous 2020/21 Maximum hourly pay rate ADJUSTED 2]]*DATA[[#This Row],[Care Assistant 1: Numbers employed (Full Time Equivalent)]]),"")</f>
        <v>515.32000000000005</v>
      </c>
      <c r="PR78" s="30">
        <f>IFERROR(IF(DATA[[#This Row],[Care Assistant 2: Numbers employed (Full Time Equivalent)]]=0,"",DATA[[#This Row],[Care Assistant 2: Current 2021/22 Minimum hourly pay rate ADJUSTED 2]]*DATA[[#This Row],[Care Assistant 2: Numbers employed (Full Time Equivalent)]]),"")</f>
        <v>300.8</v>
      </c>
      <c r="PS78" s="30">
        <f>IFERROR(IF(DATA[[#This Row],[Care Assistant 2: Numbers employed (Full Time Equivalent)]]=0,"",DATA[[#This Row],[Care Assistant 2: Current 2021/22 Maximum hourly pay rate ADJUSTED 2]]*DATA[[#This Row],[Care Assistant 2: Numbers employed (Full Time Equivalent)]]),"")</f>
        <v>332.8</v>
      </c>
      <c r="PT78" s="30">
        <f>IFERROR(IF(DATA[[#This Row],[Care Assistant 2: Numbers employed (Full Time Equivalent)]]=0,"",DATA[[#This Row],[Care Assistant 2: Previous 2020/21 Minimum hourly pay rate ADJUSTED 2]]*DATA[[#This Row],[Care Assistant 2: Numbers employed (Full Time Equivalent)]]),"")</f>
        <v>291.2</v>
      </c>
      <c r="PU78" s="30">
        <f>IFERROR(IF(DATA[[#This Row],[Care Assistant 2: Numbers employed (Full Time Equivalent)]]=0,"",DATA[[#This Row],[Care Assistant 2: Previous 2020/21 Maximum hourly pay rate ADJUSTED 2]]*DATA[[#This Row],[Care Assistant 2: Numbers employed (Full Time Equivalent)]]),"")</f>
        <v>323.2</v>
      </c>
      <c r="PV78" s="30" t="str">
        <f>IFERROR(IF(DATA[[#This Row],[Care Assistant 3: Numbers employed (Full Time Equivalent)]]=0,"",DATA[[#This Row],[Care Assistant 3: Current 2021/22 Minimum hourly pay rate ADJUSTED 2]]*DATA[[#This Row],[Care Assistant 3: Numbers employed (Full Time Equivalent)]]),"")</f>
        <v/>
      </c>
      <c r="PW78" s="30" t="str">
        <f>IFERROR(IF(DATA[[#This Row],[Care Assistant 3: Numbers employed (Full Time Equivalent)]]=0,"",DATA[[#This Row],[Care Assistant 3: Current 2021/22 Maximum hourly pay rate ADJUSTED 2]]*DATA[[#This Row],[Care Assistant 3: Numbers employed (Full Time Equivalent)]]),"")</f>
        <v/>
      </c>
      <c r="PX78" s="30" t="str">
        <f>IFERROR(IF(DATA[[#This Row],[Care Assistant 3: Numbers employed (Full Time Equivalent)]]=0,"",DATA[[#This Row],[Care Assistant 3: Previous 2020/21 Minimum hourly pay rate ADJUSTED 2]]*DATA[[#This Row],[Care Assistant 3: Numbers employed (Full Time Equivalent)]]),"")</f>
        <v/>
      </c>
      <c r="PY78" s="30" t="str">
        <f>IFERROR(IF(DATA[[#This Row],[Care Assistant 3: Numbers employed (Full Time Equivalent)]]=0,"",DATA[[#This Row],[Care Assistant 3: Previous 2020/21 Maximum hourly pay rate ADJUSTED 2]]*DATA[[#This Row],[Care Assistant 3: Numbers employed (Full Time Equivalent)]]),"")</f>
        <v/>
      </c>
      <c r="PZ78" s="30" t="str">
        <f>IFERROR(IF(DATA[[#This Row],[Care Assistant 4: Numbers employed (Full Time Equivalent)]]=0,"",DATA[[#This Row],[Care Assistant 4: Current 2021/22 Minimum hourly pay rate ADJUSTED 2]]*DATA[[#This Row],[Care Assistant 4: Numbers employed (Full Time Equivalent)]]),"")</f>
        <v/>
      </c>
      <c r="QA78" s="30" t="str">
        <f>IFERROR(IF(DATA[[#This Row],[Care Assistant 4: Numbers employed (Full Time Equivalent)]]=0,"",DATA[[#This Row],[Care Assistant 4: Current 2021/22 Maximum hourly pay rate ADJUSTED 2]]*DATA[[#This Row],[Care Assistant 4: Numbers employed (Full Time Equivalent)]]),"")</f>
        <v/>
      </c>
      <c r="QB78" s="30" t="str">
        <f>IFERROR(IF(DATA[[#This Row],[Care Assistant 4: Numbers employed (Full Time Equivalent)]]=0,"",DATA[[#This Row],[Care Assistant 4: Previous 2020/21 Minimum hourly pay rate ADJUSTED 2]]*DATA[[#This Row],[Care Assistant 4: Numbers employed (Full Time Equivalent)]]),"")</f>
        <v/>
      </c>
      <c r="QC78" s="30" t="str">
        <f>IFERROR(IF(DATA[[#This Row],[Care Assistant 4: Numbers employed (Full Time Equivalent)]]=0,"",DATA[[#This Row],[Care Assistant 4: Previous 2020/21 Maximum hourly pay rate ADJUSTED 2]]*DATA[[#This Row],[Care Assistant 4: Numbers employed (Full Time Equivalent)]]),"")</f>
        <v/>
      </c>
      <c r="QD78" s="30">
        <f>IFERROR(IF(DATA[[#This Row],[Administrative Officer 1: Numbers employed (Full Time Equivalent)]]=0,"",DATA[[#This Row],[Administrative Officer 1: Current 2021/22 Minimum hourly pay rate ADJUSTED 2]]*DATA[[#This Row],[Administrative Officer 1: Numbers employed (Full Time Equivalent)]]),"")</f>
        <v>10.25</v>
      </c>
      <c r="QE78" s="30">
        <f>IFERROR(IF(DATA[[#This Row],[Administrative Officer 1: Numbers employed (Full Time Equivalent)]]=0,"",DATA[[#This Row],[Administrative Officer 1: Current 2021/22 Maximum hourly pay rate ADJUSTED 2]]*DATA[[#This Row],[Administrative Officer 1: Numbers employed (Full Time Equivalent)]]),"")</f>
        <v>10.25</v>
      </c>
      <c r="QF78" s="30">
        <f>IFERROR(IF(DATA[[#This Row],[Administrative Officer 1: Numbers employed (Full Time Equivalent)]]=0,"",DATA[[#This Row],[Administrative Officer 1: Previous 2020/21 Minimum hourly pay rate ADJUSTED 2]]*DATA[[#This Row],[Administrative Officer 1: Numbers employed (Full Time Equivalent)]]),"")</f>
        <v>9.75</v>
      </c>
      <c r="QG78" s="30">
        <f>IFERROR(IF(DATA[[#This Row],[Administrative Officer 1: Numbers employed (Full Time Equivalent)]]=0,"",DATA[[#This Row],[Administrative Officer 1: Previous 2020/21 Maximum hourly pay rate ADJUSTED 2]]*DATA[[#This Row],[Administrative Officer 1: Numbers employed (Full Time Equivalent)]]),"")</f>
        <v>9.75</v>
      </c>
      <c r="QH78" s="30" t="str">
        <f>IFERROR(IF(DATA[[#This Row],[Administrative Officer 2: Numbers employed (Full Time Equivalent)]]=0,"",DATA[[#This Row],[Administrative Officer 2: Current 2021/22 Minimum hourly pay rate ADJUSTED 2]]*DATA[[#This Row],[Administrative Officer 2: Numbers employed (Full Time Equivalent)]]),"")</f>
        <v/>
      </c>
      <c r="QI78" s="30" t="str">
        <f>IFERROR(IF(DATA[[#This Row],[Administrative Officer 2: Numbers employed (Full Time Equivalent)]]=0,"",DATA[[#This Row],[Administrative Officer 2: Current 2021/22 Maximum hourly pay rate ADJUSTED 2]]*DATA[[#This Row],[Administrative Officer 2: Numbers employed (Full Time Equivalent)]]),"")</f>
        <v/>
      </c>
      <c r="QJ78" s="30" t="str">
        <f>IFERROR(IF(DATA[[#This Row],[Administrative Officer 2: Numbers employed (Full Time Equivalent)]]=0,"",DATA[[#This Row],[Administrative Officer 2: Previous 2020/21 Minimum hourly pay rate ADJUSTED 2]]*DATA[[#This Row],[Administrative Officer 2: Numbers employed (Full Time Equivalent)]]),"")</f>
        <v/>
      </c>
      <c r="QK78" s="30" t="str">
        <f>IFERROR(IF(DATA[[#This Row],[Administrative Officer 2: Numbers employed (Full Time Equivalent)]]=0,"",DATA[[#This Row],[Administrative Officer 2: Previous 2020/21 Maximum hourly pay rate ADJUSTED 2]]*DATA[[#This Row],[Administrative Officer 2: Numbers employed (Full Time Equivalent)]]),"")</f>
        <v/>
      </c>
      <c r="QL78" s="30" t="str">
        <f>IFERROR(IF(DATA[[#This Row],[Administrative Officer 3: Numbers employed (Full Time Equivalent)]]=0,"",DATA[[#This Row],[Administrative Officer 3: Current 2021/22 Minimum hourly pay rate ADJUSTED 2]]*DATA[[#This Row],[Administrative Officer 3: Numbers employed (Full Time Equivalent)]]),"")</f>
        <v/>
      </c>
      <c r="QM78" s="30" t="str">
        <f>IFERROR(IF(DATA[[#This Row],[Administrative Officer 3: Numbers employed (Full Time Equivalent)]]=0,"",DATA[[#This Row],[Administrative Officer 3: Current 2021/22 Maximum hourly pay rate ADJUSTED 2]]*DATA[[#This Row],[Administrative Officer 3: Numbers employed (Full Time Equivalent)]]),"")</f>
        <v/>
      </c>
      <c r="QN78" s="30" t="str">
        <f>IFERROR(IF(DATA[[#This Row],[Administrative Officer 3: Numbers employed (Full Time Equivalent)]]=0,"",DATA[[#This Row],[Administrative Officer 3: Previous 2020/21 Minimum hourly pay rate ADJUSTED 2]]*DATA[[#This Row],[Administrative Officer 3: Numbers employed (Full Time Equivalent)]]),"")</f>
        <v/>
      </c>
      <c r="QO78" s="30" t="str">
        <f>IFERROR(IF(DATA[[#This Row],[Administrative Officer 3: Numbers employed (Full Time Equivalent)]]=0,"",DATA[[#This Row],[Administrative Officer 3: Previous 2020/21 Maximum hourly pay rate ADJUSTED 2]]*DATA[[#This Row],[Administrative Officer 3: Numbers employed (Full Time Equivalent)]]),"")</f>
        <v/>
      </c>
      <c r="QP78" s="28" t="str">
        <f>IFERROR(IF(DATA[[#This Row],[Other staff 1: Numbers employed (Full Time Equivalent)]]=0,"",DATA[[#This Row],[Other staff 1: Current 2021/22 Minimum hourly pay rate ADJUSTED 2]]*DATA[[#This Row],[Other staff 1: Numbers employed (Full Time Equivalent)]]),"")</f>
        <v/>
      </c>
      <c r="QQ78" s="28" t="str">
        <f>IFERROR(IF(DATA[[#This Row],[Other staff 1: Numbers employed (Full Time Equivalent)]]=0,"",DATA[[#This Row],[Other staff 1: Current 2021/22 Maximum hourly pay rate ADJUSTED 2]]*DATA[[#This Row],[Other staff 1: Numbers employed (Full Time Equivalent)]]),"")</f>
        <v/>
      </c>
      <c r="QR78" s="28" t="str">
        <f>IFERROR(IF(DATA[[#This Row],[Other staff 1: Numbers employed (Full Time Equivalent)]]=0,"",DATA[[#This Row],[Other staff 1: Previous 2020/21 Minimum hourly pay rate ADJUSTED 2]]*DATA[[#This Row],[Other staff 1: Numbers employed (Full Time Equivalent)]]),"")</f>
        <v/>
      </c>
      <c r="QS78" s="28" t="str">
        <f>IFERROR(IF(DATA[[#This Row],[Other staff 1: Numbers employed (Full Time Equivalent)]]=0,"",DATA[[#This Row],[Other staff 1: Previous 2020/21 Maximum hourly pay rate ADJUSTED 2]]*DATA[[#This Row],[Other staff 1: Numbers employed (Full Time Equivalent)]]),"")</f>
        <v/>
      </c>
      <c r="QT78" s="28" t="str">
        <f>IFERROR(IF(DATA[[#This Row],[Other staff 2: Numbers employed (Full Time Equivalent)]]=0,"",DATA[[#This Row],[Other staff 2: Current 2021/22 Minimum hourly pay rate ADJUSTED 2]]*DATA[[#This Row],[Other staff 2: Numbers employed (Full Time Equivalent)]]),"")</f>
        <v/>
      </c>
      <c r="QU78" s="28" t="str">
        <f>IFERROR(IF(DATA[[#This Row],[Other staff 2: Numbers employed (Full Time Equivalent)]]=0,"",DATA[[#This Row],[Other staff 2: Current 2021/22 Maximum hourly pay rate ADJUSTED 2]]*DATA[[#This Row],[Other staff 2: Numbers employed (Full Time Equivalent)]]),"")</f>
        <v/>
      </c>
      <c r="QV78" s="28" t="str">
        <f>IFERROR(IF(DATA[[#This Row],[Other staff 2: Numbers employed (Full Time Equivalent)]]=0,"",DATA[[#This Row],[Other staff 2: Previous 2020/21 Minimum hourly pay rate ADJUSTED 2]]*DATA[[#This Row],[Other staff 2: Numbers employed (Full Time Equivalent)]]),"")</f>
        <v/>
      </c>
      <c r="QW78" s="28" t="str">
        <f>IFERROR(IF(DATA[[#This Row],[Other staff 2: Numbers employed (Full Time Equivalent)]]=0,"",DATA[[#This Row],[Other staff 2: Previous 2020/21 Maximum hourly pay rate ADJUSTED 2]]*DATA[[#This Row],[Other staff 2: Numbers employed (Full Time Equivalent)]]),"")</f>
        <v/>
      </c>
      <c r="QX78" s="28" t="str">
        <f>IFERROR(IF(DATA[[#This Row],[Other staff 3: Numbers employed (Full Time Equivalent)]]=0,"",DATA[[#This Row],[Other staff 3: Current 2021/22 Minimum hourly pay rate ADJUSTED 2]]*DATA[[#This Row],[Other staff 3: Numbers employed (Full Time Equivalent)]]),"")</f>
        <v/>
      </c>
      <c r="QY78" s="28" t="str">
        <f>IFERROR(IF(DATA[[#This Row],[Other staff 3: Numbers employed (Full Time Equivalent)]]=0,"",DATA[[#This Row],[Other staff 3: Current 2021/22 Maximum hourly pay rate ADJUSTED 2]]*DATA[[#This Row],[Other staff 3: Numbers employed (Full Time Equivalent)]]),"")</f>
        <v/>
      </c>
      <c r="QZ78" s="28" t="str">
        <f>IFERROR(IF(DATA[[#This Row],[Other staff 3: Numbers employed (Full Time Equivalent)]]=0,"",DATA[[#This Row],[Other staff 3: Previous 2020/21 Minimum hourly pay rate ADJUSTED 2]]*DATA[[#This Row],[Other staff 3: Numbers employed (Full Time Equivalent)]]),"")</f>
        <v/>
      </c>
      <c r="RA78" s="28" t="str">
        <f>IFERROR(IF(DATA[[#This Row],[Other staff 3: Numbers employed (Full Time Equivalent)]]=0,"",DATA[[#This Row],[Other staff 3: Previous 2020/21 Maximum hourly pay rate ADJUSTED 2]]*DATA[[#This Row],[Other staff 3: Numbers employed (Full Time Equivalent)]]),"")</f>
        <v/>
      </c>
      <c r="RB78"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78"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78"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78"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78"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8"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52</v>
      </c>
      <c r="RH78"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32</v>
      </c>
      <c r="RI78"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8"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8"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78"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8"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8"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8"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8"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79" spans="7:484" x14ac:dyDescent="0.25">
      <c r="G79" s="2">
        <v>73</v>
      </c>
      <c r="H79" s="2">
        <v>57</v>
      </c>
      <c r="I79" s="2">
        <v>0</v>
      </c>
      <c r="J79" s="2">
        <v>0.7</v>
      </c>
      <c r="K79" s="2">
        <v>0.3</v>
      </c>
      <c r="L79" s="2" t="s">
        <v>328</v>
      </c>
      <c r="M79" s="2" t="s">
        <v>365</v>
      </c>
      <c r="R79" s="2">
        <v>20</v>
      </c>
      <c r="S79" s="2">
        <v>0</v>
      </c>
      <c r="T79" s="2">
        <v>0</v>
      </c>
      <c r="U79" s="2">
        <v>0</v>
      </c>
      <c r="V79" s="2">
        <v>0</v>
      </c>
      <c r="W79" s="2">
        <v>15</v>
      </c>
      <c r="X79" s="2">
        <v>0</v>
      </c>
      <c r="Y79" s="2">
        <v>0</v>
      </c>
      <c r="Z79" s="2">
        <v>0</v>
      </c>
      <c r="AA79" s="2">
        <v>0</v>
      </c>
      <c r="AB79" s="2" t="s">
        <v>617</v>
      </c>
      <c r="AC79" s="2">
        <v>12.5</v>
      </c>
      <c r="AD79" s="2">
        <v>0</v>
      </c>
      <c r="AE79" s="2">
        <v>0</v>
      </c>
      <c r="AF79" s="2">
        <v>0</v>
      </c>
      <c r="AG79" s="2">
        <v>0</v>
      </c>
      <c r="AH79" s="2" t="s">
        <v>617</v>
      </c>
      <c r="AI79" s="2">
        <v>12.5</v>
      </c>
      <c r="AJ79" s="2">
        <v>0</v>
      </c>
      <c r="AK79" s="2">
        <v>0</v>
      </c>
      <c r="AL79" s="2">
        <v>0</v>
      </c>
      <c r="AM79" s="2">
        <v>0</v>
      </c>
      <c r="AN79" s="2" t="s">
        <v>617</v>
      </c>
      <c r="AO79" s="2">
        <v>12.5</v>
      </c>
      <c r="AP79" s="2">
        <v>0</v>
      </c>
      <c r="AQ79" s="2">
        <v>0</v>
      </c>
      <c r="AR79" s="2">
        <v>0</v>
      </c>
      <c r="AS79" s="2">
        <v>0</v>
      </c>
      <c r="AT79" s="2" t="s">
        <v>316</v>
      </c>
      <c r="AU79" s="2">
        <v>8.91</v>
      </c>
      <c r="AV79" s="2">
        <v>0</v>
      </c>
      <c r="AW79" s="2">
        <v>0</v>
      </c>
      <c r="AX79" s="2">
        <v>0</v>
      </c>
      <c r="AY79" s="2">
        <v>0</v>
      </c>
      <c r="AZ79" s="2" t="s">
        <v>316</v>
      </c>
      <c r="BA79" s="2">
        <v>8.91</v>
      </c>
      <c r="BB79" s="2">
        <v>0</v>
      </c>
      <c r="BC79" s="2">
        <v>0</v>
      </c>
      <c r="BD79" s="2">
        <v>0</v>
      </c>
      <c r="BE79" s="2">
        <v>0</v>
      </c>
      <c r="BF79" s="2" t="s">
        <v>316</v>
      </c>
      <c r="BG79" s="2">
        <v>8.91</v>
      </c>
      <c r="BH79" s="2">
        <v>0</v>
      </c>
      <c r="BI79" s="2">
        <v>0</v>
      </c>
      <c r="BJ79" s="2">
        <v>0</v>
      </c>
      <c r="BK79" s="2">
        <v>0</v>
      </c>
      <c r="BL79" s="2" t="s">
        <v>316</v>
      </c>
      <c r="BM79" s="2">
        <v>8.91</v>
      </c>
      <c r="BN79" s="2">
        <v>0</v>
      </c>
      <c r="BO79" s="2">
        <v>0</v>
      </c>
      <c r="BP79" s="2">
        <v>0</v>
      </c>
      <c r="BQ79" s="2">
        <v>0</v>
      </c>
      <c r="BR79" s="2" t="s">
        <v>317</v>
      </c>
      <c r="BS79" s="2">
        <v>10</v>
      </c>
      <c r="BT79" s="2">
        <v>0</v>
      </c>
      <c r="BU79" s="2">
        <v>0</v>
      </c>
      <c r="BV79" s="2">
        <v>0</v>
      </c>
      <c r="BW79" s="2">
        <v>0</v>
      </c>
      <c r="BX79" s="2" t="s">
        <v>317</v>
      </c>
      <c r="BY79" s="2">
        <v>8.91</v>
      </c>
      <c r="BZ79" s="2">
        <v>0</v>
      </c>
      <c r="CA79" s="2">
        <v>0</v>
      </c>
      <c r="CB79" s="2">
        <v>0</v>
      </c>
      <c r="CC79" s="2">
        <v>0</v>
      </c>
      <c r="CD79" s="2" t="s">
        <v>317</v>
      </c>
      <c r="CE79" s="2">
        <v>8.91</v>
      </c>
      <c r="CF79" s="2">
        <v>0</v>
      </c>
      <c r="CG79" s="2">
        <v>0</v>
      </c>
      <c r="CH79" s="2">
        <v>0</v>
      </c>
      <c r="CI79" s="2">
        <v>0</v>
      </c>
      <c r="CJ79" s="2" t="s">
        <v>618</v>
      </c>
      <c r="CK79" s="2">
        <v>4.55</v>
      </c>
      <c r="CL79" s="2">
        <v>0</v>
      </c>
      <c r="CM79" s="2">
        <v>0</v>
      </c>
      <c r="CN79" s="2">
        <v>0</v>
      </c>
      <c r="CO79" s="2">
        <v>0</v>
      </c>
      <c r="CP79" s="2" t="s">
        <v>318</v>
      </c>
      <c r="CQ79" s="2">
        <v>0</v>
      </c>
      <c r="CR79" s="2">
        <v>0</v>
      </c>
      <c r="CS79" s="2">
        <v>0</v>
      </c>
      <c r="CT79" s="2">
        <v>0</v>
      </c>
      <c r="CU79" s="2">
        <v>0</v>
      </c>
      <c r="CV79" s="2" t="s">
        <v>318</v>
      </c>
      <c r="CW79" s="2">
        <v>0</v>
      </c>
      <c r="CX79" s="2">
        <v>0</v>
      </c>
      <c r="CY79" s="2">
        <v>0</v>
      </c>
      <c r="CZ79" s="2">
        <v>0</v>
      </c>
      <c r="DA79" s="2">
        <v>0</v>
      </c>
      <c r="DB79" s="2">
        <v>0.03</v>
      </c>
      <c r="DC79" s="2">
        <v>628</v>
      </c>
      <c r="DD79" s="2">
        <v>0</v>
      </c>
      <c r="DE79" s="2">
        <v>0</v>
      </c>
      <c r="DF79" s="2">
        <v>0</v>
      </c>
      <c r="DG79" s="2">
        <v>92</v>
      </c>
      <c r="DH79" s="2">
        <v>0</v>
      </c>
      <c r="DI79" s="2">
        <v>0</v>
      </c>
      <c r="DJ79" s="2">
        <v>0</v>
      </c>
      <c r="DK79" s="2">
        <v>0</v>
      </c>
      <c r="DL79" s="2">
        <v>0</v>
      </c>
      <c r="DM79" s="2">
        <v>0</v>
      </c>
      <c r="DN79" s="2">
        <v>0</v>
      </c>
      <c r="DO79" s="2">
        <v>15.58</v>
      </c>
      <c r="DP79" s="2">
        <v>18</v>
      </c>
      <c r="DQ79" s="2">
        <v>0</v>
      </c>
      <c r="DR79" s="18">
        <v>43922</v>
      </c>
      <c r="DS79" s="18">
        <v>44286</v>
      </c>
      <c r="DT79" s="2">
        <v>39978</v>
      </c>
      <c r="DU79" s="2">
        <v>30000</v>
      </c>
      <c r="DV79" s="2">
        <v>396000</v>
      </c>
      <c r="DW79" s="2">
        <v>18000</v>
      </c>
      <c r="DX79" s="2">
        <v>12000</v>
      </c>
      <c r="DY79" s="2">
        <v>0</v>
      </c>
      <c r="DZ79" s="2">
        <v>9000</v>
      </c>
      <c r="EA79" s="2">
        <v>0</v>
      </c>
      <c r="EB79" s="2">
        <v>6000</v>
      </c>
      <c r="EC79" s="2">
        <v>7500</v>
      </c>
      <c r="ED79" s="2">
        <v>6000</v>
      </c>
      <c r="EE79" s="2">
        <v>9000</v>
      </c>
      <c r="EF79" s="2">
        <v>15500</v>
      </c>
      <c r="EG79" s="2">
        <v>5500</v>
      </c>
      <c r="EH79" s="2" t="s">
        <v>324</v>
      </c>
      <c r="EI79" s="2">
        <v>0</v>
      </c>
      <c r="EJ79" s="2" t="s">
        <v>324</v>
      </c>
      <c r="EK79" s="2">
        <v>0</v>
      </c>
      <c r="EL79" s="2">
        <v>2850</v>
      </c>
      <c r="EM79" s="2">
        <v>4200</v>
      </c>
      <c r="EN79" s="2">
        <v>3500</v>
      </c>
      <c r="EO79" s="2">
        <v>15000</v>
      </c>
      <c r="EP79" s="2">
        <v>6000</v>
      </c>
      <c r="EQ79" s="2">
        <v>0</v>
      </c>
      <c r="ER79" s="2">
        <v>0</v>
      </c>
      <c r="ES79" s="2">
        <v>3500</v>
      </c>
      <c r="ET79" s="2" t="s">
        <v>324</v>
      </c>
      <c r="EU79" s="2">
        <v>0</v>
      </c>
      <c r="EV79" s="2" t="s">
        <v>324</v>
      </c>
      <c r="EW79" s="2">
        <v>0</v>
      </c>
      <c r="EX79" s="2">
        <v>0</v>
      </c>
      <c r="EY79" s="2">
        <v>16000</v>
      </c>
      <c r="EZ79" s="2" t="s">
        <v>326</v>
      </c>
      <c r="FA79" s="2">
        <v>0</v>
      </c>
      <c r="FB79" s="2" t="s">
        <v>326</v>
      </c>
      <c r="FC79" s="2">
        <v>0</v>
      </c>
      <c r="FD79" s="2">
        <v>3600</v>
      </c>
      <c r="FE79" s="2">
        <v>0</v>
      </c>
      <c r="FF79" s="2">
        <v>0</v>
      </c>
      <c r="FG79" s="2"/>
      <c r="FH79" s="19">
        <v>44480.627754629626</v>
      </c>
      <c r="FI79" s="2" t="s">
        <v>345</v>
      </c>
      <c r="FJ79" s="2">
        <f>SUM(DATA[[#This Row],[Number of Home support clients:]],DATA[[#This Row],[Number of supported living clients:]])</f>
        <v>57</v>
      </c>
      <c r="FK79"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51-60</v>
      </c>
      <c r="FL79"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20</v>
      </c>
      <c r="FM79"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20</v>
      </c>
      <c r="FN79"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79"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79"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15</v>
      </c>
      <c r="FQ79"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79"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79"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79"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12.5</v>
      </c>
      <c r="FU79"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12.5</v>
      </c>
      <c r="FV79"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79"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79"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12.5</v>
      </c>
      <c r="FY79"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12.5</v>
      </c>
      <c r="FZ79"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79"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79"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12.5</v>
      </c>
      <c r="GC79"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12.5</v>
      </c>
      <c r="GD79"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79"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79"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79"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79"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79"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79"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8.91</v>
      </c>
      <c r="GK79"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8.91</v>
      </c>
      <c r="GL79"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79"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79"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8.91</v>
      </c>
      <c r="GO79"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8.91</v>
      </c>
      <c r="GP79"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79"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79"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8.91</v>
      </c>
      <c r="GS79"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8.91</v>
      </c>
      <c r="GT79"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79"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79"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v>
      </c>
      <c r="GW79"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v>
      </c>
      <c r="GX79"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79"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79"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8.91</v>
      </c>
      <c r="HA79"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8.91</v>
      </c>
      <c r="HB79"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79"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79"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8.91</v>
      </c>
      <c r="HE79"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8.91</v>
      </c>
      <c r="HF79"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79"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79"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4.55</v>
      </c>
      <c r="HI79"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4.55</v>
      </c>
      <c r="HJ79"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79"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79"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79"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79"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79"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79"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79"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79"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79"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79"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20</v>
      </c>
      <c r="HU79"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20</v>
      </c>
      <c r="HV79"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20</v>
      </c>
      <c r="HW79"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20</v>
      </c>
      <c r="HX79"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15</v>
      </c>
      <c r="HY79"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79"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15</v>
      </c>
      <c r="IA79"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79"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12.5</v>
      </c>
      <c r="IC79"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12.5</v>
      </c>
      <c r="ID79"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12.5</v>
      </c>
      <c r="IE79"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12.5</v>
      </c>
      <c r="IF79"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12.5</v>
      </c>
      <c r="IG79"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12.5</v>
      </c>
      <c r="IH79"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12.5</v>
      </c>
      <c r="II79"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12.5</v>
      </c>
      <c r="IJ79"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12.5</v>
      </c>
      <c r="IK79"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12.5</v>
      </c>
      <c r="IL79"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12.5</v>
      </c>
      <c r="IM79"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12.5</v>
      </c>
      <c r="IN79"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79"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79"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8.91</v>
      </c>
      <c r="IQ79"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8.91</v>
      </c>
      <c r="IR79"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8.91</v>
      </c>
      <c r="IS79"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8.91</v>
      </c>
      <c r="IT79"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8.91</v>
      </c>
      <c r="IU79"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8.91</v>
      </c>
      <c r="IV79"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8.91</v>
      </c>
      <c r="IW79"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8.91</v>
      </c>
      <c r="IX79"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8.91</v>
      </c>
      <c r="IY79"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8.91</v>
      </c>
      <c r="IZ79"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8.91</v>
      </c>
      <c r="JA79"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8.91</v>
      </c>
      <c r="JB79"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8.91</v>
      </c>
      <c r="JC79"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8.91</v>
      </c>
      <c r="JD79"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v>
      </c>
      <c r="JE79"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v>
      </c>
      <c r="JF79"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v>
      </c>
      <c r="JG79"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v>
      </c>
      <c r="JH79"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8.91</v>
      </c>
      <c r="JI79"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8.91</v>
      </c>
      <c r="JJ79"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8.91</v>
      </c>
      <c r="JK79"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8.91</v>
      </c>
      <c r="JL79"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8.91</v>
      </c>
      <c r="JM79"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8.91</v>
      </c>
      <c r="JN79"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8.91</v>
      </c>
      <c r="JO79"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8.91</v>
      </c>
      <c r="JP79"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4.55</v>
      </c>
      <c r="JQ79"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4.55</v>
      </c>
      <c r="JR79"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4.55</v>
      </c>
      <c r="JS79"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4.55</v>
      </c>
      <c r="JT79"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79"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79"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79"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79"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79"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79"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79"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79"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v>
      </c>
      <c r="KC79" s="21">
        <f>SUM(DATA[[#This Row],[Care Assistant 1: Numbers employed (Full Time Equivalent)]],DATA[[#This Row],[Care Assistant 2: Numbers employed (Full Time Equivalent)]],DATA[[#This Row],[Care Assistant 3: Numbers employed (Full Time Equivalent)]],DATA[[#This Row],[Care Assistant 4: Numbers employed (Full Time Equivalent)]])</f>
        <v>0</v>
      </c>
      <c r="KD79" s="21">
        <f>SUM(DATA[[#This Row],[Administrative Officer 1: Numbers employed (Full Time Equivalent)]],DATA[[#This Row],[Administrative Officer 2: Numbers employed (Full Time Equivalent)]])</f>
        <v>0</v>
      </c>
      <c r="KE79" s="21">
        <f>SUM(DATA[[#This Row],[Other staff 1: Numbers employed (Full Time Equivalent)]],DATA[[#This Row],[Other staff 2: Numbers employed (Full Time Equivalent)]],DATA[[#This Row],[Other staff 3: Numbers employed (Full Time Equivalent)]])</f>
        <v>0</v>
      </c>
      <c r="KF79" s="21">
        <f>SUM(DATA[[#This Row],[Total FTE Management Employees]:[Total FTE Other Employees]])</f>
        <v>0</v>
      </c>
      <c r="KG79" s="21" t="str">
        <f>IF(SUM(DATA[[#This Row],[Home Support service split percentage (Expenditure):]],DATA[[#This Row],[Supported Living service split percentage (Expenditure):]])&gt;0, IF(DATA[[#This Row],[Home Support service split percentage (Expenditure):]]&gt;0.5,"Home Support","Supported Living"), "Unknown")</f>
        <v>Home Support</v>
      </c>
      <c r="KH79" s="21">
        <f>SUM(DATA[[#This Row],[Home Support: Birmingham City Council]:[Home Support: Self-funded]])</f>
        <v>720</v>
      </c>
      <c r="KI79" s="21">
        <f>SUM(DATA[[#This Row],[Supported Living: Birmingham City Council]:[Supported Living: Self-funded]])</f>
        <v>0</v>
      </c>
      <c r="KJ79"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79"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79"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0</v>
      </c>
      <c r="KM79"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79" s="21" t="b">
        <f>SUM(DATA[[#This Row],[Number of hours of care charged for in last full accounting year]:[Corporate Overheads: Other  - please specify (category) 1]])&gt;0</f>
        <v>1</v>
      </c>
      <c r="KO79" s="21">
        <f>SUM(DATA[[#This Row],[Total annual expenditure: Management staff]:[Total annual expenditure: Training and development]])</f>
        <v>471000</v>
      </c>
      <c r="KP79" s="21">
        <f>SUM(DATA[[#This Row],[Recruitment &amp; advertising (including DBS checks)]:[Non-Staffing Direct Cost: Other  - please specify (amount) 2]])</f>
        <v>43500</v>
      </c>
      <c r="KQ79" s="21">
        <f>SUM(DATA[[#This Row],[Insurance ]:[Indirect costs: Other 2 - please specify (amount)]])</f>
        <v>35050</v>
      </c>
      <c r="KR79" s="21">
        <f>SUM(DATA[[#This Row],[Central / Regional Management]],DATA[[#This Row],[Support Services (finance / HR / Payroll / legal etc.)]],DATA[[#This Row],[Corporate Overheads: Other  - please specify (amount) 1]],DATA[[#This Row],[Corporate Overheads: Other  - please specify (amount) 2]])</f>
        <v>16000</v>
      </c>
      <c r="KS79"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0.75041272699984995</v>
      </c>
      <c r="KT79"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9.9054479963980189</v>
      </c>
      <c r="KU79"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0.45024763619990993</v>
      </c>
      <c r="KV79" s="30">
        <f>IF(OR(NOT(DATA[[#This Row],[Total annual expenditure: Other staff]]&gt;0),NOT(DATA[[#This Row],[Number of hours of care charged for in last full accounting year]]&gt;0)),0,DATA[[#This Row],[Total annual expenditure: Other staff]]/DATA[[#This Row],[Number of hours of care charged for in last full accounting year]])</f>
        <v>0.30016509079993997</v>
      </c>
      <c r="KW79"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79" s="30">
        <f>IF(OR(NOT(DATA[[#This Row],[Total annual expenditure: Travel Cost]]&gt;0),NOT(DATA[[#This Row],[Number of hours of care charged for in last full accounting year]]&gt;0)),0,DATA[[#This Row],[Total annual expenditure: Travel Cost]]/DATA[[#This Row],[Number of hours of care charged for in last full accounting year]])</f>
        <v>0.22512381809995496</v>
      </c>
      <c r="KY79"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79"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0.15008254539996999</v>
      </c>
      <c r="LA79"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0.18760318174996249</v>
      </c>
      <c r="LB79"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0.15008254539996999</v>
      </c>
      <c r="LC79" s="30">
        <f>IF(OR(NOT(DATA[[#This Row],[Care consumables &amp; uniforms]]&gt;0),NOT(DATA[[#This Row],[Number of hours of care charged for in last full accounting year]]&gt;0)),0,DATA[[#This Row],[Care consumables &amp; uniforms]]/DATA[[#This Row],[Number of hours of care charged for in last full accounting year]])</f>
        <v>0.22512381809995496</v>
      </c>
      <c r="LD79" s="30">
        <f>IF(OR(NOT(DATA[[#This Row],[Electronic call monitoring]]&gt;0),NOT(DATA[[#This Row],[Number of hours of care charged for in last full accounting year]]&gt;0)),0,DATA[[#This Row],[Electronic call monitoring]]/DATA[[#This Row],[Number of hours of care charged for in last full accounting year]])</f>
        <v>0.38771324228325577</v>
      </c>
      <c r="LE79" s="30">
        <f>IF(OR(NOT(DATA[[#This Row],[IT Equipment &amp; Telephoney]]&gt;0),NOT(DATA[[#This Row],[Number of hours of care charged for in last full accounting year]]&gt;0)),0,DATA[[#This Row],[IT Equipment &amp; Telephoney]]/DATA[[#This Row],[Number of hours of care charged for in last full accounting year]])</f>
        <v>0.13757566661663914</v>
      </c>
      <c r="LF79"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79"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79" s="30">
        <f>IF(OR(NOT(DATA[[#This Row],[Insurance ]]&gt;0),NOT(DATA[[#This Row],[Number of hours of care charged for in last full accounting year]]&gt;0)),0,DATA[[#This Row],[Insurance ]]/DATA[[#This Row],[Number of hours of care charged for in last full accounting year]])</f>
        <v>7.1289209064985745E-2</v>
      </c>
      <c r="LI79"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0.10505778177997899</v>
      </c>
      <c r="LJ79" s="30">
        <f>IF(OR(NOT(DATA[[#This Row],[Repairs and maintenance]]&gt;0),NOT(DATA[[#This Row],[Number of hours of care charged for in last full accounting year]]&gt;0)),0,DATA[[#This Row],[Repairs and maintenance]]/DATA[[#This Row],[Number of hours of care charged for in last full accounting year]])</f>
        <v>8.7548151483315823E-2</v>
      </c>
      <c r="LK79"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0.37520636349992498</v>
      </c>
      <c r="LL79" s="30">
        <f>IF(OR(NOT(DATA[[#This Row],[Registration &amp; Inspection fees ]]&gt;0),NOT(DATA[[#This Row],[Number of hours of care charged for in last full accounting year]]&gt;0)),0,DATA[[#This Row],[Registration &amp; Inspection fees ]]/DATA[[#This Row],[Number of hours of care charged for in last full accounting year]])</f>
        <v>0.15008254539996999</v>
      </c>
      <c r="LM79" s="30">
        <f>IF(OR(NOT(DATA[[#This Row],[Subscriptions]]&gt;0),NOT(DATA[[#This Row],[Number of hours of care charged for in last full accounting year]]&gt;0)),0,DATA[[#This Row],[Subscriptions]]/DATA[[#This Row],[Number of hours of care charged for in last full accounting year]])</f>
        <v>0</v>
      </c>
      <c r="LN79" s="30">
        <f>IF(OR(NOT(DATA[[#This Row],[Cost of finance]]&gt;0),NOT(DATA[[#This Row],[Number of hours of care charged for in last full accounting year]]&gt;0)),0,DATA[[#This Row],[Cost of finance]]/DATA[[#This Row],[Number of hours of care charged for in last full accounting year]])</f>
        <v>0</v>
      </c>
      <c r="LO79" s="30">
        <f>IF(OR(NOT(DATA[[#This Row],[Other non-staff current expenses]]&gt;0),NOT(DATA[[#This Row],[Number of hours of care charged for in last full accounting year]]&gt;0)),0,DATA[[#This Row],[Other non-staff current expenses]]/DATA[[#This Row],[Number of hours of care charged for in last full accounting year]])</f>
        <v>8.7548151483315823E-2</v>
      </c>
      <c r="LP79"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79"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79" s="30">
        <f>IF(OR(NOT(DATA[[#This Row],[Central / Regional Management]]&gt;0),NOT(DATA[[#This Row],[Number of hours of care charged for in last full accounting year]]&gt;0)),0,DATA[[#This Row],[Central / Regional Management]]/DATA[[#This Row],[Number of hours of care charged for in last full accounting year]])</f>
        <v>0</v>
      </c>
      <c r="LS79"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0.40022012106658661</v>
      </c>
      <c r="LT79"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79"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79" s="30">
        <f>SUM(DATA[[#This Row],[Management staff HOURLY RATE]:[Corporate Overheads: Other  - please specify (amount) 2 HOURLY RATE]])</f>
        <v>14.146530591825508</v>
      </c>
      <c r="LW79" s="30">
        <f>IF(OR(NOT(DATA[[#This Row],[Net Operating Profit]]&gt;0),NOT(DATA[[#This Row],[Number of hours of care charged for in last full accounting year]]&gt;0)),"",DATA[[#This Row],[Net Operating Profit]]/DATA[[#This Row],[Number of hours of care charged for in last full accounting year]])</f>
        <v>9.0049527239981997E-2</v>
      </c>
      <c r="LX79" s="30">
        <f>IF(OR(NOT(DATA[[#This Row],[Return on Capital employed]]&gt;0),NOT(DATA[[#This Row],[Number of hours of care charged for in last full accounting year]]&gt;0)),0,DATA[[#This Row],[Return on Capital employed]]/DATA[[#This Row],[Number of hours of care charged for in last full accounting year]])</f>
        <v>0</v>
      </c>
      <c r="LY79" s="31">
        <v>74</v>
      </c>
      <c r="LZ79" s="30" t="s">
        <v>345</v>
      </c>
      <c r="MA79" s="30" t="b">
        <f>DATA[[#This Row],[Number of Home support clients:]]&gt;0</f>
        <v>1</v>
      </c>
      <c r="MB79" s="30" t="b">
        <f>DATA[[#This Row],[Number of supported living clients:]]&gt;0</f>
        <v>0</v>
      </c>
      <c r="MC79" s="30" t="b">
        <f>DATA[[#This Row],[Total Home Support Hours]]&gt;0</f>
        <v>1</v>
      </c>
      <c r="MD79" s="30" t="b">
        <f>DATA[[#This Row],[Total Supported Living Hours]]&gt;0</f>
        <v>0</v>
      </c>
      <c r="ME79" s="30" t="b">
        <f>DATA[[#This Row],[Home Support service split percentage (Expenditure):]]&gt;0.5</f>
        <v>1</v>
      </c>
      <c r="MF79" s="30" t="b">
        <f>DATA[[#This Row],[Agency staff HOURLY RATE]]=0</f>
        <v>1</v>
      </c>
      <c r="MG79" s="30">
        <f>IFERROR(IF(AVERAGE(DATA[[#This Row],[Registered manager: Current 2021/22 Minimum hourly pay rate ADJUSTED]],DATA[[#This Row],[Registered manager: Current 2021/22 Maximum hourly pay rate ADJUSTED]])&lt;LIVING_WAGE_22_23,DATA[[#This Row],[Registered manager: Numbers employed (Full Time Equivalent)]],0),"")</f>
        <v>0</v>
      </c>
      <c r="MH79" s="30">
        <f>IFERROR(IF(AVERAGE(DATA[[#This Row],[Deputy manager: Current 2021/22 Minimum hourly pay rate ADJUSTED]],DATA[[#This Row],[Deputy manager: Current 2021/22 Maximum hourly pay rate ADJUSTED]])&lt;LIVING_WAGE_22_23,DATA[[#This Row],[Deputy manager: Numbers employed (Full Time Equivalent)]],0),"")</f>
        <v>0</v>
      </c>
      <c r="MI79" s="30">
        <f>IFERROR(IF(AVERAGE(DATA[[#This Row],[Other manager 1: Current 2021/22 Minimum hourly pay rate ADJUSTED]],DATA[[#This Row],[Other manager 1: Current 2021/22 Maximum hourly pay rate ADJUSTED]])&lt;LIVING_WAGE_22_23,DATA[[#This Row],[Other manager 1: Numbers employed (Full Time Equivalent)]],0),"")</f>
        <v>0</v>
      </c>
      <c r="MJ79" s="30">
        <f>IFERROR(IF(AVERAGE(DATA[[#This Row],[Other manager 2: Current 2021/22 Minimum hourly pay rate ADJUSTED]],DATA[[#This Row],[Other manager 2: Current 2021/22 Maximum hourly pay rate ADJUSTED]])&lt;LIVING_WAGE_22_23,DATA[[#This Row],[Other manager 2: Numbers employed (Full Time Equivalent)]],0),"")</f>
        <v>0</v>
      </c>
      <c r="MK79" s="30">
        <f>IFERROR(IF(AVERAGE(DATA[[#This Row],[Other manager 3: Current 2021/22 Minimum hourly pay rate ADJUSTED]],DATA[[#This Row],[Other manager 3: Current 2021/22 Maximum hourly pay rate ADJUSTED]])&lt;LIVING_WAGE_22_23,DATA[[#This Row],[Other manager 3: Numbers employed (Full Time Equivalent)]],0),"")</f>
        <v>0</v>
      </c>
      <c r="ML79" s="30">
        <f>IFERROR(IF(AVERAGE(DATA[[#This Row],[Care Assistant 1: Current 2021/22 Minimum hourly pay rate ADJUSTED]],DATA[[#This Row],[Care Assistant 1: Current 2021/22 Maximum hourly pay rate ADJUSTED]])&lt;LIVING_WAGE_22_23,DATA[[#This Row],[Care Assistant 1: Numbers employed (Full Time Equivalent)]],0),"")</f>
        <v>0</v>
      </c>
      <c r="MM79" s="30">
        <f>IFERROR(IF(AVERAGE(DATA[[#This Row],[Care Assistant 2: Current 2021/22 Minimum hourly pay rate ADJUSTED]],DATA[[#This Row],[Care Assistant 2: Current 2021/22 Maximum hourly pay rate ADJUSTED]])&lt;LIVING_WAGE_22_23,DATA[[#This Row],[Care Assistant 2: Numbers employed (Full Time Equivalent)]],0),"")</f>
        <v>0</v>
      </c>
      <c r="MN79" s="30">
        <f>IFERROR(IF(AVERAGE(DATA[[#This Row],[Care Assistant 3: Current 2021/22 Minimum hourly pay rate ADJUSTED]],DATA[[#This Row],[Care Assistant 3: Current 2021/22 Maximum hourly pay rate ADJUSTED]])&lt;LIVING_WAGE_22_23,DATA[[#This Row],[Care Assistant 3: Numbers employed (Full Time Equivalent)]],0),"")</f>
        <v>0</v>
      </c>
      <c r="MO79" s="30">
        <f>IFERROR(IF(AVERAGE(DATA[[#This Row],[Care Assistant 4: Current 2021/22 Minimum hourly pay rate ADJUSTED]],DATA[[#This Row],[Care Assistant 4: Current 2021/22 Maximum hourly pay rate ADJUSTED]])&lt;LIVING_WAGE_22_23,DATA[[#This Row],[Care Assistant 4: Numbers employed (Full Time Equivalent)]],0),"")</f>
        <v>0</v>
      </c>
      <c r="MP79"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79"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79" s="30">
        <f>IFERROR(IF(AVERAGE(DATA[[#This Row],[Other staff 1: Current 2021/22 Minimum hourly pay rate ADJUSTED]],DATA[[#This Row],[Other staff 1: Current 2021/22 Maximum hourly pay rate ADJUSTED]])&lt;LIVING_WAGE_22_23,DATA[[#This Row],[Other staff 1: Numbers employed (Full Time Equivalent)]],0),"")</f>
        <v>0</v>
      </c>
      <c r="MS79" s="30" t="str">
        <f>IFERROR(IF(AVERAGE(DATA[[#This Row],[Other staff 2: Current 2021/22 Minimum hourly pay rate ADJUSTED]],DATA[[#This Row],[Other staff 2: Current 2021/22 Maximum hourly pay rate ADJUSTED]])&lt;LIVING_WAGE_22_23,DATA[[#This Row],[Other staff 2: Numbers employed (Full Time Equivalent)]],0),"")</f>
        <v/>
      </c>
      <c r="MT79" s="30" t="str">
        <f>IFERROR(IF(AVERAGE(DATA[[#This Row],[Other staff 3: Current 2021/22 Minimum hourly pay rate ADJUSTED]],DATA[[#This Row],[Other staff 3: Current 2021/22 Maximum hourly pay rate ADJUSTED]])&lt;LIVING_WAGE_22_23,DATA[[#This Row],[Other staff 3: Numbers employed (Full Time Equivalent)]],0),"")</f>
        <v/>
      </c>
      <c r="MU79" s="30">
        <f>SUM(DATA[[#This Row],[Registered Manager FTE earning less than NLW 23yrs 2022/23]:[Other staff 3 FTE earning less than NLW 23yrs 2022/23]])</f>
        <v>0</v>
      </c>
      <c r="MV79"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79"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79"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79"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79"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79"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79"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79"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79"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0</v>
      </c>
      <c r="NE79"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79"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79"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79"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79"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79" s="30" t="b">
        <v>0</v>
      </c>
      <c r="NK79" s="30" t="b">
        <v>1</v>
      </c>
      <c r="NL79" s="30" t="s">
        <v>972</v>
      </c>
      <c r="NM79" s="30">
        <f>SUM(DATA[[#This Row],[Management staff HOURLY RATE]:[Training and development HOURLY RATE]])</f>
        <v>11.781479813897644</v>
      </c>
      <c r="NN79" s="30">
        <f>SUM(DATA[[#This Row],[Recruitment &amp; advertising (including DBS checks) HOURLY RATE]:[Non-Staffing Direct Cost: Other  - please specify (amount) 2 HOURLY RATE]])</f>
        <v>1.0880984541497825</v>
      </c>
      <c r="NO79" s="30">
        <f>SUM(DATA[[#This Row],[Insurance  HOURLY RATE]:[Indirect costs: Other  - please specify (amount) 2 HOURLY RATE]])</f>
        <v>0.87673220271149144</v>
      </c>
      <c r="NP79" s="30">
        <f>SUM(DATA[[#This Row],[Central / Regional Management HOURLY RATE]:[Corporate Overheads: Other  - please specify (amount) 2 HOURLY RATE]])</f>
        <v>0.40022012106658661</v>
      </c>
      <c r="NQ79"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79" s="30">
        <f>IFERROR(IF(AVERAGE(DATA[[#This Row],[Deputy manager: Current 2021/22 Minimum hourly pay rate ADJUSTED]],DATA[[#This Row],[Deputy manager: Current 2021/22 Maximum hourly pay rate ADJUSTED]])&lt;REAL_LIVING_WAGE_22_23,DATA[[#This Row],[Deputy manager: Numbers employed (Full Time Equivalent)]],0),"")</f>
        <v>0</v>
      </c>
      <c r="NS79" s="30">
        <f>IFERROR(IF(AVERAGE(DATA[[#This Row],[Other manager 1: Current 2021/22 Minimum hourly pay rate ADJUSTED]],DATA[[#This Row],[Other manager 1: Current 2021/22 Maximum hourly pay rate ADJUSTED]])&lt;REAL_LIVING_WAGE_22_23,DATA[[#This Row],[Other manager 1: Numbers employed (Full Time Equivalent)]],0),"")</f>
        <v>0</v>
      </c>
      <c r="NT79" s="30">
        <f>IFERROR(IF(AVERAGE(DATA[[#This Row],[Other manager 2: Current 2021/22 Minimum hourly pay rate ADJUSTED]],DATA[[#This Row],[Other manager 2: Current 2021/22 Maximum hourly pay rate ADJUSTED]])&lt;REAL_LIVING_WAGE_22_23,DATA[[#This Row],[Other manager 2: Numbers employed (Full Time Equivalent)]],0),"")</f>
        <v>0</v>
      </c>
      <c r="NU79" s="30">
        <f>IFERROR(IF(AVERAGE(DATA[[#This Row],[Other manager 3: Current 2021/22 Minimum hourly pay rate ADJUSTED]],DATA[[#This Row],[Other manager 3: Current 2021/22 Maximum hourly pay rate ADJUSTED]])&lt;REAL_LIVING_WAGE_22_23,DATA[[#This Row],[Other manager 3: Numbers employed (Full Time Equivalent)]],0),"")</f>
        <v>0</v>
      </c>
      <c r="NV79" s="30">
        <f>IFERROR(IF(AVERAGE(DATA[[#This Row],[Care Assistant 1: Current 2021/22 Minimum hourly pay rate ADJUSTED]],DATA[[#This Row],[Care Assistant 1: Current 2021/22 Maximum hourly pay rate ADJUSTED]])&lt;REAL_LIVING_WAGE_22_23,DATA[[#This Row],[Care Assistant 1: Numbers employed (Full Time Equivalent)]],0),"")</f>
        <v>0</v>
      </c>
      <c r="NW79" s="30">
        <f>IFERROR(IF(AVERAGE(DATA[[#This Row],[Care Assistant 2: Current 2021/22 Minimum hourly pay rate ADJUSTED]],DATA[[#This Row],[Care Assistant 2: Current 2021/22 Maximum hourly pay rate ADJUSTED]])&lt;REAL_LIVING_WAGE_22_23,DATA[[#This Row],[Care Assistant 2: Numbers employed (Full Time Equivalent)]],0),"")</f>
        <v>0</v>
      </c>
      <c r="NX79" s="30">
        <f>IFERROR(IF(AVERAGE(DATA[[#This Row],[Care Assistant 3: Current 2021/22 Minimum hourly pay rate ADJUSTED]],DATA[[#This Row],[Care Assistant 3: Current 2021/22 Maximum hourly pay rate ADJUSTED]])&lt;REAL_LIVING_WAGE_22_23,DATA[[#This Row],[Care Assistant 3: Numbers employed (Full Time Equivalent)]],0),"")</f>
        <v>0</v>
      </c>
      <c r="NY79" s="30">
        <f>IFERROR(IF(AVERAGE(DATA[[#This Row],[Care Assistant 4: Current 2021/22 Minimum hourly pay rate ADJUSTED]],DATA[[#This Row],[Care Assistant 4: Current 2021/22 Maximum hourly pay rate ADJUSTED]])&lt;REAL_LIVING_WAGE_22_23,DATA[[#This Row],[Care Assistant 4: Numbers employed (Full Time Equivalent)]],0),"")</f>
        <v>0</v>
      </c>
      <c r="NZ79"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79"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79" s="30">
        <f>IFERROR(IF(AVERAGE(DATA[[#This Row],[Other staff 1: Current 2021/22 Minimum hourly pay rate ADJUSTED]],DATA[[#This Row],[Other staff 1: Current 2021/22 Maximum hourly pay rate ADJUSTED]])&lt;REAL_LIVING_WAGE_22_23,DATA[[#This Row],[Other staff 1: Numbers employed (Full Time Equivalent)]],0),"")</f>
        <v>0</v>
      </c>
      <c r="OC79" s="30" t="str">
        <f>IFERROR(IF(AVERAGE(DATA[[#This Row],[Other staff 2: Current 2021/22 Minimum hourly pay rate ADJUSTED]],DATA[[#This Row],[Other staff 2: Current 2021/22 Maximum hourly pay rate ADJUSTED]])&lt;REAL_LIVING_WAGE_22_23,DATA[[#This Row],[Other staff 2: Numbers employed (Full Time Equivalent)]],0),"")</f>
        <v/>
      </c>
      <c r="OD79" s="30" t="str">
        <f>IFERROR(IF(AVERAGE(DATA[[#This Row],[Other staff 3: Current 2021/22 Minimum hourly pay rate ADJUSTED]],DATA[[#This Row],[Other staff 3: Current 2021/22 Maximum hourly pay rate ADJUSTED]])&lt;REAL_LIVING_WAGE_22_23,DATA[[#This Row],[Other staff 3: Numbers employed (Full Time Equivalent)]],0),"")</f>
        <v/>
      </c>
      <c r="OE79" s="30">
        <f>SUM(DATA[[#This Row],[Registered Manager FTE earning less than RLW 23yrs 2022/23]:[Other staff 3 FTE earning less than RLW 23yrs 2022/23]])</f>
        <v>0</v>
      </c>
      <c r="OF79"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79"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79"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79"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79"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79"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79"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79"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v>
      </c>
      <c r="ON79"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0</v>
      </c>
      <c r="OO79"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79"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79"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79"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79"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79" s="30" t="str">
        <f>IFERROR(IF(DATA[[#This Row],[Registered manager: Numbers employed (Full Time Equivalent)]]=0,"",DATA[[#This Row],[Registered manager: Current 2021/22 Minimum hourly pay rate ADJUSTED 2]]*DATA[[#This Row],[Registered manager: Numbers employed (Full Time Equivalent)]]),"")</f>
        <v/>
      </c>
      <c r="OU79" s="30" t="str">
        <f>IFERROR(IF(DATA[[#This Row],[Registered manager: Numbers employed (Full Time Equivalent)]]=0,"",DATA[[#This Row],[Registered manager: Current 2021/22 Maximum hourly pay rate ADJUSTED 2]]*DATA[[#This Row],[Registered manager: Numbers employed (Full Time Equivalent)]]),"")</f>
        <v/>
      </c>
      <c r="OV79" s="30" t="str">
        <f>IFERROR(IF(DATA[[#This Row],[Registered manager: Numbers employed (Full Time Equivalent)]]=0,"",DATA[[#This Row],[Registered manager: Previous 2020/21 Minimum hourly pay rate ADJUSTED 2]]*DATA[[#This Row],[Registered manager: Numbers employed (Full Time Equivalent)]]),"")</f>
        <v/>
      </c>
      <c r="OW79" s="30" t="str">
        <f>IFERROR(IF(DATA[[#This Row],[Registered manager: Numbers employed (Full Time Equivalent)]]=0,"",DATA[[#This Row],[Registered manager: Previous 2020/21 Maximum hourly pay rate ADJUSTED 2]]*DATA[[#This Row],[Registered manager: Numbers employed (Full Time Equivalent)]]),"")</f>
        <v/>
      </c>
      <c r="OX79" s="30" t="str">
        <f>IFERROR(IF(DATA[[#This Row],[Deputy manager: Numbers employed (Full Time Equivalent)]]=0,"",DATA[[#This Row],[Deputy manager: Current 2021/22 Minimum hourly pay rate ADJUSTED 2]]*DATA[[#This Row],[Deputy manager: Numbers employed (Full Time Equivalent)]]),"")</f>
        <v/>
      </c>
      <c r="OY79" s="30" t="str">
        <f>IFERROR(IF(DATA[[#This Row],[Deputy manager: Numbers employed (Full Time Equivalent)]]=0,"",DATA[[#This Row],[Deputy manager: Current 2021/22 Maximum hourly pay rate ADJUSTED 2]]*DATA[[#This Row],[Deputy manager: Numbers employed (Full Time Equivalent)]]),"")</f>
        <v/>
      </c>
      <c r="OZ79" s="30" t="str">
        <f>IFERROR(IF(DATA[[#This Row],[Deputy manager: Numbers employed (Full Time Equivalent)]]=0,"",DATA[[#This Row],[Deputy manager: Previous 2020/21 Minimum hourly pay rate ADJUSTED 2]]*DATA[[#This Row],[Deputy manager: Numbers employed (Full Time Equivalent)]]),"")</f>
        <v/>
      </c>
      <c r="PA79" s="30" t="str">
        <f>IFERROR(IF(DATA[[#This Row],[Deputy manager: Numbers employed (Full Time Equivalent)]]=0,"",DATA[[#This Row],[Deputy manager: Previous 2020/21 Maximum hourly pay rate ADJUSTED 2]]*DATA[[#This Row],[Deputy manager: Numbers employed (Full Time Equivalent)]]),"")</f>
        <v/>
      </c>
      <c r="PB79" s="30" t="str">
        <f>IFERROR(IF(DATA[[#This Row],[Other manager 1: Numbers employed (Full Time Equivalent)]]=0,"",DATA[[#This Row],[Other manager 1: Current 2021/22 Minimum hourly pay rate ADJUSTED 2]]*DATA[[#This Row],[Other manager 1: Numbers employed (Full Time Equivalent)]]),"")</f>
        <v/>
      </c>
      <c r="PC79" s="30" t="str">
        <f>IFERROR(IF(DATA[[#This Row],[Other manager 1: Numbers employed (Full Time Equivalent)]]=0,"",DATA[[#This Row],[Other manager 1: Current 2021/22 Maximum hourly pay rate ADJUSTED 2]]*DATA[[#This Row],[Other manager 1: Numbers employed (Full Time Equivalent)]]),"")</f>
        <v/>
      </c>
      <c r="PD79" s="30" t="str">
        <f>IFERROR(IF(DATA[[#This Row],[Other manager 1: Numbers employed (Full Time Equivalent)]]=0,"",DATA[[#This Row],[Other manager 1: Previous 2020/21 Minimum hourly pay rate ADJUSTED 2]]*DATA[[#This Row],[Other manager 1: Numbers employed (Full Time Equivalent)]]),"")</f>
        <v/>
      </c>
      <c r="PE79" s="30" t="str">
        <f>IFERROR(IF(DATA[[#This Row],[Other manager 1: Numbers employed (Full Time Equivalent)]]=0,"",DATA[[#This Row],[Other manager 1: Previous 2020/21 Maximum hourly pay rate ADJUSTED 2]]*DATA[[#This Row],[Other manager 1: Numbers employed (Full Time Equivalent)]]),"")</f>
        <v/>
      </c>
      <c r="PF79" s="30" t="str">
        <f>IFERROR(IF(DATA[[#This Row],[Other manager 2: Numbers employed (Full Time Equivalent)]]=0,"",DATA[[#This Row],[Other manager 2: Current 2021/22 Minimum hourly pay rate ADJUSTED 2]]*DATA[[#This Row],[Other manager 2: Numbers employed (Full Time Equivalent)]]),"")</f>
        <v/>
      </c>
      <c r="PG79" s="30" t="str">
        <f>IFERROR(IF(DATA[[#This Row],[Other manager 2: Numbers employed (Full Time Equivalent)]]=0,"",DATA[[#This Row],[Other manager 2: Current 2021/22 Maximum hourly pay rate ADJUSTED 2]]*DATA[[#This Row],[Other manager 2: Numbers employed (Full Time Equivalent)]]),"")</f>
        <v/>
      </c>
      <c r="PH79" s="30" t="str">
        <f>IFERROR(IF(DATA[[#This Row],[Other manager 2: Numbers employed (Full Time Equivalent)]]=0,"",DATA[[#This Row],[Other manager 2: Previous 2020/21 Minimum hourly pay rate ADJUSTED 2]]*DATA[[#This Row],[Other manager 2: Numbers employed (Full Time Equivalent)]]),"")</f>
        <v/>
      </c>
      <c r="PI79" s="30" t="str">
        <f>IFERROR(IF(DATA[[#This Row],[Other manager 2: Numbers employed (Full Time Equivalent)]]=0,"",DATA[[#This Row],[Other manager 2: Previous 2020/21 Maximum hourly pay rate ADJUSTED 2]]*DATA[[#This Row],[Other manager 2: Numbers employed (Full Time Equivalent)]]),"")</f>
        <v/>
      </c>
      <c r="PJ79" s="30" t="str">
        <f>IFERROR(IF(DATA[[#This Row],[Other manager 3: Numbers employed (Full Time Equivalent)]]=0,"",DATA[[#This Row],[Other manager 3: Current 2021/22 Minimum hourly pay rate ADJUSTED 2]]*DATA[[#This Row],[Other manager 3: Numbers employed (Full Time Equivalent)]]),"")</f>
        <v/>
      </c>
      <c r="PK79" s="30" t="str">
        <f>IFERROR(IF(DATA[[#This Row],[Other manager 3: Numbers employed (Full Time Equivalent)]]=0,"",DATA[[#This Row],[Other manager 3: Current 2021/22 Maximum hourly pay rate ADJUSTED 2]]*DATA[[#This Row],[Other manager 3: Numbers employed (Full Time Equivalent)]]),"")</f>
        <v/>
      </c>
      <c r="PL79" s="30" t="str">
        <f>IFERROR(IF(DATA[[#This Row],[Other manager 3: Numbers employed (Full Time Equivalent)]]=0,"",DATA[[#This Row],[Other manager 3: Previous 2020/21 Minimum hourly pay rate ADJUSTED 2]]*DATA[[#This Row],[Other manager 3: Numbers employed (Full Time Equivalent)]]),"")</f>
        <v/>
      </c>
      <c r="PM79" s="30" t="str">
        <f>IFERROR(IF(DATA[[#This Row],[Other manager 3: Numbers employed (Full Time Equivalent)]]=0,"",DATA[[#This Row],[Other manager 3: Previous 2020/21 Maximum hourly pay rate ADJUSTED 2]]*DATA[[#This Row],[Other manager 3: Numbers employed (Full Time Equivalent)]]),"")</f>
        <v/>
      </c>
      <c r="PN79" s="30" t="str">
        <f>IFERROR(IF(DATA[[#This Row],[Care Assistant 1: Numbers employed (Full Time Equivalent)]]=0,"",DATA[[#This Row],[Care Assistant 1: Current 2021/22 Minimum hourly pay rate ADJUSTED 2]]*DATA[[#This Row],[Care Assistant 1: Numbers employed (Full Time Equivalent)]]),"")</f>
        <v/>
      </c>
      <c r="PO79" s="30" t="str">
        <f>IFERROR(IF(DATA[[#This Row],[Care Assistant 1: Numbers employed (Full Time Equivalent)]]=0,"",DATA[[#This Row],[Care Assistant 1: Current 2021/22 Maximum hourly pay rate ADJUSTED 2]]*DATA[[#This Row],[Care Assistant 1: Numbers employed (Full Time Equivalent)]]),"")</f>
        <v/>
      </c>
      <c r="PP79" s="30" t="str">
        <f>IFERROR(IF(DATA[[#This Row],[Care Assistant 1: Numbers employed (Full Time Equivalent)]]=0,"",DATA[[#This Row],[Care Assistant 1: Previous 2020/21 Minimum hourly pay rate ADJUSTED 2]]*DATA[[#This Row],[Care Assistant 1: Numbers employed (Full Time Equivalent)]]),"")</f>
        <v/>
      </c>
      <c r="PQ79" s="30" t="str">
        <f>IFERROR(IF(DATA[[#This Row],[Care Assistant 1: Numbers employed (Full Time Equivalent)]]=0,"",DATA[[#This Row],[Care Assistant 1: Previous 2020/21 Maximum hourly pay rate ADJUSTED 2]]*DATA[[#This Row],[Care Assistant 1: Numbers employed (Full Time Equivalent)]]),"")</f>
        <v/>
      </c>
      <c r="PR79" s="30" t="str">
        <f>IFERROR(IF(DATA[[#This Row],[Care Assistant 2: Numbers employed (Full Time Equivalent)]]=0,"",DATA[[#This Row],[Care Assistant 2: Current 2021/22 Minimum hourly pay rate ADJUSTED 2]]*DATA[[#This Row],[Care Assistant 2: Numbers employed (Full Time Equivalent)]]),"")</f>
        <v/>
      </c>
      <c r="PS79" s="30" t="str">
        <f>IFERROR(IF(DATA[[#This Row],[Care Assistant 2: Numbers employed (Full Time Equivalent)]]=0,"",DATA[[#This Row],[Care Assistant 2: Current 2021/22 Maximum hourly pay rate ADJUSTED 2]]*DATA[[#This Row],[Care Assistant 2: Numbers employed (Full Time Equivalent)]]),"")</f>
        <v/>
      </c>
      <c r="PT79" s="30" t="str">
        <f>IFERROR(IF(DATA[[#This Row],[Care Assistant 2: Numbers employed (Full Time Equivalent)]]=0,"",DATA[[#This Row],[Care Assistant 2: Previous 2020/21 Minimum hourly pay rate ADJUSTED 2]]*DATA[[#This Row],[Care Assistant 2: Numbers employed (Full Time Equivalent)]]),"")</f>
        <v/>
      </c>
      <c r="PU79" s="30" t="str">
        <f>IFERROR(IF(DATA[[#This Row],[Care Assistant 2: Numbers employed (Full Time Equivalent)]]=0,"",DATA[[#This Row],[Care Assistant 2: Previous 2020/21 Maximum hourly pay rate ADJUSTED 2]]*DATA[[#This Row],[Care Assistant 2: Numbers employed (Full Time Equivalent)]]),"")</f>
        <v/>
      </c>
      <c r="PV79" s="30" t="str">
        <f>IFERROR(IF(DATA[[#This Row],[Care Assistant 3: Numbers employed (Full Time Equivalent)]]=0,"",DATA[[#This Row],[Care Assistant 3: Current 2021/22 Minimum hourly pay rate ADJUSTED 2]]*DATA[[#This Row],[Care Assistant 3: Numbers employed (Full Time Equivalent)]]),"")</f>
        <v/>
      </c>
      <c r="PW79" s="30" t="str">
        <f>IFERROR(IF(DATA[[#This Row],[Care Assistant 3: Numbers employed (Full Time Equivalent)]]=0,"",DATA[[#This Row],[Care Assistant 3: Current 2021/22 Maximum hourly pay rate ADJUSTED 2]]*DATA[[#This Row],[Care Assistant 3: Numbers employed (Full Time Equivalent)]]),"")</f>
        <v/>
      </c>
      <c r="PX79" s="30" t="str">
        <f>IFERROR(IF(DATA[[#This Row],[Care Assistant 3: Numbers employed (Full Time Equivalent)]]=0,"",DATA[[#This Row],[Care Assistant 3: Previous 2020/21 Minimum hourly pay rate ADJUSTED 2]]*DATA[[#This Row],[Care Assistant 3: Numbers employed (Full Time Equivalent)]]),"")</f>
        <v/>
      </c>
      <c r="PY79" s="30" t="str">
        <f>IFERROR(IF(DATA[[#This Row],[Care Assistant 3: Numbers employed (Full Time Equivalent)]]=0,"",DATA[[#This Row],[Care Assistant 3: Previous 2020/21 Maximum hourly pay rate ADJUSTED 2]]*DATA[[#This Row],[Care Assistant 3: Numbers employed (Full Time Equivalent)]]),"")</f>
        <v/>
      </c>
      <c r="PZ79" s="30" t="str">
        <f>IFERROR(IF(DATA[[#This Row],[Care Assistant 4: Numbers employed (Full Time Equivalent)]]=0,"",DATA[[#This Row],[Care Assistant 4: Current 2021/22 Minimum hourly pay rate ADJUSTED 2]]*DATA[[#This Row],[Care Assistant 4: Numbers employed (Full Time Equivalent)]]),"")</f>
        <v/>
      </c>
      <c r="QA79" s="30" t="str">
        <f>IFERROR(IF(DATA[[#This Row],[Care Assistant 4: Numbers employed (Full Time Equivalent)]]=0,"",DATA[[#This Row],[Care Assistant 4: Current 2021/22 Maximum hourly pay rate ADJUSTED 2]]*DATA[[#This Row],[Care Assistant 4: Numbers employed (Full Time Equivalent)]]),"")</f>
        <v/>
      </c>
      <c r="QB79" s="30" t="str">
        <f>IFERROR(IF(DATA[[#This Row],[Care Assistant 4: Numbers employed (Full Time Equivalent)]]=0,"",DATA[[#This Row],[Care Assistant 4: Previous 2020/21 Minimum hourly pay rate ADJUSTED 2]]*DATA[[#This Row],[Care Assistant 4: Numbers employed (Full Time Equivalent)]]),"")</f>
        <v/>
      </c>
      <c r="QC79" s="30" t="str">
        <f>IFERROR(IF(DATA[[#This Row],[Care Assistant 4: Numbers employed (Full Time Equivalent)]]=0,"",DATA[[#This Row],[Care Assistant 4: Previous 2020/21 Maximum hourly pay rate ADJUSTED 2]]*DATA[[#This Row],[Care Assistant 4: Numbers employed (Full Time Equivalent)]]),"")</f>
        <v/>
      </c>
      <c r="QD79" s="30" t="str">
        <f>IFERROR(IF(DATA[[#This Row],[Administrative Officer 1: Numbers employed (Full Time Equivalent)]]=0,"",DATA[[#This Row],[Administrative Officer 1: Current 2021/22 Minimum hourly pay rate ADJUSTED 2]]*DATA[[#This Row],[Administrative Officer 1: Numbers employed (Full Time Equivalent)]]),"")</f>
        <v/>
      </c>
      <c r="QE79" s="30" t="str">
        <f>IFERROR(IF(DATA[[#This Row],[Administrative Officer 1: Numbers employed (Full Time Equivalent)]]=0,"",DATA[[#This Row],[Administrative Officer 1: Current 2021/22 Maximum hourly pay rate ADJUSTED 2]]*DATA[[#This Row],[Administrative Officer 1: Numbers employed (Full Time Equivalent)]]),"")</f>
        <v/>
      </c>
      <c r="QF79" s="30" t="str">
        <f>IFERROR(IF(DATA[[#This Row],[Administrative Officer 1: Numbers employed (Full Time Equivalent)]]=0,"",DATA[[#This Row],[Administrative Officer 1: Previous 2020/21 Minimum hourly pay rate ADJUSTED 2]]*DATA[[#This Row],[Administrative Officer 1: Numbers employed (Full Time Equivalent)]]),"")</f>
        <v/>
      </c>
      <c r="QG79" s="30" t="str">
        <f>IFERROR(IF(DATA[[#This Row],[Administrative Officer 1: Numbers employed (Full Time Equivalent)]]=0,"",DATA[[#This Row],[Administrative Officer 1: Previous 2020/21 Maximum hourly pay rate ADJUSTED 2]]*DATA[[#This Row],[Administrative Officer 1: Numbers employed (Full Time Equivalent)]]),"")</f>
        <v/>
      </c>
      <c r="QH79" s="30" t="str">
        <f>IFERROR(IF(DATA[[#This Row],[Administrative Officer 2: Numbers employed (Full Time Equivalent)]]=0,"",DATA[[#This Row],[Administrative Officer 2: Current 2021/22 Minimum hourly pay rate ADJUSTED 2]]*DATA[[#This Row],[Administrative Officer 2: Numbers employed (Full Time Equivalent)]]),"")</f>
        <v/>
      </c>
      <c r="QI79" s="30" t="str">
        <f>IFERROR(IF(DATA[[#This Row],[Administrative Officer 2: Numbers employed (Full Time Equivalent)]]=0,"",DATA[[#This Row],[Administrative Officer 2: Current 2021/22 Maximum hourly pay rate ADJUSTED 2]]*DATA[[#This Row],[Administrative Officer 2: Numbers employed (Full Time Equivalent)]]),"")</f>
        <v/>
      </c>
      <c r="QJ79" s="30" t="str">
        <f>IFERROR(IF(DATA[[#This Row],[Administrative Officer 2: Numbers employed (Full Time Equivalent)]]=0,"",DATA[[#This Row],[Administrative Officer 2: Previous 2020/21 Minimum hourly pay rate ADJUSTED 2]]*DATA[[#This Row],[Administrative Officer 2: Numbers employed (Full Time Equivalent)]]),"")</f>
        <v/>
      </c>
      <c r="QK79" s="30" t="str">
        <f>IFERROR(IF(DATA[[#This Row],[Administrative Officer 2: Numbers employed (Full Time Equivalent)]]=0,"",DATA[[#This Row],[Administrative Officer 2: Previous 2020/21 Maximum hourly pay rate ADJUSTED 2]]*DATA[[#This Row],[Administrative Officer 2: Numbers employed (Full Time Equivalent)]]),"")</f>
        <v/>
      </c>
      <c r="QL79" s="30" t="str">
        <f>IFERROR(IF(DATA[[#This Row],[Administrative Officer 3: Numbers employed (Full Time Equivalent)]]=0,"",DATA[[#This Row],[Administrative Officer 3: Current 2021/22 Minimum hourly pay rate ADJUSTED 2]]*DATA[[#This Row],[Administrative Officer 3: Numbers employed (Full Time Equivalent)]]),"")</f>
        <v/>
      </c>
      <c r="QM79" s="30" t="str">
        <f>IFERROR(IF(DATA[[#This Row],[Administrative Officer 3: Numbers employed (Full Time Equivalent)]]=0,"",DATA[[#This Row],[Administrative Officer 3: Current 2021/22 Maximum hourly pay rate ADJUSTED 2]]*DATA[[#This Row],[Administrative Officer 3: Numbers employed (Full Time Equivalent)]]),"")</f>
        <v/>
      </c>
      <c r="QN79" s="30" t="str">
        <f>IFERROR(IF(DATA[[#This Row],[Administrative Officer 3: Numbers employed (Full Time Equivalent)]]=0,"",DATA[[#This Row],[Administrative Officer 3: Previous 2020/21 Minimum hourly pay rate ADJUSTED 2]]*DATA[[#This Row],[Administrative Officer 3: Numbers employed (Full Time Equivalent)]]),"")</f>
        <v/>
      </c>
      <c r="QO79" s="30" t="str">
        <f>IFERROR(IF(DATA[[#This Row],[Administrative Officer 3: Numbers employed (Full Time Equivalent)]]=0,"",DATA[[#This Row],[Administrative Officer 3: Previous 2020/21 Maximum hourly pay rate ADJUSTED 2]]*DATA[[#This Row],[Administrative Officer 3: Numbers employed (Full Time Equivalent)]]),"")</f>
        <v/>
      </c>
      <c r="QP79" s="28" t="str">
        <f>IFERROR(IF(DATA[[#This Row],[Other staff 1: Numbers employed (Full Time Equivalent)]]=0,"",DATA[[#This Row],[Other staff 1: Current 2021/22 Minimum hourly pay rate ADJUSTED 2]]*DATA[[#This Row],[Other staff 1: Numbers employed (Full Time Equivalent)]]),"")</f>
        <v/>
      </c>
      <c r="QQ79" s="28" t="str">
        <f>IFERROR(IF(DATA[[#This Row],[Other staff 1: Numbers employed (Full Time Equivalent)]]=0,"",DATA[[#This Row],[Other staff 1: Current 2021/22 Maximum hourly pay rate ADJUSTED 2]]*DATA[[#This Row],[Other staff 1: Numbers employed (Full Time Equivalent)]]),"")</f>
        <v/>
      </c>
      <c r="QR79" s="28" t="str">
        <f>IFERROR(IF(DATA[[#This Row],[Other staff 1: Numbers employed (Full Time Equivalent)]]=0,"",DATA[[#This Row],[Other staff 1: Previous 2020/21 Minimum hourly pay rate ADJUSTED 2]]*DATA[[#This Row],[Other staff 1: Numbers employed (Full Time Equivalent)]]),"")</f>
        <v/>
      </c>
      <c r="QS79" s="28" t="str">
        <f>IFERROR(IF(DATA[[#This Row],[Other staff 1: Numbers employed (Full Time Equivalent)]]=0,"",DATA[[#This Row],[Other staff 1: Previous 2020/21 Maximum hourly pay rate ADJUSTED 2]]*DATA[[#This Row],[Other staff 1: Numbers employed (Full Time Equivalent)]]),"")</f>
        <v/>
      </c>
      <c r="QT79" s="28" t="str">
        <f>IFERROR(IF(DATA[[#This Row],[Other staff 2: Numbers employed (Full Time Equivalent)]]=0,"",DATA[[#This Row],[Other staff 2: Current 2021/22 Minimum hourly pay rate ADJUSTED 2]]*DATA[[#This Row],[Other staff 2: Numbers employed (Full Time Equivalent)]]),"")</f>
        <v/>
      </c>
      <c r="QU79" s="28" t="str">
        <f>IFERROR(IF(DATA[[#This Row],[Other staff 2: Numbers employed (Full Time Equivalent)]]=0,"",DATA[[#This Row],[Other staff 2: Current 2021/22 Maximum hourly pay rate ADJUSTED 2]]*DATA[[#This Row],[Other staff 2: Numbers employed (Full Time Equivalent)]]),"")</f>
        <v/>
      </c>
      <c r="QV79" s="28" t="str">
        <f>IFERROR(IF(DATA[[#This Row],[Other staff 2: Numbers employed (Full Time Equivalent)]]=0,"",DATA[[#This Row],[Other staff 2: Previous 2020/21 Minimum hourly pay rate ADJUSTED 2]]*DATA[[#This Row],[Other staff 2: Numbers employed (Full Time Equivalent)]]),"")</f>
        <v/>
      </c>
      <c r="QW79" s="28" t="str">
        <f>IFERROR(IF(DATA[[#This Row],[Other staff 2: Numbers employed (Full Time Equivalent)]]=0,"",DATA[[#This Row],[Other staff 2: Previous 2020/21 Maximum hourly pay rate ADJUSTED 2]]*DATA[[#This Row],[Other staff 2: Numbers employed (Full Time Equivalent)]]),"")</f>
        <v/>
      </c>
      <c r="QX79" s="28" t="str">
        <f>IFERROR(IF(DATA[[#This Row],[Other staff 3: Numbers employed (Full Time Equivalent)]]=0,"",DATA[[#This Row],[Other staff 3: Current 2021/22 Minimum hourly pay rate ADJUSTED 2]]*DATA[[#This Row],[Other staff 3: Numbers employed (Full Time Equivalent)]]),"")</f>
        <v/>
      </c>
      <c r="QY79" s="28" t="str">
        <f>IFERROR(IF(DATA[[#This Row],[Other staff 3: Numbers employed (Full Time Equivalent)]]=0,"",DATA[[#This Row],[Other staff 3: Current 2021/22 Maximum hourly pay rate ADJUSTED 2]]*DATA[[#This Row],[Other staff 3: Numbers employed (Full Time Equivalent)]]),"")</f>
        <v/>
      </c>
      <c r="QZ79" s="28" t="str">
        <f>IFERROR(IF(DATA[[#This Row],[Other staff 3: Numbers employed (Full Time Equivalent)]]=0,"",DATA[[#This Row],[Other staff 3: Previous 2020/21 Minimum hourly pay rate ADJUSTED 2]]*DATA[[#This Row],[Other staff 3: Numbers employed (Full Time Equivalent)]]),"")</f>
        <v/>
      </c>
      <c r="RA79" s="28" t="str">
        <f>IFERROR(IF(DATA[[#This Row],[Other staff 3: Numbers employed (Full Time Equivalent)]]=0,"",DATA[[#This Row],[Other staff 3: Previous 2020/21 Maximum hourly pay rate ADJUSTED 2]]*DATA[[#This Row],[Other staff 3: Numbers employed (Full Time Equivalent)]]),"")</f>
        <v/>
      </c>
      <c r="RB79"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79"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79"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79"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79"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79"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0</v>
      </c>
      <c r="RH79"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79"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79"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79"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79"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79"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79"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79"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79"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80" spans="7:484" x14ac:dyDescent="0.25">
      <c r="G80" s="2">
        <v>74</v>
      </c>
      <c r="H80" s="2">
        <v>2</v>
      </c>
      <c r="I80" s="2">
        <v>0</v>
      </c>
      <c r="J80" s="2">
        <v>1</v>
      </c>
      <c r="K80" s="2">
        <v>0</v>
      </c>
      <c r="L80" s="2" t="s">
        <v>328</v>
      </c>
      <c r="M80" s="2" t="s">
        <v>328</v>
      </c>
      <c r="R80" s="2">
        <v>14.42</v>
      </c>
      <c r="S80" s="2">
        <v>14.42</v>
      </c>
      <c r="T80" s="2">
        <v>14.42</v>
      </c>
      <c r="U80" s="2">
        <v>14.42</v>
      </c>
      <c r="V80" s="2">
        <v>1</v>
      </c>
      <c r="W80" s="2">
        <v>9.25</v>
      </c>
      <c r="X80" s="2">
        <v>9.25</v>
      </c>
      <c r="Y80" s="2">
        <v>9.25</v>
      </c>
      <c r="Z80" s="2">
        <v>9.25</v>
      </c>
      <c r="AA80" s="2">
        <v>2</v>
      </c>
      <c r="AB80" s="2" t="s">
        <v>315</v>
      </c>
      <c r="AC80" s="2">
        <v>0</v>
      </c>
      <c r="AD80" s="2">
        <v>0</v>
      </c>
      <c r="AE80" s="2">
        <v>0</v>
      </c>
      <c r="AF80" s="2">
        <v>0</v>
      </c>
      <c r="AG80" s="2">
        <v>0</v>
      </c>
      <c r="AH80" s="2" t="s">
        <v>315</v>
      </c>
      <c r="AI80" s="2">
        <v>0</v>
      </c>
      <c r="AJ80" s="2">
        <v>0</v>
      </c>
      <c r="AK80" s="2">
        <v>0</v>
      </c>
      <c r="AL80" s="2">
        <v>0</v>
      </c>
      <c r="AM80" s="2">
        <v>0</v>
      </c>
      <c r="AN80" s="2" t="s">
        <v>315</v>
      </c>
      <c r="AO80" s="2">
        <v>0</v>
      </c>
      <c r="AP80" s="2">
        <v>0</v>
      </c>
      <c r="AQ80" s="2">
        <v>0</v>
      </c>
      <c r="AR80" s="2">
        <v>0</v>
      </c>
      <c r="AS80" s="2">
        <v>0</v>
      </c>
      <c r="AT80" s="2" t="s">
        <v>316</v>
      </c>
      <c r="AU80" s="2">
        <v>9.25</v>
      </c>
      <c r="AV80" s="2">
        <v>9.5</v>
      </c>
      <c r="AW80" s="2">
        <v>9</v>
      </c>
      <c r="AX80" s="2">
        <v>9.25</v>
      </c>
      <c r="AY80" s="2">
        <v>36</v>
      </c>
      <c r="AZ80" s="2" t="s">
        <v>619</v>
      </c>
      <c r="BA80" s="2">
        <v>9.25</v>
      </c>
      <c r="BB80" s="2">
        <v>9.5</v>
      </c>
      <c r="BC80" s="2">
        <v>9</v>
      </c>
      <c r="BD80" s="2">
        <v>9.25</v>
      </c>
      <c r="BE80" s="2">
        <v>2</v>
      </c>
      <c r="BF80" s="2" t="s">
        <v>316</v>
      </c>
      <c r="BG80" s="2">
        <v>0</v>
      </c>
      <c r="BH80" s="2">
        <v>0</v>
      </c>
      <c r="BI80" s="2">
        <v>0</v>
      </c>
      <c r="BJ80" s="2">
        <v>0</v>
      </c>
      <c r="BK80" s="2">
        <v>0</v>
      </c>
      <c r="BL80" s="2" t="s">
        <v>316</v>
      </c>
      <c r="BM80" s="2">
        <v>0</v>
      </c>
      <c r="BN80" s="2">
        <v>0</v>
      </c>
      <c r="BO80" s="2">
        <v>0</v>
      </c>
      <c r="BP80" s="2">
        <v>0</v>
      </c>
      <c r="BQ80" s="2">
        <v>0</v>
      </c>
      <c r="BR80" s="2" t="s">
        <v>317</v>
      </c>
      <c r="BS80" s="2">
        <v>10.09</v>
      </c>
      <c r="BT80" s="2">
        <v>10.09</v>
      </c>
      <c r="BU80" s="2">
        <v>10.09</v>
      </c>
      <c r="BV80" s="2">
        <v>10.09</v>
      </c>
      <c r="BW80" s="2">
        <v>2</v>
      </c>
      <c r="BX80" s="2" t="s">
        <v>317</v>
      </c>
      <c r="BY80" s="2">
        <v>0</v>
      </c>
      <c r="BZ80" s="2">
        <v>0</v>
      </c>
      <c r="CA80" s="2">
        <v>0</v>
      </c>
      <c r="CB80" s="2">
        <v>0</v>
      </c>
      <c r="CC80" s="2">
        <v>0</v>
      </c>
      <c r="CD80" s="2" t="s">
        <v>317</v>
      </c>
      <c r="CE80" s="2">
        <v>0</v>
      </c>
      <c r="CF80" s="2">
        <v>0</v>
      </c>
      <c r="CG80" s="2">
        <v>0</v>
      </c>
      <c r="CH80" s="2">
        <v>0</v>
      </c>
      <c r="CI80" s="2">
        <v>0</v>
      </c>
      <c r="CJ80" s="2" t="s">
        <v>318</v>
      </c>
      <c r="CK80" s="2">
        <v>0</v>
      </c>
      <c r="CL80" s="2">
        <v>0</v>
      </c>
      <c r="CM80" s="2">
        <v>0</v>
      </c>
      <c r="CN80" s="2">
        <v>0</v>
      </c>
      <c r="CO80" s="2">
        <v>0</v>
      </c>
      <c r="CP80" s="2" t="s">
        <v>318</v>
      </c>
      <c r="CQ80" s="2">
        <v>0</v>
      </c>
      <c r="CR80" s="2">
        <v>0</v>
      </c>
      <c r="CS80" s="2">
        <v>0</v>
      </c>
      <c r="CT80" s="2">
        <v>0</v>
      </c>
      <c r="CU80" s="2">
        <v>0</v>
      </c>
      <c r="CV80" s="2" t="s">
        <v>318</v>
      </c>
      <c r="CW80" s="2">
        <v>0</v>
      </c>
      <c r="CX80" s="2">
        <v>0</v>
      </c>
      <c r="CY80" s="2">
        <v>0</v>
      </c>
      <c r="CZ80" s="2">
        <v>0</v>
      </c>
      <c r="DA80" s="2">
        <v>0</v>
      </c>
      <c r="DB80" s="2">
        <v>0.03</v>
      </c>
      <c r="DC80" s="2">
        <v>0</v>
      </c>
      <c r="DD80" s="2">
        <v>0</v>
      </c>
      <c r="DE80" s="2">
        <v>0</v>
      </c>
      <c r="DF80" s="2">
        <v>0</v>
      </c>
      <c r="DG80" s="2">
        <v>173.5</v>
      </c>
      <c r="DH80" s="2">
        <v>427</v>
      </c>
      <c r="DI80" s="2">
        <v>0</v>
      </c>
      <c r="DJ80" s="2">
        <v>0</v>
      </c>
      <c r="DK80" s="2">
        <v>0</v>
      </c>
      <c r="DL80" s="2">
        <v>0</v>
      </c>
      <c r="DM80" s="2">
        <v>0</v>
      </c>
      <c r="DN80" s="2">
        <v>0</v>
      </c>
      <c r="DO80" s="2">
        <v>15.58</v>
      </c>
      <c r="DP80" s="2">
        <v>18.95</v>
      </c>
      <c r="DQ80" s="2">
        <v>14.05</v>
      </c>
      <c r="DR80" s="18">
        <v>43922</v>
      </c>
      <c r="DS80" s="18">
        <v>44286</v>
      </c>
      <c r="DT80" s="2">
        <v>0</v>
      </c>
      <c r="DU80" s="2">
        <v>475759</v>
      </c>
      <c r="DV80" s="2">
        <v>19846</v>
      </c>
      <c r="DW80" s="2">
        <v>4794</v>
      </c>
      <c r="DX80" s="2">
        <v>4815</v>
      </c>
      <c r="DY80" s="2">
        <v>0</v>
      </c>
      <c r="DZ80" s="2">
        <v>643</v>
      </c>
      <c r="EA80" s="2">
        <v>0</v>
      </c>
      <c r="EB80" s="2">
        <v>0</v>
      </c>
      <c r="EC80" s="2">
        <v>11792</v>
      </c>
      <c r="ED80" s="2">
        <v>103</v>
      </c>
      <c r="EE80" s="2">
        <v>0</v>
      </c>
      <c r="EF80" s="2">
        <v>0</v>
      </c>
      <c r="EG80" s="2">
        <v>11264</v>
      </c>
      <c r="EH80" s="2" t="s">
        <v>324</v>
      </c>
      <c r="EI80" s="2">
        <v>1379</v>
      </c>
      <c r="EJ80" s="2" t="s">
        <v>324</v>
      </c>
      <c r="EK80" s="2">
        <v>0</v>
      </c>
      <c r="EL80" s="2">
        <v>3463</v>
      </c>
      <c r="EM80" s="2">
        <v>3526</v>
      </c>
      <c r="EN80" s="2">
        <v>21767</v>
      </c>
      <c r="EO80" s="2">
        <v>0</v>
      </c>
      <c r="EP80" s="2">
        <v>0</v>
      </c>
      <c r="EQ80" s="2">
        <v>0</v>
      </c>
      <c r="ER80" s="2">
        <v>565</v>
      </c>
      <c r="ES80" s="2">
        <v>0</v>
      </c>
      <c r="ET80" s="2" t="s">
        <v>324</v>
      </c>
      <c r="EU80" s="2"/>
      <c r="EV80" s="2" t="s">
        <v>324</v>
      </c>
      <c r="EW80" s="2"/>
      <c r="EX80" s="2">
        <v>0</v>
      </c>
      <c r="EY80" s="2">
        <v>9172</v>
      </c>
      <c r="EZ80" s="2" t="s">
        <v>326</v>
      </c>
      <c r="FA80" s="2">
        <v>1411</v>
      </c>
      <c r="FB80" s="2" t="s">
        <v>326</v>
      </c>
      <c r="FC80" s="2">
        <v>0</v>
      </c>
      <c r="FD80" s="2">
        <v>131433</v>
      </c>
      <c r="FE80" s="2">
        <v>70.709999999999994</v>
      </c>
      <c r="FF80" s="2">
        <v>185726</v>
      </c>
      <c r="FG80" s="2"/>
      <c r="FH80" s="19">
        <v>44480.62777777778</v>
      </c>
      <c r="FI80" s="2" t="s">
        <v>345</v>
      </c>
      <c r="FJ80" s="2">
        <f>SUM(DATA[[#This Row],[Number of Home support clients:]],DATA[[#This Row],[Number of supported living clients:]])</f>
        <v>2</v>
      </c>
      <c r="FK80"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80"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14.42</v>
      </c>
      <c r="FM80"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14.42</v>
      </c>
      <c r="FN80"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14.42</v>
      </c>
      <c r="FO80"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14.42</v>
      </c>
      <c r="FP80"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9.25</v>
      </c>
      <c r="FQ80"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9.25</v>
      </c>
      <c r="FR80"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9.25</v>
      </c>
      <c r="FS80"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9.25</v>
      </c>
      <c r="FT80"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80"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80"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80"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80"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80"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80"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80"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80"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80"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80"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80"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80"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9.25</v>
      </c>
      <c r="GG80"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9.5</v>
      </c>
      <c r="GH80"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v>
      </c>
      <c r="GI80"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9.25</v>
      </c>
      <c r="GJ80"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9.25</v>
      </c>
      <c r="GK80"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9.5</v>
      </c>
      <c r="GL80"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v>
      </c>
      <c r="GM80"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9.25</v>
      </c>
      <c r="GN80"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80"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80"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80"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80"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80"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80"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80"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80"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10.09</v>
      </c>
      <c r="GW80"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10.09</v>
      </c>
      <c r="GX80"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10.09</v>
      </c>
      <c r="GY80"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10.09</v>
      </c>
      <c r="GZ80"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80"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80"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80"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80"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80"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80"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80"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80"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80"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80"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80"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80"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80"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80"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80"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80"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80"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80"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80"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80"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14.42</v>
      </c>
      <c r="HU80"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14.42</v>
      </c>
      <c r="HV80"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14.42</v>
      </c>
      <c r="HW80"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14.42</v>
      </c>
      <c r="HX80"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9.25</v>
      </c>
      <c r="HY80"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9.25</v>
      </c>
      <c r="HZ80"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9.25</v>
      </c>
      <c r="IA80"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9.25</v>
      </c>
      <c r="IB80"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80"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80"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80"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80"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80"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80"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80"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80"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80"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80"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80"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80"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9.25</v>
      </c>
      <c r="IO80"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9.5</v>
      </c>
      <c r="IP80"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v>
      </c>
      <c r="IQ80"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9.25</v>
      </c>
      <c r="IR80"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9.25</v>
      </c>
      <c r="IS80"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9.5</v>
      </c>
      <c r="IT80"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v>
      </c>
      <c r="IU80"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9.25</v>
      </c>
      <c r="IV80"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80"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80"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80"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80"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80"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80"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80"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80"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10.09</v>
      </c>
      <c r="JE80"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10.09</v>
      </c>
      <c r="JF80"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10.09</v>
      </c>
      <c r="JG80"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10.09</v>
      </c>
      <c r="JH80"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80"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80"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80"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80"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80"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80"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80"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80"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80"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80"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80"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80"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80"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80"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80"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80"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80"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80"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80"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80"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v>
      </c>
      <c r="KC80" s="21">
        <f>SUM(DATA[[#This Row],[Care Assistant 1: Numbers employed (Full Time Equivalent)]],DATA[[#This Row],[Care Assistant 2: Numbers employed (Full Time Equivalent)]],DATA[[#This Row],[Care Assistant 3: Numbers employed (Full Time Equivalent)]],DATA[[#This Row],[Care Assistant 4: Numbers employed (Full Time Equivalent)]])</f>
        <v>38</v>
      </c>
      <c r="KD80" s="21">
        <f>SUM(DATA[[#This Row],[Administrative Officer 1: Numbers employed (Full Time Equivalent)]],DATA[[#This Row],[Administrative Officer 2: Numbers employed (Full Time Equivalent)]])</f>
        <v>2</v>
      </c>
      <c r="KE80" s="21">
        <f>SUM(DATA[[#This Row],[Other staff 1: Numbers employed (Full Time Equivalent)]],DATA[[#This Row],[Other staff 2: Numbers employed (Full Time Equivalent)]],DATA[[#This Row],[Other staff 3: Numbers employed (Full Time Equivalent)]])</f>
        <v>0</v>
      </c>
      <c r="KF80" s="21">
        <f>SUM(DATA[[#This Row],[Total FTE Management Employees]:[Total FTE Other Employees]])</f>
        <v>43</v>
      </c>
      <c r="KG80" s="21" t="str">
        <f>IF(SUM(DATA[[#This Row],[Home Support service split percentage (Expenditure):]],DATA[[#This Row],[Supported Living service split percentage (Expenditure):]])&gt;0, IF(DATA[[#This Row],[Home Support service split percentage (Expenditure):]]&gt;0.5,"Home Support","Supported Living"), "Unknown")</f>
        <v>Home Support</v>
      </c>
      <c r="KH80" s="21">
        <f>SUM(DATA[[#This Row],[Home Support: Birmingham City Council]:[Home Support: Self-funded]])</f>
        <v>600.5</v>
      </c>
      <c r="KI80" s="21">
        <f>SUM(DATA[[#This Row],[Supported Living: Birmingham City Council]:[Supported Living: Self-funded]])</f>
        <v>0</v>
      </c>
      <c r="KJ80"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80"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80"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80"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80" s="21" t="b">
        <f>SUM(DATA[[#This Row],[Number of hours of care charged for in last full accounting year]:[Corporate Overheads: Other  - please specify (category) 1]])&gt;0</f>
        <v>1</v>
      </c>
      <c r="KO80" s="21">
        <f>SUM(DATA[[#This Row],[Total annual expenditure: Management staff]:[Total annual expenditure: Training and development]])</f>
        <v>505857</v>
      </c>
      <c r="KP80" s="21">
        <f>SUM(DATA[[#This Row],[Recruitment &amp; advertising (including DBS checks)]:[Non-Staffing Direct Cost: Other  - please specify (amount) 2]])</f>
        <v>24538</v>
      </c>
      <c r="KQ80" s="21">
        <f>SUM(DATA[[#This Row],[Insurance ]:[Indirect costs: Other 2 - please specify (amount)]])</f>
        <v>29321</v>
      </c>
      <c r="KR80" s="21">
        <f>SUM(DATA[[#This Row],[Central / Regional Management]],DATA[[#This Row],[Support Services (finance / HR / Payroll / legal etc.)]],DATA[[#This Row],[Corporate Overheads: Other  - please specify (amount) 1]],DATA[[#This Row],[Corporate Overheads: Other  - please specify (amount) 2]])</f>
        <v>10583</v>
      </c>
      <c r="KS80"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80"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80"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80"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80"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80"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80"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80"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80"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80"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80" s="30">
        <f>IF(OR(NOT(DATA[[#This Row],[Care consumables &amp; uniforms]]&gt;0),NOT(DATA[[#This Row],[Number of hours of care charged for in last full accounting year]]&gt;0)),0,DATA[[#This Row],[Care consumables &amp; uniforms]]/DATA[[#This Row],[Number of hours of care charged for in last full accounting year]])</f>
        <v>0</v>
      </c>
      <c r="LD80" s="30">
        <f>IF(OR(NOT(DATA[[#This Row],[Electronic call monitoring]]&gt;0),NOT(DATA[[#This Row],[Number of hours of care charged for in last full accounting year]]&gt;0)),0,DATA[[#This Row],[Electronic call monitoring]]/DATA[[#This Row],[Number of hours of care charged for in last full accounting year]])</f>
        <v>0</v>
      </c>
      <c r="LE80" s="30">
        <f>IF(OR(NOT(DATA[[#This Row],[IT Equipment &amp; Telephoney]]&gt;0),NOT(DATA[[#This Row],[Number of hours of care charged for in last full accounting year]]&gt;0)),0,DATA[[#This Row],[IT Equipment &amp; Telephoney]]/DATA[[#This Row],[Number of hours of care charged for in last full accounting year]])</f>
        <v>0</v>
      </c>
      <c r="LF80"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80"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0" s="30">
        <f>IF(OR(NOT(DATA[[#This Row],[Insurance ]]&gt;0),NOT(DATA[[#This Row],[Number of hours of care charged for in last full accounting year]]&gt;0)),0,DATA[[#This Row],[Insurance ]]/DATA[[#This Row],[Number of hours of care charged for in last full accounting year]])</f>
        <v>0</v>
      </c>
      <c r="LI80"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80" s="30">
        <f>IF(OR(NOT(DATA[[#This Row],[Repairs and maintenance]]&gt;0),NOT(DATA[[#This Row],[Number of hours of care charged for in last full accounting year]]&gt;0)),0,DATA[[#This Row],[Repairs and maintenance]]/DATA[[#This Row],[Number of hours of care charged for in last full accounting year]])</f>
        <v>0</v>
      </c>
      <c r="LK80"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80" s="30">
        <f>IF(OR(NOT(DATA[[#This Row],[Registration &amp; Inspection fees ]]&gt;0),NOT(DATA[[#This Row],[Number of hours of care charged for in last full accounting year]]&gt;0)),0,DATA[[#This Row],[Registration &amp; Inspection fees ]]/DATA[[#This Row],[Number of hours of care charged for in last full accounting year]])</f>
        <v>0</v>
      </c>
      <c r="LM80" s="30">
        <f>IF(OR(NOT(DATA[[#This Row],[Subscriptions]]&gt;0),NOT(DATA[[#This Row],[Number of hours of care charged for in last full accounting year]]&gt;0)),0,DATA[[#This Row],[Subscriptions]]/DATA[[#This Row],[Number of hours of care charged for in last full accounting year]])</f>
        <v>0</v>
      </c>
      <c r="LN80" s="30">
        <f>IF(OR(NOT(DATA[[#This Row],[Cost of finance]]&gt;0),NOT(DATA[[#This Row],[Number of hours of care charged for in last full accounting year]]&gt;0)),0,DATA[[#This Row],[Cost of finance]]/DATA[[#This Row],[Number of hours of care charged for in last full accounting year]])</f>
        <v>0</v>
      </c>
      <c r="LO80" s="30">
        <f>IF(OR(NOT(DATA[[#This Row],[Other non-staff current expenses]]&gt;0),NOT(DATA[[#This Row],[Number of hours of care charged for in last full accounting year]]&gt;0)),0,DATA[[#This Row],[Other non-staff current expenses]]/DATA[[#This Row],[Number of hours of care charged for in last full accounting year]])</f>
        <v>0</v>
      </c>
      <c r="LP80"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80"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80" s="30">
        <f>IF(OR(NOT(DATA[[#This Row],[Central / Regional Management]]&gt;0),NOT(DATA[[#This Row],[Number of hours of care charged for in last full accounting year]]&gt;0)),0,DATA[[#This Row],[Central / Regional Management]]/DATA[[#This Row],[Number of hours of care charged for in last full accounting year]])</f>
        <v>0</v>
      </c>
      <c r="LS80"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80"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0"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0" s="30">
        <f>SUM(DATA[[#This Row],[Management staff HOURLY RATE]:[Corporate Overheads: Other  - please specify (amount) 2 HOURLY RATE]])</f>
        <v>0</v>
      </c>
      <c r="LW80" s="30" t="str">
        <f>IF(OR(NOT(DATA[[#This Row],[Net Operating Profit]]&gt;0),NOT(DATA[[#This Row],[Number of hours of care charged for in last full accounting year]]&gt;0)),"",DATA[[#This Row],[Net Operating Profit]]/DATA[[#This Row],[Number of hours of care charged for in last full accounting year]])</f>
        <v/>
      </c>
      <c r="LX80" s="30">
        <f>IF(OR(NOT(DATA[[#This Row],[Return on Capital employed]]&gt;0),NOT(DATA[[#This Row],[Number of hours of care charged for in last full accounting year]]&gt;0)),0,DATA[[#This Row],[Return on Capital employed]]/DATA[[#This Row],[Number of hours of care charged for in last full accounting year]])</f>
        <v>0</v>
      </c>
      <c r="LY80" s="31">
        <v>75</v>
      </c>
      <c r="LZ80" s="30" t="s">
        <v>345</v>
      </c>
      <c r="MA80" s="30" t="b">
        <f>DATA[[#This Row],[Number of Home support clients:]]&gt;0</f>
        <v>1</v>
      </c>
      <c r="MB80" s="30" t="b">
        <f>DATA[[#This Row],[Number of supported living clients:]]&gt;0</f>
        <v>0</v>
      </c>
      <c r="MC80" s="30" t="b">
        <f>DATA[[#This Row],[Total Home Support Hours]]&gt;0</f>
        <v>1</v>
      </c>
      <c r="MD80" s="30" t="b">
        <f>DATA[[#This Row],[Total Supported Living Hours]]&gt;0</f>
        <v>0</v>
      </c>
      <c r="ME80" s="30" t="b">
        <f>DATA[[#This Row],[Home Support service split percentage (Expenditure):]]&gt;0.5</f>
        <v>1</v>
      </c>
      <c r="MF80" s="30" t="b">
        <f>DATA[[#This Row],[Agency staff HOURLY RATE]]=0</f>
        <v>1</v>
      </c>
      <c r="MG80"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0" s="30">
        <f>IFERROR(IF(AVERAGE(DATA[[#This Row],[Deputy manager: Current 2021/22 Minimum hourly pay rate ADJUSTED]],DATA[[#This Row],[Deputy manager: Current 2021/22 Maximum hourly pay rate ADJUSTED]])&lt;LIVING_WAGE_22_23,DATA[[#This Row],[Deputy manager: Numbers employed (Full Time Equivalent)]],0),"")</f>
        <v>2</v>
      </c>
      <c r="MI80" s="30" t="str">
        <f>IFERROR(IF(AVERAGE(DATA[[#This Row],[Other manager 1: Current 2021/22 Minimum hourly pay rate ADJUSTED]],DATA[[#This Row],[Other manager 1: Current 2021/22 Maximum hourly pay rate ADJUSTED]])&lt;LIVING_WAGE_22_23,DATA[[#This Row],[Other manager 1: Numbers employed (Full Time Equivalent)]],0),"")</f>
        <v/>
      </c>
      <c r="MJ80" s="30" t="str">
        <f>IFERROR(IF(AVERAGE(DATA[[#This Row],[Other manager 2: Current 2021/22 Minimum hourly pay rate ADJUSTED]],DATA[[#This Row],[Other manager 2: Current 2021/22 Maximum hourly pay rate ADJUSTED]])&lt;LIVING_WAGE_22_23,DATA[[#This Row],[Other manager 2: Numbers employed (Full Time Equivalent)]],0),"")</f>
        <v/>
      </c>
      <c r="MK80" s="30" t="str">
        <f>IFERROR(IF(AVERAGE(DATA[[#This Row],[Other manager 3: Current 2021/22 Minimum hourly pay rate ADJUSTED]],DATA[[#This Row],[Other manager 3: Current 2021/22 Maximum hourly pay rate ADJUSTED]])&lt;LIVING_WAGE_22_23,DATA[[#This Row],[Other manager 3: Numbers employed (Full Time Equivalent)]],0),"")</f>
        <v/>
      </c>
      <c r="ML80" s="30">
        <f>IFERROR(IF(AVERAGE(DATA[[#This Row],[Care Assistant 1: Current 2021/22 Minimum hourly pay rate ADJUSTED]],DATA[[#This Row],[Care Assistant 1: Current 2021/22 Maximum hourly pay rate ADJUSTED]])&lt;LIVING_WAGE_22_23,DATA[[#This Row],[Care Assistant 1: Numbers employed (Full Time Equivalent)]],0),"")</f>
        <v>36</v>
      </c>
      <c r="MM80" s="30">
        <f>IFERROR(IF(AVERAGE(DATA[[#This Row],[Care Assistant 2: Current 2021/22 Minimum hourly pay rate ADJUSTED]],DATA[[#This Row],[Care Assistant 2: Current 2021/22 Maximum hourly pay rate ADJUSTED]])&lt;LIVING_WAGE_22_23,DATA[[#This Row],[Care Assistant 2: Numbers employed (Full Time Equivalent)]],0),"")</f>
        <v>2</v>
      </c>
      <c r="MN80" s="30" t="str">
        <f>IFERROR(IF(AVERAGE(DATA[[#This Row],[Care Assistant 3: Current 2021/22 Minimum hourly pay rate ADJUSTED]],DATA[[#This Row],[Care Assistant 3: Current 2021/22 Maximum hourly pay rate ADJUSTED]])&lt;LIVING_WAGE_22_23,DATA[[#This Row],[Care Assistant 3: Numbers employed (Full Time Equivalent)]],0),"")</f>
        <v/>
      </c>
      <c r="MO80" s="30" t="str">
        <f>IFERROR(IF(AVERAGE(DATA[[#This Row],[Care Assistant 4: Current 2021/22 Minimum hourly pay rate ADJUSTED]],DATA[[#This Row],[Care Assistant 4: Current 2021/22 Maximum hourly pay rate ADJUSTED]])&lt;LIVING_WAGE_22_23,DATA[[#This Row],[Care Assistant 4: Numbers employed (Full Time Equivalent)]],0),"")</f>
        <v/>
      </c>
      <c r="MP80"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80"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80" s="30" t="str">
        <f>IFERROR(IF(AVERAGE(DATA[[#This Row],[Other staff 1: Current 2021/22 Minimum hourly pay rate ADJUSTED]],DATA[[#This Row],[Other staff 1: Current 2021/22 Maximum hourly pay rate ADJUSTED]])&lt;LIVING_WAGE_22_23,DATA[[#This Row],[Other staff 1: Numbers employed (Full Time Equivalent)]],0),"")</f>
        <v/>
      </c>
      <c r="MS80" s="30" t="str">
        <f>IFERROR(IF(AVERAGE(DATA[[#This Row],[Other staff 2: Current 2021/22 Minimum hourly pay rate ADJUSTED]],DATA[[#This Row],[Other staff 2: Current 2021/22 Maximum hourly pay rate ADJUSTED]])&lt;LIVING_WAGE_22_23,DATA[[#This Row],[Other staff 2: Numbers employed (Full Time Equivalent)]],0),"")</f>
        <v/>
      </c>
      <c r="MT80" s="30" t="str">
        <f>IFERROR(IF(AVERAGE(DATA[[#This Row],[Other staff 3: Current 2021/22 Minimum hourly pay rate ADJUSTED]],DATA[[#This Row],[Other staff 3: Current 2021/22 Maximum hourly pay rate ADJUSTED]])&lt;LIVING_WAGE_22_23,DATA[[#This Row],[Other staff 3: Numbers employed (Full Time Equivalent)]],0),"")</f>
        <v/>
      </c>
      <c r="MU80" s="30">
        <f>SUM(DATA[[#This Row],[Registered Manager FTE earning less than NLW 23yrs 2022/23]:[Other staff 3 FTE earning less than NLW 23yrs 2022/23]])</f>
        <v>40</v>
      </c>
      <c r="MV80"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0"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0.5</v>
      </c>
      <c r="MX80"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80"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80"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80"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4.5</v>
      </c>
      <c r="NB80"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0.25</v>
      </c>
      <c r="NC80"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80"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80"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80"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80"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80"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80"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80" s="30" t="b">
        <v>1</v>
      </c>
      <c r="NK80" s="30" t="b">
        <v>1</v>
      </c>
      <c r="NL80" s="30" t="s">
        <v>505</v>
      </c>
      <c r="NM80" s="30">
        <f>SUM(DATA[[#This Row],[Management staff HOURLY RATE]:[Training and development HOURLY RATE]])</f>
        <v>0</v>
      </c>
      <c r="NN80" s="30">
        <f>SUM(DATA[[#This Row],[Recruitment &amp; advertising (including DBS checks) HOURLY RATE]:[Non-Staffing Direct Cost: Other  - please specify (amount) 2 HOURLY RATE]])</f>
        <v>0</v>
      </c>
      <c r="NO80" s="30">
        <f>SUM(DATA[[#This Row],[Insurance  HOURLY RATE]:[Indirect costs: Other  - please specify (amount) 2 HOURLY RATE]])</f>
        <v>0</v>
      </c>
      <c r="NP80" s="30">
        <f>SUM(DATA[[#This Row],[Central / Regional Management HOURLY RATE]:[Corporate Overheads: Other  - please specify (amount) 2 HOURLY RATE]])</f>
        <v>0</v>
      </c>
      <c r="NQ80"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0" s="30">
        <f>IFERROR(IF(AVERAGE(DATA[[#This Row],[Deputy manager: Current 2021/22 Minimum hourly pay rate ADJUSTED]],DATA[[#This Row],[Deputy manager: Current 2021/22 Maximum hourly pay rate ADJUSTED]])&lt;REAL_LIVING_WAGE_22_23,DATA[[#This Row],[Deputy manager: Numbers employed (Full Time Equivalent)]],0),"")</f>
        <v>2</v>
      </c>
      <c r="NS80" s="30" t="str">
        <f>IFERROR(IF(AVERAGE(DATA[[#This Row],[Other manager 1: Current 2021/22 Minimum hourly pay rate ADJUSTED]],DATA[[#This Row],[Other manager 1: Current 2021/22 Maximum hourly pay rate ADJUSTED]])&lt;REAL_LIVING_WAGE_22_23,DATA[[#This Row],[Other manager 1: Numbers employed (Full Time Equivalent)]],0),"")</f>
        <v/>
      </c>
      <c r="NT80" s="30" t="str">
        <f>IFERROR(IF(AVERAGE(DATA[[#This Row],[Other manager 2: Current 2021/22 Minimum hourly pay rate ADJUSTED]],DATA[[#This Row],[Other manager 2: Current 2021/22 Maximum hourly pay rate ADJUSTED]])&lt;REAL_LIVING_WAGE_22_23,DATA[[#This Row],[Other manager 2: Numbers employed (Full Time Equivalent)]],0),"")</f>
        <v/>
      </c>
      <c r="NU80" s="30" t="str">
        <f>IFERROR(IF(AVERAGE(DATA[[#This Row],[Other manager 3: Current 2021/22 Minimum hourly pay rate ADJUSTED]],DATA[[#This Row],[Other manager 3: Current 2021/22 Maximum hourly pay rate ADJUSTED]])&lt;REAL_LIVING_WAGE_22_23,DATA[[#This Row],[Other manager 3: Numbers employed (Full Time Equivalent)]],0),"")</f>
        <v/>
      </c>
      <c r="NV80" s="30">
        <f>IFERROR(IF(AVERAGE(DATA[[#This Row],[Care Assistant 1: Current 2021/22 Minimum hourly pay rate ADJUSTED]],DATA[[#This Row],[Care Assistant 1: Current 2021/22 Maximum hourly pay rate ADJUSTED]])&lt;REAL_LIVING_WAGE_22_23,DATA[[#This Row],[Care Assistant 1: Numbers employed (Full Time Equivalent)]],0),"")</f>
        <v>36</v>
      </c>
      <c r="NW80" s="30">
        <f>IFERROR(IF(AVERAGE(DATA[[#This Row],[Care Assistant 2: Current 2021/22 Minimum hourly pay rate ADJUSTED]],DATA[[#This Row],[Care Assistant 2: Current 2021/22 Maximum hourly pay rate ADJUSTED]])&lt;REAL_LIVING_WAGE_22_23,DATA[[#This Row],[Care Assistant 2: Numbers employed (Full Time Equivalent)]],0),"")</f>
        <v>2</v>
      </c>
      <c r="NX80"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80"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80"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80"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80" s="30" t="str">
        <f>IFERROR(IF(AVERAGE(DATA[[#This Row],[Other staff 1: Current 2021/22 Minimum hourly pay rate ADJUSTED]],DATA[[#This Row],[Other staff 1: Current 2021/22 Maximum hourly pay rate ADJUSTED]])&lt;REAL_LIVING_WAGE_22_23,DATA[[#This Row],[Other staff 1: Numbers employed (Full Time Equivalent)]],0),"")</f>
        <v/>
      </c>
      <c r="OC80" s="30" t="str">
        <f>IFERROR(IF(AVERAGE(DATA[[#This Row],[Other staff 2: Current 2021/22 Minimum hourly pay rate ADJUSTED]],DATA[[#This Row],[Other staff 2: Current 2021/22 Maximum hourly pay rate ADJUSTED]])&lt;REAL_LIVING_WAGE_22_23,DATA[[#This Row],[Other staff 2: Numbers employed (Full Time Equivalent)]],0),"")</f>
        <v/>
      </c>
      <c r="OD80" s="30" t="str">
        <f>IFERROR(IF(AVERAGE(DATA[[#This Row],[Other staff 3: Current 2021/22 Minimum hourly pay rate ADJUSTED]],DATA[[#This Row],[Other staff 3: Current 2021/22 Maximum hourly pay rate ADJUSTED]])&lt;REAL_LIVING_WAGE_22_23,DATA[[#This Row],[Other staff 3: Numbers employed (Full Time Equivalent)]],0),"")</f>
        <v/>
      </c>
      <c r="OE80" s="30">
        <f>SUM(DATA[[#This Row],[Registered Manager FTE earning less than RLW 23yrs 2022/23]:[Other staff 3 FTE earning less than RLW 23yrs 2022/23]])</f>
        <v>40</v>
      </c>
      <c r="OF80"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0"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1.3000000000000007</v>
      </c>
      <c r="OH80"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80"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80"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80"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18.900000000000013</v>
      </c>
      <c r="OL80"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1.0500000000000007</v>
      </c>
      <c r="OM80"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80"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80"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80"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80"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80"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80"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80" s="30">
        <f>IFERROR(IF(DATA[[#This Row],[Registered manager: Numbers employed (Full Time Equivalent)]]=0,"",DATA[[#This Row],[Registered manager: Current 2021/22 Minimum hourly pay rate ADJUSTED 2]]*DATA[[#This Row],[Registered manager: Numbers employed (Full Time Equivalent)]]),"")</f>
        <v>14.42</v>
      </c>
      <c r="OU80" s="30">
        <f>IFERROR(IF(DATA[[#This Row],[Registered manager: Numbers employed (Full Time Equivalent)]]=0,"",DATA[[#This Row],[Registered manager: Current 2021/22 Maximum hourly pay rate ADJUSTED 2]]*DATA[[#This Row],[Registered manager: Numbers employed (Full Time Equivalent)]]),"")</f>
        <v>14.42</v>
      </c>
      <c r="OV80" s="30">
        <f>IFERROR(IF(DATA[[#This Row],[Registered manager: Numbers employed (Full Time Equivalent)]]=0,"",DATA[[#This Row],[Registered manager: Previous 2020/21 Minimum hourly pay rate ADJUSTED 2]]*DATA[[#This Row],[Registered manager: Numbers employed (Full Time Equivalent)]]),"")</f>
        <v>14.42</v>
      </c>
      <c r="OW80" s="30">
        <f>IFERROR(IF(DATA[[#This Row],[Registered manager: Numbers employed (Full Time Equivalent)]]=0,"",DATA[[#This Row],[Registered manager: Previous 2020/21 Maximum hourly pay rate ADJUSTED 2]]*DATA[[#This Row],[Registered manager: Numbers employed (Full Time Equivalent)]]),"")</f>
        <v>14.42</v>
      </c>
      <c r="OX80" s="30">
        <f>IFERROR(IF(DATA[[#This Row],[Deputy manager: Numbers employed (Full Time Equivalent)]]=0,"",DATA[[#This Row],[Deputy manager: Current 2021/22 Minimum hourly pay rate ADJUSTED 2]]*DATA[[#This Row],[Deputy manager: Numbers employed (Full Time Equivalent)]]),"")</f>
        <v>18.5</v>
      </c>
      <c r="OY80" s="30">
        <f>IFERROR(IF(DATA[[#This Row],[Deputy manager: Numbers employed (Full Time Equivalent)]]=0,"",DATA[[#This Row],[Deputy manager: Current 2021/22 Maximum hourly pay rate ADJUSTED 2]]*DATA[[#This Row],[Deputy manager: Numbers employed (Full Time Equivalent)]]),"")</f>
        <v>18.5</v>
      </c>
      <c r="OZ80" s="30">
        <f>IFERROR(IF(DATA[[#This Row],[Deputy manager: Numbers employed (Full Time Equivalent)]]=0,"",DATA[[#This Row],[Deputy manager: Previous 2020/21 Minimum hourly pay rate ADJUSTED 2]]*DATA[[#This Row],[Deputy manager: Numbers employed (Full Time Equivalent)]]),"")</f>
        <v>18.5</v>
      </c>
      <c r="PA80" s="30">
        <f>IFERROR(IF(DATA[[#This Row],[Deputy manager: Numbers employed (Full Time Equivalent)]]=0,"",DATA[[#This Row],[Deputy manager: Previous 2020/21 Maximum hourly pay rate ADJUSTED 2]]*DATA[[#This Row],[Deputy manager: Numbers employed (Full Time Equivalent)]]),"")</f>
        <v>18.5</v>
      </c>
      <c r="PB80" s="30" t="str">
        <f>IFERROR(IF(DATA[[#This Row],[Other manager 1: Numbers employed (Full Time Equivalent)]]=0,"",DATA[[#This Row],[Other manager 1: Current 2021/22 Minimum hourly pay rate ADJUSTED 2]]*DATA[[#This Row],[Other manager 1: Numbers employed (Full Time Equivalent)]]),"")</f>
        <v/>
      </c>
      <c r="PC80" s="30" t="str">
        <f>IFERROR(IF(DATA[[#This Row],[Other manager 1: Numbers employed (Full Time Equivalent)]]=0,"",DATA[[#This Row],[Other manager 1: Current 2021/22 Maximum hourly pay rate ADJUSTED 2]]*DATA[[#This Row],[Other manager 1: Numbers employed (Full Time Equivalent)]]),"")</f>
        <v/>
      </c>
      <c r="PD80" s="30" t="str">
        <f>IFERROR(IF(DATA[[#This Row],[Other manager 1: Numbers employed (Full Time Equivalent)]]=0,"",DATA[[#This Row],[Other manager 1: Previous 2020/21 Minimum hourly pay rate ADJUSTED 2]]*DATA[[#This Row],[Other manager 1: Numbers employed (Full Time Equivalent)]]),"")</f>
        <v/>
      </c>
      <c r="PE80" s="30" t="str">
        <f>IFERROR(IF(DATA[[#This Row],[Other manager 1: Numbers employed (Full Time Equivalent)]]=0,"",DATA[[#This Row],[Other manager 1: Previous 2020/21 Maximum hourly pay rate ADJUSTED 2]]*DATA[[#This Row],[Other manager 1: Numbers employed (Full Time Equivalent)]]),"")</f>
        <v/>
      </c>
      <c r="PF80" s="30" t="str">
        <f>IFERROR(IF(DATA[[#This Row],[Other manager 2: Numbers employed (Full Time Equivalent)]]=0,"",DATA[[#This Row],[Other manager 2: Current 2021/22 Minimum hourly pay rate ADJUSTED 2]]*DATA[[#This Row],[Other manager 2: Numbers employed (Full Time Equivalent)]]),"")</f>
        <v/>
      </c>
      <c r="PG80" s="30" t="str">
        <f>IFERROR(IF(DATA[[#This Row],[Other manager 2: Numbers employed (Full Time Equivalent)]]=0,"",DATA[[#This Row],[Other manager 2: Current 2021/22 Maximum hourly pay rate ADJUSTED 2]]*DATA[[#This Row],[Other manager 2: Numbers employed (Full Time Equivalent)]]),"")</f>
        <v/>
      </c>
      <c r="PH80" s="30" t="str">
        <f>IFERROR(IF(DATA[[#This Row],[Other manager 2: Numbers employed (Full Time Equivalent)]]=0,"",DATA[[#This Row],[Other manager 2: Previous 2020/21 Minimum hourly pay rate ADJUSTED 2]]*DATA[[#This Row],[Other manager 2: Numbers employed (Full Time Equivalent)]]),"")</f>
        <v/>
      </c>
      <c r="PI80" s="30" t="str">
        <f>IFERROR(IF(DATA[[#This Row],[Other manager 2: Numbers employed (Full Time Equivalent)]]=0,"",DATA[[#This Row],[Other manager 2: Previous 2020/21 Maximum hourly pay rate ADJUSTED 2]]*DATA[[#This Row],[Other manager 2: Numbers employed (Full Time Equivalent)]]),"")</f>
        <v/>
      </c>
      <c r="PJ80" s="30" t="str">
        <f>IFERROR(IF(DATA[[#This Row],[Other manager 3: Numbers employed (Full Time Equivalent)]]=0,"",DATA[[#This Row],[Other manager 3: Current 2021/22 Minimum hourly pay rate ADJUSTED 2]]*DATA[[#This Row],[Other manager 3: Numbers employed (Full Time Equivalent)]]),"")</f>
        <v/>
      </c>
      <c r="PK80" s="30" t="str">
        <f>IFERROR(IF(DATA[[#This Row],[Other manager 3: Numbers employed (Full Time Equivalent)]]=0,"",DATA[[#This Row],[Other manager 3: Current 2021/22 Maximum hourly pay rate ADJUSTED 2]]*DATA[[#This Row],[Other manager 3: Numbers employed (Full Time Equivalent)]]),"")</f>
        <v/>
      </c>
      <c r="PL80" s="30" t="str">
        <f>IFERROR(IF(DATA[[#This Row],[Other manager 3: Numbers employed (Full Time Equivalent)]]=0,"",DATA[[#This Row],[Other manager 3: Previous 2020/21 Minimum hourly pay rate ADJUSTED 2]]*DATA[[#This Row],[Other manager 3: Numbers employed (Full Time Equivalent)]]),"")</f>
        <v/>
      </c>
      <c r="PM80" s="30" t="str">
        <f>IFERROR(IF(DATA[[#This Row],[Other manager 3: Numbers employed (Full Time Equivalent)]]=0,"",DATA[[#This Row],[Other manager 3: Previous 2020/21 Maximum hourly pay rate ADJUSTED 2]]*DATA[[#This Row],[Other manager 3: Numbers employed (Full Time Equivalent)]]),"")</f>
        <v/>
      </c>
      <c r="PN80" s="30">
        <f>IFERROR(IF(DATA[[#This Row],[Care Assistant 1: Numbers employed (Full Time Equivalent)]]=0,"",DATA[[#This Row],[Care Assistant 1: Current 2021/22 Minimum hourly pay rate ADJUSTED 2]]*DATA[[#This Row],[Care Assistant 1: Numbers employed (Full Time Equivalent)]]),"")</f>
        <v>333</v>
      </c>
      <c r="PO80" s="30">
        <f>IFERROR(IF(DATA[[#This Row],[Care Assistant 1: Numbers employed (Full Time Equivalent)]]=0,"",DATA[[#This Row],[Care Assistant 1: Current 2021/22 Maximum hourly pay rate ADJUSTED 2]]*DATA[[#This Row],[Care Assistant 1: Numbers employed (Full Time Equivalent)]]),"")</f>
        <v>342</v>
      </c>
      <c r="PP80" s="30">
        <f>IFERROR(IF(DATA[[#This Row],[Care Assistant 1: Numbers employed (Full Time Equivalent)]]=0,"",DATA[[#This Row],[Care Assistant 1: Previous 2020/21 Minimum hourly pay rate ADJUSTED 2]]*DATA[[#This Row],[Care Assistant 1: Numbers employed (Full Time Equivalent)]]),"")</f>
        <v>324</v>
      </c>
      <c r="PQ80" s="30">
        <f>IFERROR(IF(DATA[[#This Row],[Care Assistant 1: Numbers employed (Full Time Equivalent)]]=0,"",DATA[[#This Row],[Care Assistant 1: Previous 2020/21 Maximum hourly pay rate ADJUSTED 2]]*DATA[[#This Row],[Care Assistant 1: Numbers employed (Full Time Equivalent)]]),"")</f>
        <v>333</v>
      </c>
      <c r="PR80" s="30">
        <f>IFERROR(IF(DATA[[#This Row],[Care Assistant 2: Numbers employed (Full Time Equivalent)]]=0,"",DATA[[#This Row],[Care Assistant 2: Current 2021/22 Minimum hourly pay rate ADJUSTED 2]]*DATA[[#This Row],[Care Assistant 2: Numbers employed (Full Time Equivalent)]]),"")</f>
        <v>18.5</v>
      </c>
      <c r="PS80" s="30">
        <f>IFERROR(IF(DATA[[#This Row],[Care Assistant 2: Numbers employed (Full Time Equivalent)]]=0,"",DATA[[#This Row],[Care Assistant 2: Current 2021/22 Maximum hourly pay rate ADJUSTED 2]]*DATA[[#This Row],[Care Assistant 2: Numbers employed (Full Time Equivalent)]]),"")</f>
        <v>19</v>
      </c>
      <c r="PT80" s="30">
        <f>IFERROR(IF(DATA[[#This Row],[Care Assistant 2: Numbers employed (Full Time Equivalent)]]=0,"",DATA[[#This Row],[Care Assistant 2: Previous 2020/21 Minimum hourly pay rate ADJUSTED 2]]*DATA[[#This Row],[Care Assistant 2: Numbers employed (Full Time Equivalent)]]),"")</f>
        <v>18</v>
      </c>
      <c r="PU80" s="30">
        <f>IFERROR(IF(DATA[[#This Row],[Care Assistant 2: Numbers employed (Full Time Equivalent)]]=0,"",DATA[[#This Row],[Care Assistant 2: Previous 2020/21 Maximum hourly pay rate ADJUSTED 2]]*DATA[[#This Row],[Care Assistant 2: Numbers employed (Full Time Equivalent)]]),"")</f>
        <v>18.5</v>
      </c>
      <c r="PV80" s="30" t="str">
        <f>IFERROR(IF(DATA[[#This Row],[Care Assistant 3: Numbers employed (Full Time Equivalent)]]=0,"",DATA[[#This Row],[Care Assistant 3: Current 2021/22 Minimum hourly pay rate ADJUSTED 2]]*DATA[[#This Row],[Care Assistant 3: Numbers employed (Full Time Equivalent)]]),"")</f>
        <v/>
      </c>
      <c r="PW80" s="30" t="str">
        <f>IFERROR(IF(DATA[[#This Row],[Care Assistant 3: Numbers employed (Full Time Equivalent)]]=0,"",DATA[[#This Row],[Care Assistant 3: Current 2021/22 Maximum hourly pay rate ADJUSTED 2]]*DATA[[#This Row],[Care Assistant 3: Numbers employed (Full Time Equivalent)]]),"")</f>
        <v/>
      </c>
      <c r="PX80" s="30" t="str">
        <f>IFERROR(IF(DATA[[#This Row],[Care Assistant 3: Numbers employed (Full Time Equivalent)]]=0,"",DATA[[#This Row],[Care Assistant 3: Previous 2020/21 Minimum hourly pay rate ADJUSTED 2]]*DATA[[#This Row],[Care Assistant 3: Numbers employed (Full Time Equivalent)]]),"")</f>
        <v/>
      </c>
      <c r="PY80" s="30" t="str">
        <f>IFERROR(IF(DATA[[#This Row],[Care Assistant 3: Numbers employed (Full Time Equivalent)]]=0,"",DATA[[#This Row],[Care Assistant 3: Previous 2020/21 Maximum hourly pay rate ADJUSTED 2]]*DATA[[#This Row],[Care Assistant 3: Numbers employed (Full Time Equivalent)]]),"")</f>
        <v/>
      </c>
      <c r="PZ80" s="30" t="str">
        <f>IFERROR(IF(DATA[[#This Row],[Care Assistant 4: Numbers employed (Full Time Equivalent)]]=0,"",DATA[[#This Row],[Care Assistant 4: Current 2021/22 Minimum hourly pay rate ADJUSTED 2]]*DATA[[#This Row],[Care Assistant 4: Numbers employed (Full Time Equivalent)]]),"")</f>
        <v/>
      </c>
      <c r="QA80" s="30" t="str">
        <f>IFERROR(IF(DATA[[#This Row],[Care Assistant 4: Numbers employed (Full Time Equivalent)]]=0,"",DATA[[#This Row],[Care Assistant 4: Current 2021/22 Maximum hourly pay rate ADJUSTED 2]]*DATA[[#This Row],[Care Assistant 4: Numbers employed (Full Time Equivalent)]]),"")</f>
        <v/>
      </c>
      <c r="QB80" s="30" t="str">
        <f>IFERROR(IF(DATA[[#This Row],[Care Assistant 4: Numbers employed (Full Time Equivalent)]]=0,"",DATA[[#This Row],[Care Assistant 4: Previous 2020/21 Minimum hourly pay rate ADJUSTED 2]]*DATA[[#This Row],[Care Assistant 4: Numbers employed (Full Time Equivalent)]]),"")</f>
        <v/>
      </c>
      <c r="QC80" s="30" t="str">
        <f>IFERROR(IF(DATA[[#This Row],[Care Assistant 4: Numbers employed (Full Time Equivalent)]]=0,"",DATA[[#This Row],[Care Assistant 4: Previous 2020/21 Maximum hourly pay rate ADJUSTED 2]]*DATA[[#This Row],[Care Assistant 4: Numbers employed (Full Time Equivalent)]]),"")</f>
        <v/>
      </c>
      <c r="QD80" s="30">
        <f>IFERROR(IF(DATA[[#This Row],[Administrative Officer 1: Numbers employed (Full Time Equivalent)]]=0,"",DATA[[#This Row],[Administrative Officer 1: Current 2021/22 Minimum hourly pay rate ADJUSTED 2]]*DATA[[#This Row],[Administrative Officer 1: Numbers employed (Full Time Equivalent)]]),"")</f>
        <v>20.18</v>
      </c>
      <c r="QE80" s="30">
        <f>IFERROR(IF(DATA[[#This Row],[Administrative Officer 1: Numbers employed (Full Time Equivalent)]]=0,"",DATA[[#This Row],[Administrative Officer 1: Current 2021/22 Maximum hourly pay rate ADJUSTED 2]]*DATA[[#This Row],[Administrative Officer 1: Numbers employed (Full Time Equivalent)]]),"")</f>
        <v>20.18</v>
      </c>
      <c r="QF80" s="30">
        <f>IFERROR(IF(DATA[[#This Row],[Administrative Officer 1: Numbers employed (Full Time Equivalent)]]=0,"",DATA[[#This Row],[Administrative Officer 1: Previous 2020/21 Minimum hourly pay rate ADJUSTED 2]]*DATA[[#This Row],[Administrative Officer 1: Numbers employed (Full Time Equivalent)]]),"")</f>
        <v>20.18</v>
      </c>
      <c r="QG80" s="30">
        <f>IFERROR(IF(DATA[[#This Row],[Administrative Officer 1: Numbers employed (Full Time Equivalent)]]=0,"",DATA[[#This Row],[Administrative Officer 1: Previous 2020/21 Maximum hourly pay rate ADJUSTED 2]]*DATA[[#This Row],[Administrative Officer 1: Numbers employed (Full Time Equivalent)]]),"")</f>
        <v>20.18</v>
      </c>
      <c r="QH80" s="30" t="str">
        <f>IFERROR(IF(DATA[[#This Row],[Administrative Officer 2: Numbers employed (Full Time Equivalent)]]=0,"",DATA[[#This Row],[Administrative Officer 2: Current 2021/22 Minimum hourly pay rate ADJUSTED 2]]*DATA[[#This Row],[Administrative Officer 2: Numbers employed (Full Time Equivalent)]]),"")</f>
        <v/>
      </c>
      <c r="QI80" s="30" t="str">
        <f>IFERROR(IF(DATA[[#This Row],[Administrative Officer 2: Numbers employed (Full Time Equivalent)]]=0,"",DATA[[#This Row],[Administrative Officer 2: Current 2021/22 Maximum hourly pay rate ADJUSTED 2]]*DATA[[#This Row],[Administrative Officer 2: Numbers employed (Full Time Equivalent)]]),"")</f>
        <v/>
      </c>
      <c r="QJ80" s="30" t="str">
        <f>IFERROR(IF(DATA[[#This Row],[Administrative Officer 2: Numbers employed (Full Time Equivalent)]]=0,"",DATA[[#This Row],[Administrative Officer 2: Previous 2020/21 Minimum hourly pay rate ADJUSTED 2]]*DATA[[#This Row],[Administrative Officer 2: Numbers employed (Full Time Equivalent)]]),"")</f>
        <v/>
      </c>
      <c r="QK80" s="30" t="str">
        <f>IFERROR(IF(DATA[[#This Row],[Administrative Officer 2: Numbers employed (Full Time Equivalent)]]=0,"",DATA[[#This Row],[Administrative Officer 2: Previous 2020/21 Maximum hourly pay rate ADJUSTED 2]]*DATA[[#This Row],[Administrative Officer 2: Numbers employed (Full Time Equivalent)]]),"")</f>
        <v/>
      </c>
      <c r="QL80" s="30" t="str">
        <f>IFERROR(IF(DATA[[#This Row],[Administrative Officer 3: Numbers employed (Full Time Equivalent)]]=0,"",DATA[[#This Row],[Administrative Officer 3: Current 2021/22 Minimum hourly pay rate ADJUSTED 2]]*DATA[[#This Row],[Administrative Officer 3: Numbers employed (Full Time Equivalent)]]),"")</f>
        <v/>
      </c>
      <c r="QM80" s="30" t="str">
        <f>IFERROR(IF(DATA[[#This Row],[Administrative Officer 3: Numbers employed (Full Time Equivalent)]]=0,"",DATA[[#This Row],[Administrative Officer 3: Current 2021/22 Maximum hourly pay rate ADJUSTED 2]]*DATA[[#This Row],[Administrative Officer 3: Numbers employed (Full Time Equivalent)]]),"")</f>
        <v/>
      </c>
      <c r="QN80" s="30" t="str">
        <f>IFERROR(IF(DATA[[#This Row],[Administrative Officer 3: Numbers employed (Full Time Equivalent)]]=0,"",DATA[[#This Row],[Administrative Officer 3: Previous 2020/21 Minimum hourly pay rate ADJUSTED 2]]*DATA[[#This Row],[Administrative Officer 3: Numbers employed (Full Time Equivalent)]]),"")</f>
        <v/>
      </c>
      <c r="QO80" s="30" t="str">
        <f>IFERROR(IF(DATA[[#This Row],[Administrative Officer 3: Numbers employed (Full Time Equivalent)]]=0,"",DATA[[#This Row],[Administrative Officer 3: Previous 2020/21 Maximum hourly pay rate ADJUSTED 2]]*DATA[[#This Row],[Administrative Officer 3: Numbers employed (Full Time Equivalent)]]),"")</f>
        <v/>
      </c>
      <c r="QP80" s="28" t="str">
        <f>IFERROR(IF(DATA[[#This Row],[Other staff 1: Numbers employed (Full Time Equivalent)]]=0,"",DATA[[#This Row],[Other staff 1: Current 2021/22 Minimum hourly pay rate ADJUSTED 2]]*DATA[[#This Row],[Other staff 1: Numbers employed (Full Time Equivalent)]]),"")</f>
        <v/>
      </c>
      <c r="QQ80" s="28" t="str">
        <f>IFERROR(IF(DATA[[#This Row],[Other staff 1: Numbers employed (Full Time Equivalent)]]=0,"",DATA[[#This Row],[Other staff 1: Current 2021/22 Maximum hourly pay rate ADJUSTED 2]]*DATA[[#This Row],[Other staff 1: Numbers employed (Full Time Equivalent)]]),"")</f>
        <v/>
      </c>
      <c r="QR80" s="28" t="str">
        <f>IFERROR(IF(DATA[[#This Row],[Other staff 1: Numbers employed (Full Time Equivalent)]]=0,"",DATA[[#This Row],[Other staff 1: Previous 2020/21 Minimum hourly pay rate ADJUSTED 2]]*DATA[[#This Row],[Other staff 1: Numbers employed (Full Time Equivalent)]]),"")</f>
        <v/>
      </c>
      <c r="QS80" s="28" t="str">
        <f>IFERROR(IF(DATA[[#This Row],[Other staff 1: Numbers employed (Full Time Equivalent)]]=0,"",DATA[[#This Row],[Other staff 1: Previous 2020/21 Maximum hourly pay rate ADJUSTED 2]]*DATA[[#This Row],[Other staff 1: Numbers employed (Full Time Equivalent)]]),"")</f>
        <v/>
      </c>
      <c r="QT80" s="28" t="str">
        <f>IFERROR(IF(DATA[[#This Row],[Other staff 2: Numbers employed (Full Time Equivalent)]]=0,"",DATA[[#This Row],[Other staff 2: Current 2021/22 Minimum hourly pay rate ADJUSTED 2]]*DATA[[#This Row],[Other staff 2: Numbers employed (Full Time Equivalent)]]),"")</f>
        <v/>
      </c>
      <c r="QU80" s="28" t="str">
        <f>IFERROR(IF(DATA[[#This Row],[Other staff 2: Numbers employed (Full Time Equivalent)]]=0,"",DATA[[#This Row],[Other staff 2: Current 2021/22 Maximum hourly pay rate ADJUSTED 2]]*DATA[[#This Row],[Other staff 2: Numbers employed (Full Time Equivalent)]]),"")</f>
        <v/>
      </c>
      <c r="QV80" s="28" t="str">
        <f>IFERROR(IF(DATA[[#This Row],[Other staff 2: Numbers employed (Full Time Equivalent)]]=0,"",DATA[[#This Row],[Other staff 2: Previous 2020/21 Minimum hourly pay rate ADJUSTED 2]]*DATA[[#This Row],[Other staff 2: Numbers employed (Full Time Equivalent)]]),"")</f>
        <v/>
      </c>
      <c r="QW80" s="28" t="str">
        <f>IFERROR(IF(DATA[[#This Row],[Other staff 2: Numbers employed (Full Time Equivalent)]]=0,"",DATA[[#This Row],[Other staff 2: Previous 2020/21 Maximum hourly pay rate ADJUSTED 2]]*DATA[[#This Row],[Other staff 2: Numbers employed (Full Time Equivalent)]]),"")</f>
        <v/>
      </c>
      <c r="QX80" s="28" t="str">
        <f>IFERROR(IF(DATA[[#This Row],[Other staff 3: Numbers employed (Full Time Equivalent)]]=0,"",DATA[[#This Row],[Other staff 3: Current 2021/22 Minimum hourly pay rate ADJUSTED 2]]*DATA[[#This Row],[Other staff 3: Numbers employed (Full Time Equivalent)]]),"")</f>
        <v/>
      </c>
      <c r="QY80" s="28" t="str">
        <f>IFERROR(IF(DATA[[#This Row],[Other staff 3: Numbers employed (Full Time Equivalent)]]=0,"",DATA[[#This Row],[Other staff 3: Current 2021/22 Maximum hourly pay rate ADJUSTED 2]]*DATA[[#This Row],[Other staff 3: Numbers employed (Full Time Equivalent)]]),"")</f>
        <v/>
      </c>
      <c r="QZ80" s="28" t="str">
        <f>IFERROR(IF(DATA[[#This Row],[Other staff 3: Numbers employed (Full Time Equivalent)]]=0,"",DATA[[#This Row],[Other staff 3: Previous 2020/21 Minimum hourly pay rate ADJUSTED 2]]*DATA[[#This Row],[Other staff 3: Numbers employed (Full Time Equivalent)]]),"")</f>
        <v/>
      </c>
      <c r="RA80" s="28" t="str">
        <f>IFERROR(IF(DATA[[#This Row],[Other staff 3: Numbers employed (Full Time Equivalent)]]=0,"",DATA[[#This Row],[Other staff 3: Previous 2020/21 Maximum hourly pay rate ADJUSTED 2]]*DATA[[#This Row],[Other staff 3: Numbers employed (Full Time Equivalent)]]),"")</f>
        <v/>
      </c>
      <c r="RB80"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80"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2</v>
      </c>
      <c r="RD80"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80"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80"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80"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36</v>
      </c>
      <c r="RH80"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2</v>
      </c>
      <c r="RI80"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80"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80"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2</v>
      </c>
      <c r="RL80"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80"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80"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80"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80"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81" spans="3:484" x14ac:dyDescent="0.25">
      <c r="G81" s="2">
        <v>75</v>
      </c>
      <c r="H81" s="2">
        <v>0</v>
      </c>
      <c r="I81" s="2">
        <v>30</v>
      </c>
      <c r="J81" s="2">
        <v>0</v>
      </c>
      <c r="K81" s="2">
        <v>1</v>
      </c>
      <c r="L81" s="2" t="s">
        <v>328</v>
      </c>
      <c r="M81" s="2" t="s">
        <v>328</v>
      </c>
      <c r="R81" s="2">
        <v>14.24</v>
      </c>
      <c r="S81" s="2">
        <v>15.55</v>
      </c>
      <c r="T81" s="2">
        <v>13.92</v>
      </c>
      <c r="U81" s="2">
        <v>15.2</v>
      </c>
      <c r="V81" s="2">
        <v>1</v>
      </c>
      <c r="W81" s="2">
        <v>10.74</v>
      </c>
      <c r="X81" s="2">
        <v>12.5</v>
      </c>
      <c r="Y81" s="2">
        <v>9.5</v>
      </c>
      <c r="Z81" s="2">
        <v>12.22</v>
      </c>
      <c r="AA81" s="2">
        <v>2.5</v>
      </c>
      <c r="AB81" s="2" t="s">
        <v>315</v>
      </c>
      <c r="AC81" s="2">
        <v>0</v>
      </c>
      <c r="AD81" s="2">
        <v>0</v>
      </c>
      <c r="AE81" s="2">
        <v>0</v>
      </c>
      <c r="AF81" s="2">
        <v>0</v>
      </c>
      <c r="AG81" s="2">
        <v>0</v>
      </c>
      <c r="AH81" s="2" t="s">
        <v>315</v>
      </c>
      <c r="AI81" s="2">
        <v>0</v>
      </c>
      <c r="AJ81" s="2">
        <v>0</v>
      </c>
      <c r="AK81" s="2">
        <v>0</v>
      </c>
      <c r="AL81" s="2">
        <v>0</v>
      </c>
      <c r="AM81" s="2">
        <v>0</v>
      </c>
      <c r="AN81" s="2" t="s">
        <v>315</v>
      </c>
      <c r="AO81" s="2">
        <v>0</v>
      </c>
      <c r="AP81" s="2">
        <v>0</v>
      </c>
      <c r="AQ81" s="2">
        <v>0</v>
      </c>
      <c r="AR81" s="2">
        <v>0</v>
      </c>
      <c r="AS81" s="2">
        <v>0</v>
      </c>
      <c r="AT81" s="2" t="s">
        <v>316</v>
      </c>
      <c r="AU81" s="2">
        <v>9</v>
      </c>
      <c r="AV81" s="2">
        <v>9</v>
      </c>
      <c r="AW81" s="2">
        <v>8.8000000000000007</v>
      </c>
      <c r="AX81" s="2">
        <v>8.8000000000000007</v>
      </c>
      <c r="AY81" s="2">
        <v>26</v>
      </c>
      <c r="AZ81" s="2" t="s">
        <v>316</v>
      </c>
      <c r="BA81" s="2">
        <v>0</v>
      </c>
      <c r="BB81" s="2">
        <v>0</v>
      </c>
      <c r="BC81" s="2">
        <v>0</v>
      </c>
      <c r="BD81" s="2">
        <v>0</v>
      </c>
      <c r="BE81" s="2">
        <v>0</v>
      </c>
      <c r="BF81" s="2" t="s">
        <v>316</v>
      </c>
      <c r="BG81" s="2">
        <v>0</v>
      </c>
      <c r="BH81" s="2">
        <v>0</v>
      </c>
      <c r="BI81" s="2">
        <v>0</v>
      </c>
      <c r="BJ81" s="2">
        <v>0</v>
      </c>
      <c r="BK81" s="2">
        <v>0</v>
      </c>
      <c r="BL81" s="2" t="s">
        <v>316</v>
      </c>
      <c r="BM81" s="2">
        <v>0</v>
      </c>
      <c r="BN81" s="2">
        <v>0</v>
      </c>
      <c r="BO81" s="2">
        <v>0</v>
      </c>
      <c r="BP81" s="2">
        <v>0</v>
      </c>
      <c r="BQ81" s="2">
        <v>0</v>
      </c>
      <c r="BR81" s="2" t="s">
        <v>317</v>
      </c>
      <c r="BS81" s="2">
        <v>0</v>
      </c>
      <c r="BT81" s="2">
        <v>0</v>
      </c>
      <c r="BU81" s="2">
        <v>0</v>
      </c>
      <c r="BV81" s="2">
        <v>0</v>
      </c>
      <c r="BW81" s="2">
        <v>0</v>
      </c>
      <c r="BX81" s="2" t="s">
        <v>317</v>
      </c>
      <c r="BY81" s="2">
        <v>0</v>
      </c>
      <c r="BZ81" s="2">
        <v>0</v>
      </c>
      <c r="CA81" s="2">
        <v>0</v>
      </c>
      <c r="CB81" s="2">
        <v>0</v>
      </c>
      <c r="CC81" s="2">
        <v>0</v>
      </c>
      <c r="CD81" s="2" t="s">
        <v>317</v>
      </c>
      <c r="CE81" s="2">
        <v>0</v>
      </c>
      <c r="CF81" s="2">
        <v>0</v>
      </c>
      <c r="CG81" s="2">
        <v>0</v>
      </c>
      <c r="CH81" s="2">
        <v>0</v>
      </c>
      <c r="CI81" s="2">
        <v>0</v>
      </c>
      <c r="CJ81" s="2" t="s">
        <v>318</v>
      </c>
      <c r="CK81" s="2">
        <v>0</v>
      </c>
      <c r="CL81" s="2">
        <v>0</v>
      </c>
      <c r="CM81" s="2">
        <v>0</v>
      </c>
      <c r="CN81" s="2">
        <v>0</v>
      </c>
      <c r="CO81" s="2">
        <v>0</v>
      </c>
      <c r="CP81" s="2" t="s">
        <v>318</v>
      </c>
      <c r="CQ81" s="2">
        <v>0</v>
      </c>
      <c r="CR81" s="2">
        <v>0</v>
      </c>
      <c r="CS81" s="2">
        <v>0</v>
      </c>
      <c r="CT81" s="2">
        <v>0</v>
      </c>
      <c r="CU81" s="2">
        <v>0</v>
      </c>
      <c r="CV81" s="2" t="s">
        <v>318</v>
      </c>
      <c r="CW81" s="2">
        <v>0</v>
      </c>
      <c r="CX81" s="2">
        <v>0</v>
      </c>
      <c r="CY81" s="2">
        <v>0</v>
      </c>
      <c r="CZ81" s="2">
        <v>0</v>
      </c>
      <c r="DA81" s="2">
        <v>0</v>
      </c>
      <c r="DB81" s="2">
        <v>0.03</v>
      </c>
      <c r="DC81" s="2">
        <v>0</v>
      </c>
      <c r="DD81" s="2">
        <v>0</v>
      </c>
      <c r="DE81" s="2">
        <v>0</v>
      </c>
      <c r="DF81" s="2">
        <v>0</v>
      </c>
      <c r="DG81" s="2">
        <v>0</v>
      </c>
      <c r="DH81" s="2">
        <v>0</v>
      </c>
      <c r="DI81" s="2">
        <v>487</v>
      </c>
      <c r="DJ81" s="2">
        <v>227</v>
      </c>
      <c r="DK81" s="2">
        <v>0</v>
      </c>
      <c r="DL81" s="2">
        <v>0</v>
      </c>
      <c r="DM81" s="2">
        <v>677.5</v>
      </c>
      <c r="DN81" s="2">
        <v>64.5</v>
      </c>
      <c r="DO81" s="2">
        <v>15</v>
      </c>
      <c r="DP81" s="2">
        <v>15</v>
      </c>
      <c r="DQ81" s="2">
        <v>0</v>
      </c>
      <c r="DR81" s="18">
        <v>43922</v>
      </c>
      <c r="DS81" s="18">
        <v>44286</v>
      </c>
      <c r="DT81" s="2">
        <v>75712</v>
      </c>
      <c r="DU81" s="2">
        <v>101088.76</v>
      </c>
      <c r="DV81" s="2">
        <v>683772.8</v>
      </c>
      <c r="DW81" s="2">
        <v>0</v>
      </c>
      <c r="DX81" s="2">
        <v>0</v>
      </c>
      <c r="DY81" s="2">
        <v>0</v>
      </c>
      <c r="DZ81" s="2">
        <v>0</v>
      </c>
      <c r="EA81" s="2">
        <v>0</v>
      </c>
      <c r="EB81" s="2">
        <v>6450</v>
      </c>
      <c r="EC81" s="2">
        <v>550</v>
      </c>
      <c r="ED81" s="2">
        <v>0</v>
      </c>
      <c r="EE81" s="2">
        <v>0</v>
      </c>
      <c r="EF81" s="2">
        <v>0</v>
      </c>
      <c r="EG81" s="2">
        <v>0</v>
      </c>
      <c r="EH81" s="2" t="s">
        <v>324</v>
      </c>
      <c r="EI81" s="2">
        <v>0</v>
      </c>
      <c r="EJ81" s="2" t="s">
        <v>324</v>
      </c>
      <c r="EK81" s="2">
        <v>0</v>
      </c>
      <c r="EL81" s="2">
        <v>12894.81</v>
      </c>
      <c r="EM81" s="2">
        <v>36329</v>
      </c>
      <c r="EN81" s="2">
        <v>83593.41</v>
      </c>
      <c r="EO81" s="2">
        <v>98300</v>
      </c>
      <c r="EP81" s="2">
        <v>536</v>
      </c>
      <c r="EQ81" s="2">
        <v>0</v>
      </c>
      <c r="ER81" s="2">
        <v>0</v>
      </c>
      <c r="ES81" s="2">
        <v>0</v>
      </c>
      <c r="ET81" s="2" t="s">
        <v>324</v>
      </c>
      <c r="EU81" s="2">
        <v>0</v>
      </c>
      <c r="EV81" s="2" t="s">
        <v>324</v>
      </c>
      <c r="EW81" s="2">
        <v>0</v>
      </c>
      <c r="EX81" s="2">
        <v>84639.78</v>
      </c>
      <c r="EY81" s="2">
        <v>7153.85</v>
      </c>
      <c r="EZ81" s="2" t="s">
        <v>326</v>
      </c>
      <c r="FA81" s="2">
        <v>0</v>
      </c>
      <c r="FB81" s="2" t="s">
        <v>326</v>
      </c>
      <c r="FC81" s="2">
        <v>0</v>
      </c>
      <c r="FD81" s="2"/>
      <c r="FE81" s="2">
        <v>33000</v>
      </c>
      <c r="FF81" s="2">
        <v>746000</v>
      </c>
      <c r="FG81" s="2"/>
      <c r="FH81" s="19">
        <v>44480.627824074072</v>
      </c>
      <c r="FI81" s="2" t="s">
        <v>345</v>
      </c>
      <c r="FJ81" s="2">
        <f>SUM(DATA[[#This Row],[Number of Home support clients:]],DATA[[#This Row],[Number of supported living clients:]])</f>
        <v>30</v>
      </c>
      <c r="FK81"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81"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14.24</v>
      </c>
      <c r="FM81"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15.55</v>
      </c>
      <c r="FN81"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13.92</v>
      </c>
      <c r="FO81"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15.2</v>
      </c>
      <c r="FP81"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10.74</v>
      </c>
      <c r="FQ81"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12.5</v>
      </c>
      <c r="FR81"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9.5</v>
      </c>
      <c r="FS81"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12.22</v>
      </c>
      <c r="FT81"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81"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81"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81"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81"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81"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81"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81"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81"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81"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81"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81"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81"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v>
      </c>
      <c r="GG81"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v>
      </c>
      <c r="GH81"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8.8000000000000007</v>
      </c>
      <c r="GI81"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8.8000000000000007</v>
      </c>
      <c r="GJ81"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81"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81"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81"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81"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81"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81"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81"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81"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81"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81"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81"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81"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81"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81"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81"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81"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81"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81"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81"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81"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81"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81"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81"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81"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81"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81"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81"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81"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81"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81"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81"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81"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81"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81"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81"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81"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14.24</v>
      </c>
      <c r="HU81"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15.55</v>
      </c>
      <c r="HV81"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13.92</v>
      </c>
      <c r="HW81"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15.2</v>
      </c>
      <c r="HX81"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10.74</v>
      </c>
      <c r="HY81"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12.5</v>
      </c>
      <c r="HZ81"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9.5</v>
      </c>
      <c r="IA81"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12.22</v>
      </c>
      <c r="IB81"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81"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81"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81"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81"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81"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81"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81"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81"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81"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81"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81"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81"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v>
      </c>
      <c r="IO81"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v>
      </c>
      <c r="IP81"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8.8000000000000007</v>
      </c>
      <c r="IQ81"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8.8000000000000007</v>
      </c>
      <c r="IR81"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81"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81"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81"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81"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81"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81"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81"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81"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81"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81"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81"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81"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81"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81"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81"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81"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81"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81"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81"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81"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81"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81"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81"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81"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81"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81"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81"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81"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81"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81"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81"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81"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81"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81"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81"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81"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3.5</v>
      </c>
      <c r="KC81" s="21">
        <f>SUM(DATA[[#This Row],[Care Assistant 1: Numbers employed (Full Time Equivalent)]],DATA[[#This Row],[Care Assistant 2: Numbers employed (Full Time Equivalent)]],DATA[[#This Row],[Care Assistant 3: Numbers employed (Full Time Equivalent)]],DATA[[#This Row],[Care Assistant 4: Numbers employed (Full Time Equivalent)]])</f>
        <v>26</v>
      </c>
      <c r="KD81" s="21">
        <f>SUM(DATA[[#This Row],[Administrative Officer 1: Numbers employed (Full Time Equivalent)]],DATA[[#This Row],[Administrative Officer 2: Numbers employed (Full Time Equivalent)]])</f>
        <v>0</v>
      </c>
      <c r="KE81" s="21">
        <f>SUM(DATA[[#This Row],[Other staff 1: Numbers employed (Full Time Equivalent)]],DATA[[#This Row],[Other staff 2: Numbers employed (Full Time Equivalent)]],DATA[[#This Row],[Other staff 3: Numbers employed (Full Time Equivalent)]])</f>
        <v>0</v>
      </c>
      <c r="KF81" s="21">
        <f>SUM(DATA[[#This Row],[Total FTE Management Employees]:[Total FTE Other Employees]])</f>
        <v>29.5</v>
      </c>
      <c r="KG81" s="21" t="str">
        <f>IF(SUM(DATA[[#This Row],[Home Support service split percentage (Expenditure):]],DATA[[#This Row],[Supported Living service split percentage (Expenditure):]])&gt;0, IF(DATA[[#This Row],[Home Support service split percentage (Expenditure):]]&gt;0.5,"Home Support","Supported Living"), "Unknown")</f>
        <v>Supported Living</v>
      </c>
      <c r="KH81" s="21">
        <f>SUM(DATA[[#This Row],[Home Support: Birmingham City Council]:[Home Support: Self-funded]])</f>
        <v>0</v>
      </c>
      <c r="KI81" s="21">
        <f>SUM(DATA[[#This Row],[Supported Living: Birmingham City Council]:[Supported Living: Self-funded]])</f>
        <v>1456</v>
      </c>
      <c r="KJ81"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81"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81"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81"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81" s="21" t="b">
        <f>SUM(DATA[[#This Row],[Number of hours of care charged for in last full accounting year]:[Corporate Overheads: Other  - please specify (category) 1]])&gt;0</f>
        <v>1</v>
      </c>
      <c r="KO81" s="21">
        <f>SUM(DATA[[#This Row],[Total annual expenditure: Management staff]:[Total annual expenditure: Training and development]])</f>
        <v>791311.56</v>
      </c>
      <c r="KP81" s="21">
        <f>SUM(DATA[[#This Row],[Recruitment &amp; advertising (including DBS checks)]:[Non-Staffing Direct Cost: Other  - please specify (amount) 2]])</f>
        <v>550</v>
      </c>
      <c r="KQ81" s="21">
        <f>SUM(DATA[[#This Row],[Insurance ]:[Indirect costs: Other 2 - please specify (amount)]])</f>
        <v>231653.22</v>
      </c>
      <c r="KR81" s="21">
        <f>SUM(DATA[[#This Row],[Central / Regional Management]],DATA[[#This Row],[Support Services (finance / HR / Payroll / legal etc.)]],DATA[[#This Row],[Corporate Overheads: Other  - please specify (amount) 1]],DATA[[#This Row],[Corporate Overheads: Other  - please specify (amount) 2]])</f>
        <v>91793.63</v>
      </c>
      <c r="KS81"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1.3351748732037192</v>
      </c>
      <c r="KT81"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9.0312341504649201</v>
      </c>
      <c r="KU81"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81"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81"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81"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81"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81"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8.5191251056635678E-2</v>
      </c>
      <c r="LA81"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7.2643702451394756E-3</v>
      </c>
      <c r="LB81"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81" s="30">
        <f>IF(OR(NOT(DATA[[#This Row],[Care consumables &amp; uniforms]]&gt;0),NOT(DATA[[#This Row],[Number of hours of care charged for in last full accounting year]]&gt;0)),0,DATA[[#This Row],[Care consumables &amp; uniforms]]/DATA[[#This Row],[Number of hours of care charged for in last full accounting year]])</f>
        <v>0</v>
      </c>
      <c r="LD81" s="30">
        <f>IF(OR(NOT(DATA[[#This Row],[Electronic call monitoring]]&gt;0),NOT(DATA[[#This Row],[Number of hours of care charged for in last full accounting year]]&gt;0)),0,DATA[[#This Row],[Electronic call monitoring]]/DATA[[#This Row],[Number of hours of care charged for in last full accounting year]])</f>
        <v>0</v>
      </c>
      <c r="LE81" s="30">
        <f>IF(OR(NOT(DATA[[#This Row],[IT Equipment &amp; Telephoney]]&gt;0),NOT(DATA[[#This Row],[Number of hours of care charged for in last full accounting year]]&gt;0)),0,DATA[[#This Row],[IT Equipment &amp; Telephoney]]/DATA[[#This Row],[Number of hours of care charged for in last full accounting year]])</f>
        <v>0</v>
      </c>
      <c r="LF81"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81"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1" s="30">
        <f>IF(OR(NOT(DATA[[#This Row],[Insurance ]]&gt;0),NOT(DATA[[#This Row],[Number of hours of care charged for in last full accounting year]]&gt;0)),0,DATA[[#This Row],[Insurance ]]/DATA[[#This Row],[Number of hours of care charged for in last full accounting year]])</f>
        <v>0.17031395287404902</v>
      </c>
      <c r="LI81"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0.47983146661031278</v>
      </c>
      <c r="LJ81" s="30">
        <f>IF(OR(NOT(DATA[[#This Row],[Repairs and maintenance]]&gt;0),NOT(DATA[[#This Row],[Number of hours of care charged for in last full accounting year]]&gt;0)),0,DATA[[#This Row],[Repairs and maintenance]]/DATA[[#This Row],[Number of hours of care charged for in last full accounting year]])</f>
        <v>1.1040972368977178</v>
      </c>
      <c r="LK81"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1.2983410819949281</v>
      </c>
      <c r="LL81" s="30">
        <f>IF(OR(NOT(DATA[[#This Row],[Registration &amp; Inspection fees ]]&gt;0),NOT(DATA[[#This Row],[Number of hours of care charged for in last full accounting year]]&gt;0)),0,DATA[[#This Row],[Registration &amp; Inspection fees ]]/DATA[[#This Row],[Number of hours of care charged for in last full accounting year]])</f>
        <v>7.0794590025359252E-3</v>
      </c>
      <c r="LM81" s="30">
        <f>IF(OR(NOT(DATA[[#This Row],[Subscriptions]]&gt;0),NOT(DATA[[#This Row],[Number of hours of care charged for in last full accounting year]]&gt;0)),0,DATA[[#This Row],[Subscriptions]]/DATA[[#This Row],[Number of hours of care charged for in last full accounting year]])</f>
        <v>0</v>
      </c>
      <c r="LN81" s="30">
        <f>IF(OR(NOT(DATA[[#This Row],[Cost of finance]]&gt;0),NOT(DATA[[#This Row],[Number of hours of care charged for in last full accounting year]]&gt;0)),0,DATA[[#This Row],[Cost of finance]]/DATA[[#This Row],[Number of hours of care charged for in last full accounting year]])</f>
        <v>0</v>
      </c>
      <c r="LO81" s="30">
        <f>IF(OR(NOT(DATA[[#This Row],[Other non-staff current expenses]]&gt;0),NOT(DATA[[#This Row],[Number of hours of care charged for in last full accounting year]]&gt;0)),0,DATA[[#This Row],[Other non-staff current expenses]]/DATA[[#This Row],[Number of hours of care charged for in last full accounting year]])</f>
        <v>0</v>
      </c>
      <c r="LP81"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81"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81" s="30">
        <f>IF(OR(NOT(DATA[[#This Row],[Central / Regional Management]]&gt;0),NOT(DATA[[#This Row],[Number of hours of care charged for in last full accounting year]]&gt;0)),0,DATA[[#This Row],[Central / Regional Management]]/DATA[[#This Row],[Number of hours of care charged for in last full accounting year]])</f>
        <v>1.117917635249366</v>
      </c>
      <c r="LS81"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9.4487663778529171E-2</v>
      </c>
      <c r="LT81"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1"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1" s="30">
        <f>SUM(DATA[[#This Row],[Management staff HOURLY RATE]:[Corporate Overheads: Other  - please specify (amount) 2 HOURLY RATE]])</f>
        <v>14.730933141377852</v>
      </c>
      <c r="LW81" s="30" t="str">
        <f>IF(OR(NOT(DATA[[#This Row],[Net Operating Profit]]&gt;0),NOT(DATA[[#This Row],[Number of hours of care charged for in last full accounting year]]&gt;0)),"",DATA[[#This Row],[Net Operating Profit]]/DATA[[#This Row],[Number of hours of care charged for in last full accounting year]])</f>
        <v/>
      </c>
      <c r="LX81" s="30">
        <f>IF(OR(NOT(DATA[[#This Row],[Return on Capital employed]]&gt;0),NOT(DATA[[#This Row],[Number of hours of care charged for in last full accounting year]]&gt;0)),0,DATA[[#This Row],[Return on Capital employed]]/DATA[[#This Row],[Number of hours of care charged for in last full accounting year]])</f>
        <v>0.43586221470836856</v>
      </c>
      <c r="LY81" s="31">
        <v>76</v>
      </c>
      <c r="LZ81" s="30" t="s">
        <v>345</v>
      </c>
      <c r="MA81" s="30" t="b">
        <f>DATA[[#This Row],[Number of Home support clients:]]&gt;0</f>
        <v>0</v>
      </c>
      <c r="MB81" s="30" t="b">
        <f>DATA[[#This Row],[Number of supported living clients:]]&gt;0</f>
        <v>1</v>
      </c>
      <c r="MC81" s="30" t="b">
        <f>DATA[[#This Row],[Total Home Support Hours]]&gt;0</f>
        <v>0</v>
      </c>
      <c r="MD81" s="30" t="b">
        <f>DATA[[#This Row],[Total Supported Living Hours]]&gt;0</f>
        <v>1</v>
      </c>
      <c r="ME81" s="30" t="b">
        <f>DATA[[#This Row],[Home Support service split percentage (Expenditure):]]&gt;0.5</f>
        <v>0</v>
      </c>
      <c r="MF81" s="30" t="b">
        <f>DATA[[#This Row],[Agency staff HOURLY RATE]]=0</f>
        <v>1</v>
      </c>
      <c r="MG81"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1" s="30">
        <f>IFERROR(IF(AVERAGE(DATA[[#This Row],[Deputy manager: Current 2021/22 Minimum hourly pay rate ADJUSTED]],DATA[[#This Row],[Deputy manager: Current 2021/22 Maximum hourly pay rate ADJUSTED]])&lt;LIVING_WAGE_22_23,DATA[[#This Row],[Deputy manager: Numbers employed (Full Time Equivalent)]],0),"")</f>
        <v>0</v>
      </c>
      <c r="MI81" s="30" t="str">
        <f>IFERROR(IF(AVERAGE(DATA[[#This Row],[Other manager 1: Current 2021/22 Minimum hourly pay rate ADJUSTED]],DATA[[#This Row],[Other manager 1: Current 2021/22 Maximum hourly pay rate ADJUSTED]])&lt;LIVING_WAGE_22_23,DATA[[#This Row],[Other manager 1: Numbers employed (Full Time Equivalent)]],0),"")</f>
        <v/>
      </c>
      <c r="MJ81" s="30" t="str">
        <f>IFERROR(IF(AVERAGE(DATA[[#This Row],[Other manager 2: Current 2021/22 Minimum hourly pay rate ADJUSTED]],DATA[[#This Row],[Other manager 2: Current 2021/22 Maximum hourly pay rate ADJUSTED]])&lt;LIVING_WAGE_22_23,DATA[[#This Row],[Other manager 2: Numbers employed (Full Time Equivalent)]],0),"")</f>
        <v/>
      </c>
      <c r="MK81" s="30" t="str">
        <f>IFERROR(IF(AVERAGE(DATA[[#This Row],[Other manager 3: Current 2021/22 Minimum hourly pay rate ADJUSTED]],DATA[[#This Row],[Other manager 3: Current 2021/22 Maximum hourly pay rate ADJUSTED]])&lt;LIVING_WAGE_22_23,DATA[[#This Row],[Other manager 3: Numbers employed (Full Time Equivalent)]],0),"")</f>
        <v/>
      </c>
      <c r="ML81" s="30">
        <f>IFERROR(IF(AVERAGE(DATA[[#This Row],[Care Assistant 1: Current 2021/22 Minimum hourly pay rate ADJUSTED]],DATA[[#This Row],[Care Assistant 1: Current 2021/22 Maximum hourly pay rate ADJUSTED]])&lt;LIVING_WAGE_22_23,DATA[[#This Row],[Care Assistant 1: Numbers employed (Full Time Equivalent)]],0),"")</f>
        <v>26</v>
      </c>
      <c r="MM81" s="30" t="str">
        <f>IFERROR(IF(AVERAGE(DATA[[#This Row],[Care Assistant 2: Current 2021/22 Minimum hourly pay rate ADJUSTED]],DATA[[#This Row],[Care Assistant 2: Current 2021/22 Maximum hourly pay rate ADJUSTED]])&lt;LIVING_WAGE_22_23,DATA[[#This Row],[Care Assistant 2: Numbers employed (Full Time Equivalent)]],0),"")</f>
        <v/>
      </c>
      <c r="MN81" s="30" t="str">
        <f>IFERROR(IF(AVERAGE(DATA[[#This Row],[Care Assistant 3: Current 2021/22 Minimum hourly pay rate ADJUSTED]],DATA[[#This Row],[Care Assistant 3: Current 2021/22 Maximum hourly pay rate ADJUSTED]])&lt;LIVING_WAGE_22_23,DATA[[#This Row],[Care Assistant 3: Numbers employed (Full Time Equivalent)]],0),"")</f>
        <v/>
      </c>
      <c r="MO81" s="30" t="str">
        <f>IFERROR(IF(AVERAGE(DATA[[#This Row],[Care Assistant 4: Current 2021/22 Minimum hourly pay rate ADJUSTED]],DATA[[#This Row],[Care Assistant 4: Current 2021/22 Maximum hourly pay rate ADJUSTED]])&lt;LIVING_WAGE_22_23,DATA[[#This Row],[Care Assistant 4: Numbers employed (Full Time Equivalent)]],0),"")</f>
        <v/>
      </c>
      <c r="MP81"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81"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81" s="30" t="str">
        <f>IFERROR(IF(AVERAGE(DATA[[#This Row],[Other staff 1: Current 2021/22 Minimum hourly pay rate ADJUSTED]],DATA[[#This Row],[Other staff 1: Current 2021/22 Maximum hourly pay rate ADJUSTED]])&lt;LIVING_WAGE_22_23,DATA[[#This Row],[Other staff 1: Numbers employed (Full Time Equivalent)]],0),"")</f>
        <v/>
      </c>
      <c r="MS81" s="30" t="str">
        <f>IFERROR(IF(AVERAGE(DATA[[#This Row],[Other staff 2: Current 2021/22 Minimum hourly pay rate ADJUSTED]],DATA[[#This Row],[Other staff 2: Current 2021/22 Maximum hourly pay rate ADJUSTED]])&lt;LIVING_WAGE_22_23,DATA[[#This Row],[Other staff 2: Numbers employed (Full Time Equivalent)]],0),"")</f>
        <v/>
      </c>
      <c r="MT81" s="30" t="str">
        <f>IFERROR(IF(AVERAGE(DATA[[#This Row],[Other staff 3: Current 2021/22 Minimum hourly pay rate ADJUSTED]],DATA[[#This Row],[Other staff 3: Current 2021/22 Maximum hourly pay rate ADJUSTED]])&lt;LIVING_WAGE_22_23,DATA[[#This Row],[Other staff 3: Numbers employed (Full Time Equivalent)]],0),"")</f>
        <v/>
      </c>
      <c r="MU81" s="30">
        <f>SUM(DATA[[#This Row],[Registered Manager FTE earning less than NLW 23yrs 2022/23]:[Other staff 3 FTE earning less than NLW 23yrs 2022/23]])</f>
        <v>26</v>
      </c>
      <c r="MV81"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1"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81"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81"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81"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81"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13</v>
      </c>
      <c r="NB81"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81"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81"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81"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81"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81"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81"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81"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81" s="30" t="b">
        <v>0</v>
      </c>
      <c r="NK81" s="30" t="b">
        <v>1</v>
      </c>
      <c r="NL81" s="30" t="s">
        <v>972</v>
      </c>
      <c r="NM81" s="30">
        <f>SUM(DATA[[#This Row],[Management staff HOURLY RATE]:[Training and development HOURLY RATE]])</f>
        <v>10.451600274725275</v>
      </c>
      <c r="NN81" s="30">
        <f>SUM(DATA[[#This Row],[Recruitment &amp; advertising (including DBS checks) HOURLY RATE]:[Non-Staffing Direct Cost: Other  - please specify (amount) 2 HOURLY RATE]])</f>
        <v>7.2643702451394756E-3</v>
      </c>
      <c r="NO81" s="30">
        <f>SUM(DATA[[#This Row],[Insurance  HOURLY RATE]:[Indirect costs: Other  - please specify (amount) 2 HOURLY RATE]])</f>
        <v>3.0596631973795438</v>
      </c>
      <c r="NP81" s="30">
        <f>SUM(DATA[[#This Row],[Central / Regional Management HOURLY RATE]:[Corporate Overheads: Other  - please specify (amount) 2 HOURLY RATE]])</f>
        <v>1.2124052990278953</v>
      </c>
      <c r="NQ81"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1" s="30">
        <f>IFERROR(IF(AVERAGE(DATA[[#This Row],[Deputy manager: Current 2021/22 Minimum hourly pay rate ADJUSTED]],DATA[[#This Row],[Deputy manager: Current 2021/22 Maximum hourly pay rate ADJUSTED]])&lt;REAL_LIVING_WAGE_22_23,DATA[[#This Row],[Deputy manager: Numbers employed (Full Time Equivalent)]],0),"")</f>
        <v>0</v>
      </c>
      <c r="NS81" s="30" t="str">
        <f>IFERROR(IF(AVERAGE(DATA[[#This Row],[Other manager 1: Current 2021/22 Minimum hourly pay rate ADJUSTED]],DATA[[#This Row],[Other manager 1: Current 2021/22 Maximum hourly pay rate ADJUSTED]])&lt;REAL_LIVING_WAGE_22_23,DATA[[#This Row],[Other manager 1: Numbers employed (Full Time Equivalent)]],0),"")</f>
        <v/>
      </c>
      <c r="NT81" s="30" t="str">
        <f>IFERROR(IF(AVERAGE(DATA[[#This Row],[Other manager 2: Current 2021/22 Minimum hourly pay rate ADJUSTED]],DATA[[#This Row],[Other manager 2: Current 2021/22 Maximum hourly pay rate ADJUSTED]])&lt;REAL_LIVING_WAGE_22_23,DATA[[#This Row],[Other manager 2: Numbers employed (Full Time Equivalent)]],0),"")</f>
        <v/>
      </c>
      <c r="NU81" s="30" t="str">
        <f>IFERROR(IF(AVERAGE(DATA[[#This Row],[Other manager 3: Current 2021/22 Minimum hourly pay rate ADJUSTED]],DATA[[#This Row],[Other manager 3: Current 2021/22 Maximum hourly pay rate ADJUSTED]])&lt;REAL_LIVING_WAGE_22_23,DATA[[#This Row],[Other manager 3: Numbers employed (Full Time Equivalent)]],0),"")</f>
        <v/>
      </c>
      <c r="NV81" s="30">
        <f>IFERROR(IF(AVERAGE(DATA[[#This Row],[Care Assistant 1: Current 2021/22 Minimum hourly pay rate ADJUSTED]],DATA[[#This Row],[Care Assistant 1: Current 2021/22 Maximum hourly pay rate ADJUSTED]])&lt;REAL_LIVING_WAGE_22_23,DATA[[#This Row],[Care Assistant 1: Numbers employed (Full Time Equivalent)]],0),"")</f>
        <v>26</v>
      </c>
      <c r="NW81"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81"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81"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81"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81"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81" s="30" t="str">
        <f>IFERROR(IF(AVERAGE(DATA[[#This Row],[Other staff 1: Current 2021/22 Minimum hourly pay rate ADJUSTED]],DATA[[#This Row],[Other staff 1: Current 2021/22 Maximum hourly pay rate ADJUSTED]])&lt;REAL_LIVING_WAGE_22_23,DATA[[#This Row],[Other staff 1: Numbers employed (Full Time Equivalent)]],0),"")</f>
        <v/>
      </c>
      <c r="OC81" s="30" t="str">
        <f>IFERROR(IF(AVERAGE(DATA[[#This Row],[Other staff 2: Current 2021/22 Minimum hourly pay rate ADJUSTED]],DATA[[#This Row],[Other staff 2: Current 2021/22 Maximum hourly pay rate ADJUSTED]])&lt;REAL_LIVING_WAGE_22_23,DATA[[#This Row],[Other staff 2: Numbers employed (Full Time Equivalent)]],0),"")</f>
        <v/>
      </c>
      <c r="OD81" s="30" t="str">
        <f>IFERROR(IF(AVERAGE(DATA[[#This Row],[Other staff 3: Current 2021/22 Minimum hourly pay rate ADJUSTED]],DATA[[#This Row],[Other staff 3: Current 2021/22 Maximum hourly pay rate ADJUSTED]])&lt;REAL_LIVING_WAGE_22_23,DATA[[#This Row],[Other staff 3: Numbers employed (Full Time Equivalent)]],0),"")</f>
        <v/>
      </c>
      <c r="OE81" s="30">
        <f>SUM(DATA[[#This Row],[Registered Manager FTE earning less than RLW 23yrs 2022/23]:[Other staff 3 FTE earning less than RLW 23yrs 2022/23]])</f>
        <v>26</v>
      </c>
      <c r="OF81"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1"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81"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81"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81"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81"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23.400000000000009</v>
      </c>
      <c r="OL81"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81"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81"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81"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81"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81"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81"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81"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81" s="30">
        <f>IFERROR(IF(DATA[[#This Row],[Registered manager: Numbers employed (Full Time Equivalent)]]=0,"",DATA[[#This Row],[Registered manager: Current 2021/22 Minimum hourly pay rate ADJUSTED 2]]*DATA[[#This Row],[Registered manager: Numbers employed (Full Time Equivalent)]]),"")</f>
        <v>14.24</v>
      </c>
      <c r="OU81" s="30">
        <f>IFERROR(IF(DATA[[#This Row],[Registered manager: Numbers employed (Full Time Equivalent)]]=0,"",DATA[[#This Row],[Registered manager: Current 2021/22 Maximum hourly pay rate ADJUSTED 2]]*DATA[[#This Row],[Registered manager: Numbers employed (Full Time Equivalent)]]),"")</f>
        <v>15.55</v>
      </c>
      <c r="OV81" s="30">
        <f>IFERROR(IF(DATA[[#This Row],[Registered manager: Numbers employed (Full Time Equivalent)]]=0,"",DATA[[#This Row],[Registered manager: Previous 2020/21 Minimum hourly pay rate ADJUSTED 2]]*DATA[[#This Row],[Registered manager: Numbers employed (Full Time Equivalent)]]),"")</f>
        <v>13.92</v>
      </c>
      <c r="OW81" s="30">
        <f>IFERROR(IF(DATA[[#This Row],[Registered manager: Numbers employed (Full Time Equivalent)]]=0,"",DATA[[#This Row],[Registered manager: Previous 2020/21 Maximum hourly pay rate ADJUSTED 2]]*DATA[[#This Row],[Registered manager: Numbers employed (Full Time Equivalent)]]),"")</f>
        <v>15.2</v>
      </c>
      <c r="OX81" s="30">
        <f>IFERROR(IF(DATA[[#This Row],[Deputy manager: Numbers employed (Full Time Equivalent)]]=0,"",DATA[[#This Row],[Deputy manager: Current 2021/22 Minimum hourly pay rate ADJUSTED 2]]*DATA[[#This Row],[Deputy manager: Numbers employed (Full Time Equivalent)]]),"")</f>
        <v>26.85</v>
      </c>
      <c r="OY81" s="30">
        <f>IFERROR(IF(DATA[[#This Row],[Deputy manager: Numbers employed (Full Time Equivalent)]]=0,"",DATA[[#This Row],[Deputy manager: Current 2021/22 Maximum hourly pay rate ADJUSTED 2]]*DATA[[#This Row],[Deputy manager: Numbers employed (Full Time Equivalent)]]),"")</f>
        <v>31.25</v>
      </c>
      <c r="OZ81" s="30">
        <f>IFERROR(IF(DATA[[#This Row],[Deputy manager: Numbers employed (Full Time Equivalent)]]=0,"",DATA[[#This Row],[Deputy manager: Previous 2020/21 Minimum hourly pay rate ADJUSTED 2]]*DATA[[#This Row],[Deputy manager: Numbers employed (Full Time Equivalent)]]),"")</f>
        <v>23.75</v>
      </c>
      <c r="PA81" s="30">
        <f>IFERROR(IF(DATA[[#This Row],[Deputy manager: Numbers employed (Full Time Equivalent)]]=0,"",DATA[[#This Row],[Deputy manager: Previous 2020/21 Maximum hourly pay rate ADJUSTED 2]]*DATA[[#This Row],[Deputy manager: Numbers employed (Full Time Equivalent)]]),"")</f>
        <v>30.55</v>
      </c>
      <c r="PB81" s="30" t="str">
        <f>IFERROR(IF(DATA[[#This Row],[Other manager 1: Numbers employed (Full Time Equivalent)]]=0,"",DATA[[#This Row],[Other manager 1: Current 2021/22 Minimum hourly pay rate ADJUSTED 2]]*DATA[[#This Row],[Other manager 1: Numbers employed (Full Time Equivalent)]]),"")</f>
        <v/>
      </c>
      <c r="PC81" s="30" t="str">
        <f>IFERROR(IF(DATA[[#This Row],[Other manager 1: Numbers employed (Full Time Equivalent)]]=0,"",DATA[[#This Row],[Other manager 1: Current 2021/22 Maximum hourly pay rate ADJUSTED 2]]*DATA[[#This Row],[Other manager 1: Numbers employed (Full Time Equivalent)]]),"")</f>
        <v/>
      </c>
      <c r="PD81" s="30" t="str">
        <f>IFERROR(IF(DATA[[#This Row],[Other manager 1: Numbers employed (Full Time Equivalent)]]=0,"",DATA[[#This Row],[Other manager 1: Previous 2020/21 Minimum hourly pay rate ADJUSTED 2]]*DATA[[#This Row],[Other manager 1: Numbers employed (Full Time Equivalent)]]),"")</f>
        <v/>
      </c>
      <c r="PE81" s="30" t="str">
        <f>IFERROR(IF(DATA[[#This Row],[Other manager 1: Numbers employed (Full Time Equivalent)]]=0,"",DATA[[#This Row],[Other manager 1: Previous 2020/21 Maximum hourly pay rate ADJUSTED 2]]*DATA[[#This Row],[Other manager 1: Numbers employed (Full Time Equivalent)]]),"")</f>
        <v/>
      </c>
      <c r="PF81" s="30" t="str">
        <f>IFERROR(IF(DATA[[#This Row],[Other manager 2: Numbers employed (Full Time Equivalent)]]=0,"",DATA[[#This Row],[Other manager 2: Current 2021/22 Minimum hourly pay rate ADJUSTED 2]]*DATA[[#This Row],[Other manager 2: Numbers employed (Full Time Equivalent)]]),"")</f>
        <v/>
      </c>
      <c r="PG81" s="30" t="str">
        <f>IFERROR(IF(DATA[[#This Row],[Other manager 2: Numbers employed (Full Time Equivalent)]]=0,"",DATA[[#This Row],[Other manager 2: Current 2021/22 Maximum hourly pay rate ADJUSTED 2]]*DATA[[#This Row],[Other manager 2: Numbers employed (Full Time Equivalent)]]),"")</f>
        <v/>
      </c>
      <c r="PH81" s="30" t="str">
        <f>IFERROR(IF(DATA[[#This Row],[Other manager 2: Numbers employed (Full Time Equivalent)]]=0,"",DATA[[#This Row],[Other manager 2: Previous 2020/21 Minimum hourly pay rate ADJUSTED 2]]*DATA[[#This Row],[Other manager 2: Numbers employed (Full Time Equivalent)]]),"")</f>
        <v/>
      </c>
      <c r="PI81" s="30" t="str">
        <f>IFERROR(IF(DATA[[#This Row],[Other manager 2: Numbers employed (Full Time Equivalent)]]=0,"",DATA[[#This Row],[Other manager 2: Previous 2020/21 Maximum hourly pay rate ADJUSTED 2]]*DATA[[#This Row],[Other manager 2: Numbers employed (Full Time Equivalent)]]),"")</f>
        <v/>
      </c>
      <c r="PJ81" s="30" t="str">
        <f>IFERROR(IF(DATA[[#This Row],[Other manager 3: Numbers employed (Full Time Equivalent)]]=0,"",DATA[[#This Row],[Other manager 3: Current 2021/22 Minimum hourly pay rate ADJUSTED 2]]*DATA[[#This Row],[Other manager 3: Numbers employed (Full Time Equivalent)]]),"")</f>
        <v/>
      </c>
      <c r="PK81" s="30" t="str">
        <f>IFERROR(IF(DATA[[#This Row],[Other manager 3: Numbers employed (Full Time Equivalent)]]=0,"",DATA[[#This Row],[Other manager 3: Current 2021/22 Maximum hourly pay rate ADJUSTED 2]]*DATA[[#This Row],[Other manager 3: Numbers employed (Full Time Equivalent)]]),"")</f>
        <v/>
      </c>
      <c r="PL81" s="30" t="str">
        <f>IFERROR(IF(DATA[[#This Row],[Other manager 3: Numbers employed (Full Time Equivalent)]]=0,"",DATA[[#This Row],[Other manager 3: Previous 2020/21 Minimum hourly pay rate ADJUSTED 2]]*DATA[[#This Row],[Other manager 3: Numbers employed (Full Time Equivalent)]]),"")</f>
        <v/>
      </c>
      <c r="PM81" s="30" t="str">
        <f>IFERROR(IF(DATA[[#This Row],[Other manager 3: Numbers employed (Full Time Equivalent)]]=0,"",DATA[[#This Row],[Other manager 3: Previous 2020/21 Maximum hourly pay rate ADJUSTED 2]]*DATA[[#This Row],[Other manager 3: Numbers employed (Full Time Equivalent)]]),"")</f>
        <v/>
      </c>
      <c r="PN81" s="30">
        <f>IFERROR(IF(DATA[[#This Row],[Care Assistant 1: Numbers employed (Full Time Equivalent)]]=0,"",DATA[[#This Row],[Care Assistant 1: Current 2021/22 Minimum hourly pay rate ADJUSTED 2]]*DATA[[#This Row],[Care Assistant 1: Numbers employed (Full Time Equivalent)]]),"")</f>
        <v>234</v>
      </c>
      <c r="PO81" s="30">
        <f>IFERROR(IF(DATA[[#This Row],[Care Assistant 1: Numbers employed (Full Time Equivalent)]]=0,"",DATA[[#This Row],[Care Assistant 1: Current 2021/22 Maximum hourly pay rate ADJUSTED 2]]*DATA[[#This Row],[Care Assistant 1: Numbers employed (Full Time Equivalent)]]),"")</f>
        <v>234</v>
      </c>
      <c r="PP81" s="30">
        <f>IFERROR(IF(DATA[[#This Row],[Care Assistant 1: Numbers employed (Full Time Equivalent)]]=0,"",DATA[[#This Row],[Care Assistant 1: Previous 2020/21 Minimum hourly pay rate ADJUSTED 2]]*DATA[[#This Row],[Care Assistant 1: Numbers employed (Full Time Equivalent)]]),"")</f>
        <v>228.8</v>
      </c>
      <c r="PQ81" s="30">
        <f>IFERROR(IF(DATA[[#This Row],[Care Assistant 1: Numbers employed (Full Time Equivalent)]]=0,"",DATA[[#This Row],[Care Assistant 1: Previous 2020/21 Maximum hourly pay rate ADJUSTED 2]]*DATA[[#This Row],[Care Assistant 1: Numbers employed (Full Time Equivalent)]]),"")</f>
        <v>228.8</v>
      </c>
      <c r="PR81" s="30" t="str">
        <f>IFERROR(IF(DATA[[#This Row],[Care Assistant 2: Numbers employed (Full Time Equivalent)]]=0,"",DATA[[#This Row],[Care Assistant 2: Current 2021/22 Minimum hourly pay rate ADJUSTED 2]]*DATA[[#This Row],[Care Assistant 2: Numbers employed (Full Time Equivalent)]]),"")</f>
        <v/>
      </c>
      <c r="PS81" s="30" t="str">
        <f>IFERROR(IF(DATA[[#This Row],[Care Assistant 2: Numbers employed (Full Time Equivalent)]]=0,"",DATA[[#This Row],[Care Assistant 2: Current 2021/22 Maximum hourly pay rate ADJUSTED 2]]*DATA[[#This Row],[Care Assistant 2: Numbers employed (Full Time Equivalent)]]),"")</f>
        <v/>
      </c>
      <c r="PT81" s="30" t="str">
        <f>IFERROR(IF(DATA[[#This Row],[Care Assistant 2: Numbers employed (Full Time Equivalent)]]=0,"",DATA[[#This Row],[Care Assistant 2: Previous 2020/21 Minimum hourly pay rate ADJUSTED 2]]*DATA[[#This Row],[Care Assistant 2: Numbers employed (Full Time Equivalent)]]),"")</f>
        <v/>
      </c>
      <c r="PU81" s="30" t="str">
        <f>IFERROR(IF(DATA[[#This Row],[Care Assistant 2: Numbers employed (Full Time Equivalent)]]=0,"",DATA[[#This Row],[Care Assistant 2: Previous 2020/21 Maximum hourly pay rate ADJUSTED 2]]*DATA[[#This Row],[Care Assistant 2: Numbers employed (Full Time Equivalent)]]),"")</f>
        <v/>
      </c>
      <c r="PV81" s="30" t="str">
        <f>IFERROR(IF(DATA[[#This Row],[Care Assistant 3: Numbers employed (Full Time Equivalent)]]=0,"",DATA[[#This Row],[Care Assistant 3: Current 2021/22 Minimum hourly pay rate ADJUSTED 2]]*DATA[[#This Row],[Care Assistant 3: Numbers employed (Full Time Equivalent)]]),"")</f>
        <v/>
      </c>
      <c r="PW81" s="30" t="str">
        <f>IFERROR(IF(DATA[[#This Row],[Care Assistant 3: Numbers employed (Full Time Equivalent)]]=0,"",DATA[[#This Row],[Care Assistant 3: Current 2021/22 Maximum hourly pay rate ADJUSTED 2]]*DATA[[#This Row],[Care Assistant 3: Numbers employed (Full Time Equivalent)]]),"")</f>
        <v/>
      </c>
      <c r="PX81" s="30" t="str">
        <f>IFERROR(IF(DATA[[#This Row],[Care Assistant 3: Numbers employed (Full Time Equivalent)]]=0,"",DATA[[#This Row],[Care Assistant 3: Previous 2020/21 Minimum hourly pay rate ADJUSTED 2]]*DATA[[#This Row],[Care Assistant 3: Numbers employed (Full Time Equivalent)]]),"")</f>
        <v/>
      </c>
      <c r="PY81" s="30" t="str">
        <f>IFERROR(IF(DATA[[#This Row],[Care Assistant 3: Numbers employed (Full Time Equivalent)]]=0,"",DATA[[#This Row],[Care Assistant 3: Previous 2020/21 Maximum hourly pay rate ADJUSTED 2]]*DATA[[#This Row],[Care Assistant 3: Numbers employed (Full Time Equivalent)]]),"")</f>
        <v/>
      </c>
      <c r="PZ81" s="30" t="str">
        <f>IFERROR(IF(DATA[[#This Row],[Care Assistant 4: Numbers employed (Full Time Equivalent)]]=0,"",DATA[[#This Row],[Care Assistant 4: Current 2021/22 Minimum hourly pay rate ADJUSTED 2]]*DATA[[#This Row],[Care Assistant 4: Numbers employed (Full Time Equivalent)]]),"")</f>
        <v/>
      </c>
      <c r="QA81" s="30" t="str">
        <f>IFERROR(IF(DATA[[#This Row],[Care Assistant 4: Numbers employed (Full Time Equivalent)]]=0,"",DATA[[#This Row],[Care Assistant 4: Current 2021/22 Maximum hourly pay rate ADJUSTED 2]]*DATA[[#This Row],[Care Assistant 4: Numbers employed (Full Time Equivalent)]]),"")</f>
        <v/>
      </c>
      <c r="QB81" s="30" t="str">
        <f>IFERROR(IF(DATA[[#This Row],[Care Assistant 4: Numbers employed (Full Time Equivalent)]]=0,"",DATA[[#This Row],[Care Assistant 4: Previous 2020/21 Minimum hourly pay rate ADJUSTED 2]]*DATA[[#This Row],[Care Assistant 4: Numbers employed (Full Time Equivalent)]]),"")</f>
        <v/>
      </c>
      <c r="QC81" s="30" t="str">
        <f>IFERROR(IF(DATA[[#This Row],[Care Assistant 4: Numbers employed (Full Time Equivalent)]]=0,"",DATA[[#This Row],[Care Assistant 4: Previous 2020/21 Maximum hourly pay rate ADJUSTED 2]]*DATA[[#This Row],[Care Assistant 4: Numbers employed (Full Time Equivalent)]]),"")</f>
        <v/>
      </c>
      <c r="QD81" s="30" t="str">
        <f>IFERROR(IF(DATA[[#This Row],[Administrative Officer 1: Numbers employed (Full Time Equivalent)]]=0,"",DATA[[#This Row],[Administrative Officer 1: Current 2021/22 Minimum hourly pay rate ADJUSTED 2]]*DATA[[#This Row],[Administrative Officer 1: Numbers employed (Full Time Equivalent)]]),"")</f>
        <v/>
      </c>
      <c r="QE81" s="30" t="str">
        <f>IFERROR(IF(DATA[[#This Row],[Administrative Officer 1: Numbers employed (Full Time Equivalent)]]=0,"",DATA[[#This Row],[Administrative Officer 1: Current 2021/22 Maximum hourly pay rate ADJUSTED 2]]*DATA[[#This Row],[Administrative Officer 1: Numbers employed (Full Time Equivalent)]]),"")</f>
        <v/>
      </c>
      <c r="QF81" s="30" t="str">
        <f>IFERROR(IF(DATA[[#This Row],[Administrative Officer 1: Numbers employed (Full Time Equivalent)]]=0,"",DATA[[#This Row],[Administrative Officer 1: Previous 2020/21 Minimum hourly pay rate ADJUSTED 2]]*DATA[[#This Row],[Administrative Officer 1: Numbers employed (Full Time Equivalent)]]),"")</f>
        <v/>
      </c>
      <c r="QG81" s="30" t="str">
        <f>IFERROR(IF(DATA[[#This Row],[Administrative Officer 1: Numbers employed (Full Time Equivalent)]]=0,"",DATA[[#This Row],[Administrative Officer 1: Previous 2020/21 Maximum hourly pay rate ADJUSTED 2]]*DATA[[#This Row],[Administrative Officer 1: Numbers employed (Full Time Equivalent)]]),"")</f>
        <v/>
      </c>
      <c r="QH81" s="30" t="str">
        <f>IFERROR(IF(DATA[[#This Row],[Administrative Officer 2: Numbers employed (Full Time Equivalent)]]=0,"",DATA[[#This Row],[Administrative Officer 2: Current 2021/22 Minimum hourly pay rate ADJUSTED 2]]*DATA[[#This Row],[Administrative Officer 2: Numbers employed (Full Time Equivalent)]]),"")</f>
        <v/>
      </c>
      <c r="QI81" s="30" t="str">
        <f>IFERROR(IF(DATA[[#This Row],[Administrative Officer 2: Numbers employed (Full Time Equivalent)]]=0,"",DATA[[#This Row],[Administrative Officer 2: Current 2021/22 Maximum hourly pay rate ADJUSTED 2]]*DATA[[#This Row],[Administrative Officer 2: Numbers employed (Full Time Equivalent)]]),"")</f>
        <v/>
      </c>
      <c r="QJ81" s="30" t="str">
        <f>IFERROR(IF(DATA[[#This Row],[Administrative Officer 2: Numbers employed (Full Time Equivalent)]]=0,"",DATA[[#This Row],[Administrative Officer 2: Previous 2020/21 Minimum hourly pay rate ADJUSTED 2]]*DATA[[#This Row],[Administrative Officer 2: Numbers employed (Full Time Equivalent)]]),"")</f>
        <v/>
      </c>
      <c r="QK81" s="30" t="str">
        <f>IFERROR(IF(DATA[[#This Row],[Administrative Officer 2: Numbers employed (Full Time Equivalent)]]=0,"",DATA[[#This Row],[Administrative Officer 2: Previous 2020/21 Maximum hourly pay rate ADJUSTED 2]]*DATA[[#This Row],[Administrative Officer 2: Numbers employed (Full Time Equivalent)]]),"")</f>
        <v/>
      </c>
      <c r="QL81" s="30" t="str">
        <f>IFERROR(IF(DATA[[#This Row],[Administrative Officer 3: Numbers employed (Full Time Equivalent)]]=0,"",DATA[[#This Row],[Administrative Officer 3: Current 2021/22 Minimum hourly pay rate ADJUSTED 2]]*DATA[[#This Row],[Administrative Officer 3: Numbers employed (Full Time Equivalent)]]),"")</f>
        <v/>
      </c>
      <c r="QM81" s="30" t="str">
        <f>IFERROR(IF(DATA[[#This Row],[Administrative Officer 3: Numbers employed (Full Time Equivalent)]]=0,"",DATA[[#This Row],[Administrative Officer 3: Current 2021/22 Maximum hourly pay rate ADJUSTED 2]]*DATA[[#This Row],[Administrative Officer 3: Numbers employed (Full Time Equivalent)]]),"")</f>
        <v/>
      </c>
      <c r="QN81" s="30" t="str">
        <f>IFERROR(IF(DATA[[#This Row],[Administrative Officer 3: Numbers employed (Full Time Equivalent)]]=0,"",DATA[[#This Row],[Administrative Officer 3: Previous 2020/21 Minimum hourly pay rate ADJUSTED 2]]*DATA[[#This Row],[Administrative Officer 3: Numbers employed (Full Time Equivalent)]]),"")</f>
        <v/>
      </c>
      <c r="QO81" s="30" t="str">
        <f>IFERROR(IF(DATA[[#This Row],[Administrative Officer 3: Numbers employed (Full Time Equivalent)]]=0,"",DATA[[#This Row],[Administrative Officer 3: Previous 2020/21 Maximum hourly pay rate ADJUSTED 2]]*DATA[[#This Row],[Administrative Officer 3: Numbers employed (Full Time Equivalent)]]),"")</f>
        <v/>
      </c>
      <c r="QP81" s="28" t="str">
        <f>IFERROR(IF(DATA[[#This Row],[Other staff 1: Numbers employed (Full Time Equivalent)]]=0,"",DATA[[#This Row],[Other staff 1: Current 2021/22 Minimum hourly pay rate ADJUSTED 2]]*DATA[[#This Row],[Other staff 1: Numbers employed (Full Time Equivalent)]]),"")</f>
        <v/>
      </c>
      <c r="QQ81" s="28" t="str">
        <f>IFERROR(IF(DATA[[#This Row],[Other staff 1: Numbers employed (Full Time Equivalent)]]=0,"",DATA[[#This Row],[Other staff 1: Current 2021/22 Maximum hourly pay rate ADJUSTED 2]]*DATA[[#This Row],[Other staff 1: Numbers employed (Full Time Equivalent)]]),"")</f>
        <v/>
      </c>
      <c r="QR81" s="28" t="str">
        <f>IFERROR(IF(DATA[[#This Row],[Other staff 1: Numbers employed (Full Time Equivalent)]]=0,"",DATA[[#This Row],[Other staff 1: Previous 2020/21 Minimum hourly pay rate ADJUSTED 2]]*DATA[[#This Row],[Other staff 1: Numbers employed (Full Time Equivalent)]]),"")</f>
        <v/>
      </c>
      <c r="QS81" s="28" t="str">
        <f>IFERROR(IF(DATA[[#This Row],[Other staff 1: Numbers employed (Full Time Equivalent)]]=0,"",DATA[[#This Row],[Other staff 1: Previous 2020/21 Maximum hourly pay rate ADJUSTED 2]]*DATA[[#This Row],[Other staff 1: Numbers employed (Full Time Equivalent)]]),"")</f>
        <v/>
      </c>
      <c r="QT81" s="28" t="str">
        <f>IFERROR(IF(DATA[[#This Row],[Other staff 2: Numbers employed (Full Time Equivalent)]]=0,"",DATA[[#This Row],[Other staff 2: Current 2021/22 Minimum hourly pay rate ADJUSTED 2]]*DATA[[#This Row],[Other staff 2: Numbers employed (Full Time Equivalent)]]),"")</f>
        <v/>
      </c>
      <c r="QU81" s="28" t="str">
        <f>IFERROR(IF(DATA[[#This Row],[Other staff 2: Numbers employed (Full Time Equivalent)]]=0,"",DATA[[#This Row],[Other staff 2: Current 2021/22 Maximum hourly pay rate ADJUSTED 2]]*DATA[[#This Row],[Other staff 2: Numbers employed (Full Time Equivalent)]]),"")</f>
        <v/>
      </c>
      <c r="QV81" s="28" t="str">
        <f>IFERROR(IF(DATA[[#This Row],[Other staff 2: Numbers employed (Full Time Equivalent)]]=0,"",DATA[[#This Row],[Other staff 2: Previous 2020/21 Minimum hourly pay rate ADJUSTED 2]]*DATA[[#This Row],[Other staff 2: Numbers employed (Full Time Equivalent)]]),"")</f>
        <v/>
      </c>
      <c r="QW81" s="28" t="str">
        <f>IFERROR(IF(DATA[[#This Row],[Other staff 2: Numbers employed (Full Time Equivalent)]]=0,"",DATA[[#This Row],[Other staff 2: Previous 2020/21 Maximum hourly pay rate ADJUSTED 2]]*DATA[[#This Row],[Other staff 2: Numbers employed (Full Time Equivalent)]]),"")</f>
        <v/>
      </c>
      <c r="QX81" s="28" t="str">
        <f>IFERROR(IF(DATA[[#This Row],[Other staff 3: Numbers employed (Full Time Equivalent)]]=0,"",DATA[[#This Row],[Other staff 3: Current 2021/22 Minimum hourly pay rate ADJUSTED 2]]*DATA[[#This Row],[Other staff 3: Numbers employed (Full Time Equivalent)]]),"")</f>
        <v/>
      </c>
      <c r="QY81" s="28" t="str">
        <f>IFERROR(IF(DATA[[#This Row],[Other staff 3: Numbers employed (Full Time Equivalent)]]=0,"",DATA[[#This Row],[Other staff 3: Current 2021/22 Maximum hourly pay rate ADJUSTED 2]]*DATA[[#This Row],[Other staff 3: Numbers employed (Full Time Equivalent)]]),"")</f>
        <v/>
      </c>
      <c r="QZ81" s="28" t="str">
        <f>IFERROR(IF(DATA[[#This Row],[Other staff 3: Numbers employed (Full Time Equivalent)]]=0,"",DATA[[#This Row],[Other staff 3: Previous 2020/21 Minimum hourly pay rate ADJUSTED 2]]*DATA[[#This Row],[Other staff 3: Numbers employed (Full Time Equivalent)]]),"")</f>
        <v/>
      </c>
      <c r="RA81" s="28" t="str">
        <f>IFERROR(IF(DATA[[#This Row],[Other staff 3: Numbers employed (Full Time Equivalent)]]=0,"",DATA[[#This Row],[Other staff 3: Previous 2020/21 Maximum hourly pay rate ADJUSTED 2]]*DATA[[#This Row],[Other staff 3: Numbers employed (Full Time Equivalent)]]),"")</f>
        <v/>
      </c>
      <c r="RB81"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81"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2.5</v>
      </c>
      <c r="RD81"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81"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81"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81"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26</v>
      </c>
      <c r="RH81"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81"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81"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81"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81"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81"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81"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81"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81"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82" spans="3:484" x14ac:dyDescent="0.25">
      <c r="G82" s="2">
        <v>76</v>
      </c>
      <c r="H82" s="2">
        <v>7</v>
      </c>
      <c r="I82" s="2">
        <v>3</v>
      </c>
      <c r="J82" s="2">
        <v>0.45</v>
      </c>
      <c r="K82" s="2">
        <v>0.55000000000000004</v>
      </c>
      <c r="L82" s="2" t="s">
        <v>328</v>
      </c>
      <c r="M82" s="2" t="s">
        <v>240</v>
      </c>
      <c r="R82" s="2">
        <v>14.32</v>
      </c>
      <c r="S82" s="2">
        <v>14.32</v>
      </c>
      <c r="T82" s="2">
        <v>13.9</v>
      </c>
      <c r="U82" s="2">
        <v>13.9</v>
      </c>
      <c r="V82" s="2">
        <v>1</v>
      </c>
      <c r="W82" s="2">
        <v>12.78</v>
      </c>
      <c r="X82" s="2">
        <v>12.78</v>
      </c>
      <c r="Y82" s="2">
        <v>12.4</v>
      </c>
      <c r="Z82" s="2">
        <v>12.04</v>
      </c>
      <c r="AA82" s="2">
        <v>2</v>
      </c>
      <c r="AB82" s="2" t="s">
        <v>620</v>
      </c>
      <c r="AC82" s="2">
        <v>17.899999999999999</v>
      </c>
      <c r="AD82" s="2">
        <v>17.899999999999999</v>
      </c>
      <c r="AE82" s="2">
        <v>17.36</v>
      </c>
      <c r="AF82" s="2">
        <v>17.36</v>
      </c>
      <c r="AG82" s="2">
        <v>0.5</v>
      </c>
      <c r="AH82" s="2" t="s">
        <v>621</v>
      </c>
      <c r="AI82" s="2">
        <v>20.45</v>
      </c>
      <c r="AJ82" s="2">
        <v>20.45</v>
      </c>
      <c r="AK82" s="2">
        <v>19.84</v>
      </c>
      <c r="AL82" s="2">
        <v>19.84</v>
      </c>
      <c r="AM82" s="2">
        <v>0.25</v>
      </c>
      <c r="AN82" s="2" t="s">
        <v>622</v>
      </c>
      <c r="AO82" s="2">
        <v>17.899999999999999</v>
      </c>
      <c r="AP82" s="2">
        <v>17.899999999999999</v>
      </c>
      <c r="AQ82" s="2">
        <v>17.36</v>
      </c>
      <c r="AR82" s="2">
        <v>17.36</v>
      </c>
      <c r="AS82" s="2">
        <v>0.5</v>
      </c>
      <c r="AT82" s="2" t="s">
        <v>623</v>
      </c>
      <c r="AU82" s="2">
        <v>8.91</v>
      </c>
      <c r="AV82" s="2">
        <v>8.91</v>
      </c>
      <c r="AW82" s="2">
        <v>8.7200000000000006</v>
      </c>
      <c r="AX82" s="2">
        <v>8.7200000000000006</v>
      </c>
      <c r="AY82" s="2">
        <v>31</v>
      </c>
      <c r="AZ82" s="2" t="s">
        <v>624</v>
      </c>
      <c r="BA82" s="2">
        <v>9.41</v>
      </c>
      <c r="BB82" s="2">
        <v>9.41</v>
      </c>
      <c r="BC82" s="2">
        <v>9.2200000000000006</v>
      </c>
      <c r="BD82" s="2">
        <v>9.2200000000000006</v>
      </c>
      <c r="BE82" s="2">
        <v>3</v>
      </c>
      <c r="BF82" s="2" t="s">
        <v>349</v>
      </c>
      <c r="BG82" s="2">
        <v>9</v>
      </c>
      <c r="BH82" s="2">
        <v>9</v>
      </c>
      <c r="BI82" s="2">
        <v>8.82</v>
      </c>
      <c r="BJ82" s="2">
        <v>8.82</v>
      </c>
      <c r="BK82" s="2">
        <v>5</v>
      </c>
      <c r="BL82" s="2" t="s">
        <v>316</v>
      </c>
      <c r="BM82" s="2">
        <v>0</v>
      </c>
      <c r="BN82" s="2">
        <v>0</v>
      </c>
      <c r="BO82" s="2">
        <v>0</v>
      </c>
      <c r="BP82" s="2">
        <v>0</v>
      </c>
      <c r="BQ82" s="2">
        <v>0</v>
      </c>
      <c r="BR82" s="2" t="s">
        <v>317</v>
      </c>
      <c r="BS82" s="2">
        <v>0</v>
      </c>
      <c r="BT82" s="2">
        <v>0</v>
      </c>
      <c r="BU82" s="2">
        <v>0</v>
      </c>
      <c r="BV82" s="2">
        <v>0</v>
      </c>
      <c r="BW82" s="2">
        <v>0</v>
      </c>
      <c r="BX82" s="2" t="s">
        <v>317</v>
      </c>
      <c r="BY82" s="2">
        <v>0</v>
      </c>
      <c r="BZ82" s="2">
        <v>0</v>
      </c>
      <c r="CA82" s="2">
        <v>0</v>
      </c>
      <c r="CB82" s="2">
        <v>0</v>
      </c>
      <c r="CC82" s="2">
        <v>0</v>
      </c>
      <c r="CD82" s="2" t="s">
        <v>317</v>
      </c>
      <c r="CE82" s="2">
        <v>0</v>
      </c>
      <c r="CF82" s="2">
        <v>0</v>
      </c>
      <c r="CG82" s="2">
        <v>0</v>
      </c>
      <c r="CH82" s="2">
        <v>0</v>
      </c>
      <c r="CI82" s="2">
        <v>0</v>
      </c>
      <c r="CJ82" s="2" t="s">
        <v>318</v>
      </c>
      <c r="CK82" s="2">
        <v>0</v>
      </c>
      <c r="CL82" s="2">
        <v>0</v>
      </c>
      <c r="CM82" s="2">
        <v>0</v>
      </c>
      <c r="CN82" s="2">
        <v>0</v>
      </c>
      <c r="CO82" s="2">
        <v>0</v>
      </c>
      <c r="CP82" s="2" t="s">
        <v>318</v>
      </c>
      <c r="CQ82" s="2">
        <v>0</v>
      </c>
      <c r="CR82" s="2">
        <v>0</v>
      </c>
      <c r="CS82" s="2">
        <v>0</v>
      </c>
      <c r="CT82" s="2">
        <v>0</v>
      </c>
      <c r="CU82" s="2">
        <v>0</v>
      </c>
      <c r="CV82" s="2" t="s">
        <v>318</v>
      </c>
      <c r="CW82" s="2">
        <v>0</v>
      </c>
      <c r="CX82" s="2">
        <v>0</v>
      </c>
      <c r="CY82" s="2">
        <v>0</v>
      </c>
      <c r="CZ82" s="2">
        <v>0</v>
      </c>
      <c r="DA82" s="2">
        <v>0</v>
      </c>
      <c r="DB82" s="2">
        <v>0.05</v>
      </c>
      <c r="DC82" s="2">
        <v>339.2</v>
      </c>
      <c r="DD82" s="2">
        <v>324.60000000000002</v>
      </c>
      <c r="DE82" s="2">
        <v>0</v>
      </c>
      <c r="DF82" s="2">
        <v>0</v>
      </c>
      <c r="DG82" s="2">
        <v>0</v>
      </c>
      <c r="DH82" s="2">
        <v>0</v>
      </c>
      <c r="DI82" s="2">
        <v>355</v>
      </c>
      <c r="DJ82" s="2">
        <v>10568</v>
      </c>
      <c r="DK82" s="2">
        <v>0</v>
      </c>
      <c r="DL82" s="2">
        <v>0</v>
      </c>
      <c r="DM82" s="2">
        <v>0</v>
      </c>
      <c r="DN82" s="2">
        <v>0</v>
      </c>
      <c r="DO82" s="2">
        <v>15.95</v>
      </c>
      <c r="DP82" s="2">
        <v>0</v>
      </c>
      <c r="DQ82" s="2">
        <v>0</v>
      </c>
      <c r="DR82" s="18">
        <v>43922</v>
      </c>
      <c r="DS82" s="18">
        <v>44286</v>
      </c>
      <c r="DT82" s="2">
        <v>53120</v>
      </c>
      <c r="DU82" s="2">
        <v>98057</v>
      </c>
      <c r="DV82" s="2">
        <v>760273</v>
      </c>
      <c r="DW82" s="2">
        <v>0</v>
      </c>
      <c r="DX82" s="2">
        <v>0</v>
      </c>
      <c r="DY82" s="2">
        <v>5058</v>
      </c>
      <c r="DZ82" s="2">
        <v>1301</v>
      </c>
      <c r="EA82" s="2">
        <v>0</v>
      </c>
      <c r="EB82" s="2">
        <v>12679</v>
      </c>
      <c r="EC82" s="2">
        <v>26911</v>
      </c>
      <c r="ED82" s="2">
        <v>3958</v>
      </c>
      <c r="EE82" s="2">
        <v>0</v>
      </c>
      <c r="EF82" s="2">
        <v>0</v>
      </c>
      <c r="EG82" s="2">
        <v>2490</v>
      </c>
      <c r="EH82" s="2" t="s">
        <v>324</v>
      </c>
      <c r="EI82" s="2">
        <v>0</v>
      </c>
      <c r="EJ82" s="2" t="s">
        <v>324</v>
      </c>
      <c r="EK82" s="2">
        <v>0</v>
      </c>
      <c r="EL82" s="2">
        <v>5152</v>
      </c>
      <c r="EM82" s="2">
        <v>0</v>
      </c>
      <c r="EN82" s="2">
        <v>1632</v>
      </c>
      <c r="EO82" s="2">
        <v>3672</v>
      </c>
      <c r="EP82" s="2">
        <v>1706</v>
      </c>
      <c r="EQ82" s="2">
        <v>0</v>
      </c>
      <c r="ER82" s="2">
        <v>0</v>
      </c>
      <c r="ES82" s="2">
        <v>6010</v>
      </c>
      <c r="ET82" s="2" t="s">
        <v>324</v>
      </c>
      <c r="EU82" s="2">
        <v>0</v>
      </c>
      <c r="EV82" s="2" t="s">
        <v>324</v>
      </c>
      <c r="EW82" s="2">
        <v>0</v>
      </c>
      <c r="EX82" s="2">
        <v>0</v>
      </c>
      <c r="EY82" s="2">
        <v>71117</v>
      </c>
      <c r="EZ82" s="2" t="s">
        <v>326</v>
      </c>
      <c r="FA82" s="2">
        <v>0</v>
      </c>
      <c r="FB82" s="2" t="s">
        <v>326</v>
      </c>
      <c r="FC82" s="2">
        <v>0</v>
      </c>
      <c r="FD82" s="2"/>
      <c r="FE82" s="2">
        <v>0</v>
      </c>
      <c r="FF82" s="2">
        <v>0</v>
      </c>
      <c r="FG82" s="2"/>
      <c r="FH82" s="19">
        <v>44480.627870370372</v>
      </c>
      <c r="FI82" s="2" t="s">
        <v>449</v>
      </c>
      <c r="FJ82" s="2">
        <f>SUM(DATA[[#This Row],[Number of Home support clients:]],DATA[[#This Row],[Number of supported living clients:]])</f>
        <v>10</v>
      </c>
      <c r="FK82"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82"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14.32</v>
      </c>
      <c r="FM82"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14.32</v>
      </c>
      <c r="FN82"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13.9</v>
      </c>
      <c r="FO82"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13.9</v>
      </c>
      <c r="FP82"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12.78</v>
      </c>
      <c r="FQ82"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12.78</v>
      </c>
      <c r="FR82"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12.4</v>
      </c>
      <c r="FS82"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12.04</v>
      </c>
      <c r="FT82"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17.899999999999999</v>
      </c>
      <c r="FU82"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17.899999999999999</v>
      </c>
      <c r="FV82"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17.36</v>
      </c>
      <c r="FW82"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17.36</v>
      </c>
      <c r="FX82"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20.45</v>
      </c>
      <c r="FY82"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20.45</v>
      </c>
      <c r="FZ82"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19.84</v>
      </c>
      <c r="GA82"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19.84</v>
      </c>
      <c r="GB82" s="2">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17.899999999999999</v>
      </c>
      <c r="GC82" s="2">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17.899999999999999</v>
      </c>
      <c r="GD82" s="2">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17.36</v>
      </c>
      <c r="GE82" s="2">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17.36</v>
      </c>
      <c r="GF82"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82"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8.91</v>
      </c>
      <c r="GH82"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82"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8.7200000000000006</v>
      </c>
      <c r="GJ82"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9.41</v>
      </c>
      <c r="GK82"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9.41</v>
      </c>
      <c r="GL82"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9.2200000000000006</v>
      </c>
      <c r="GM82"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9.2200000000000006</v>
      </c>
      <c r="GN82"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v>
      </c>
      <c r="GO82"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v>
      </c>
      <c r="GP82"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8.82</v>
      </c>
      <c r="GQ82"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8.82</v>
      </c>
      <c r="GR82"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82"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82"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82"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82" s="2"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82" s="2"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82"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82"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82"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82"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82"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82"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82"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82"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82"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82"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82"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82"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82"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82"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82"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82"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82"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82"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82"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82"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82"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82"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82"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14.32</v>
      </c>
      <c r="HU82"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14.32</v>
      </c>
      <c r="HV82"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13.9</v>
      </c>
      <c r="HW82"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13.9</v>
      </c>
      <c r="HX82"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12.78</v>
      </c>
      <c r="HY82"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12.78</v>
      </c>
      <c r="HZ82"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12.4</v>
      </c>
      <c r="IA82"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12.04</v>
      </c>
      <c r="IB82"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17.899999999999999</v>
      </c>
      <c r="IC82"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17.899999999999999</v>
      </c>
      <c r="ID82"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17.36</v>
      </c>
      <c r="IE82"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17.36</v>
      </c>
      <c r="IF82"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20.45</v>
      </c>
      <c r="IG82"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20.45</v>
      </c>
      <c r="IH82"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19.84</v>
      </c>
      <c r="II82"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19.84</v>
      </c>
      <c r="IJ82" s="2">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17.899999999999999</v>
      </c>
      <c r="IK82" s="2">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17.899999999999999</v>
      </c>
      <c r="IL82" s="2">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17.36</v>
      </c>
      <c r="IM82" s="2">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17.36</v>
      </c>
      <c r="IN82"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82"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8.91</v>
      </c>
      <c r="IP82"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82"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8.7200000000000006</v>
      </c>
      <c r="IR82"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9.41</v>
      </c>
      <c r="IS82"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9.41</v>
      </c>
      <c r="IT82"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9.2200000000000006</v>
      </c>
      <c r="IU82"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9.2200000000000006</v>
      </c>
      <c r="IV82"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v>
      </c>
      <c r="IW82"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v>
      </c>
      <c r="IX82"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8.82</v>
      </c>
      <c r="IY82"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8.82</v>
      </c>
      <c r="IZ82"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82"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82"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82"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82" s="2"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82" s="2"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82" s="2"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82" s="2"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82"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82"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82"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82"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82"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82"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82"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82"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82"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82"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82"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82"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82"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82"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82"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82"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82"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82"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82"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82"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82"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4.25</v>
      </c>
      <c r="KC82" s="21">
        <f>SUM(DATA[[#This Row],[Care Assistant 1: Numbers employed (Full Time Equivalent)]],DATA[[#This Row],[Care Assistant 2: Numbers employed (Full Time Equivalent)]],DATA[[#This Row],[Care Assistant 3: Numbers employed (Full Time Equivalent)]],DATA[[#This Row],[Care Assistant 4: Numbers employed (Full Time Equivalent)]])</f>
        <v>39</v>
      </c>
      <c r="KD82" s="21">
        <f>SUM(DATA[[#This Row],[Administrative Officer 1: Numbers employed (Full Time Equivalent)]],DATA[[#This Row],[Administrative Officer 2: Numbers employed (Full Time Equivalent)]])</f>
        <v>0</v>
      </c>
      <c r="KE82" s="21">
        <f>SUM(DATA[[#This Row],[Other staff 1: Numbers employed (Full Time Equivalent)]],DATA[[#This Row],[Other staff 2: Numbers employed (Full Time Equivalent)]],DATA[[#This Row],[Other staff 3: Numbers employed (Full Time Equivalent)]])</f>
        <v>0</v>
      </c>
      <c r="KF82" s="21">
        <f>SUM(DATA[[#This Row],[Total FTE Management Employees]:[Total FTE Other Employees]])</f>
        <v>43.25</v>
      </c>
      <c r="KG82" s="21" t="str">
        <f>IF(SUM(DATA[[#This Row],[Home Support service split percentage (Expenditure):]],DATA[[#This Row],[Supported Living service split percentage (Expenditure):]])&gt;0, IF(DATA[[#This Row],[Home Support service split percentage (Expenditure):]]&gt;0.5,"Home Support","Supported Living"), "Unknown")</f>
        <v>Supported Living</v>
      </c>
      <c r="KH82" s="21">
        <f>SUM(DATA[[#This Row],[Home Support: Birmingham City Council]:[Home Support: Self-funded]])</f>
        <v>663.8</v>
      </c>
      <c r="KI82" s="21">
        <f>SUM(DATA[[#This Row],[Supported Living: Birmingham City Council]:[Supported Living: Self-funded]])</f>
        <v>10923</v>
      </c>
      <c r="KJ82" s="21">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61.02</v>
      </c>
      <c r="KK82" s="21">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60.3</v>
      </c>
      <c r="KL82" s="21">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62.892499999999998</v>
      </c>
      <c r="KM82" s="21">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62.892499999999998</v>
      </c>
      <c r="KN82" s="21" t="b">
        <f>SUM(DATA[[#This Row],[Number of hours of care charged for in last full accounting year]:[Corporate Overheads: Other  - please specify (category) 1]])&gt;0</f>
        <v>1</v>
      </c>
      <c r="KO82" s="21">
        <f>SUM(DATA[[#This Row],[Total annual expenditure: Management staff]:[Total annual expenditure: Training and development]])</f>
        <v>877368</v>
      </c>
      <c r="KP82" s="21">
        <f>SUM(DATA[[#This Row],[Recruitment &amp; advertising (including DBS checks)]:[Non-Staffing Direct Cost: Other  - please specify (amount) 2]])</f>
        <v>33359</v>
      </c>
      <c r="KQ82" s="21">
        <f>SUM(DATA[[#This Row],[Insurance ]:[Indirect costs: Other 2 - please specify (amount)]])</f>
        <v>18172</v>
      </c>
      <c r="KR82" s="21">
        <f>SUM(DATA[[#This Row],[Central / Regional Management]],DATA[[#This Row],[Support Services (finance / HR / Payroll / legal etc.)]],DATA[[#This Row],[Corporate Overheads: Other  - please specify (amount) 1]],DATA[[#This Row],[Corporate Overheads: Other  - please specify (amount) 2]])</f>
        <v>71117</v>
      </c>
      <c r="KS82"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1.8459525602409639</v>
      </c>
      <c r="KT82"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14.312368222891566</v>
      </c>
      <c r="KU82"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82"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82" s="30">
        <f>IF(OR(NOT(DATA[[#This Row],[Total annual expenditure: Agency staff]]&gt;0),NOT(DATA[[#This Row],[Number of hours of care charged for in last full accounting year]]&gt;0)),0,DATA[[#This Row],[Total annual expenditure: Agency staff]]/DATA[[#This Row],[Number of hours of care charged for in last full accounting year]])</f>
        <v>9.5218373493975897E-2</v>
      </c>
      <c r="KX82" s="30">
        <f>IF(OR(NOT(DATA[[#This Row],[Total annual expenditure: Travel Cost]]&gt;0),NOT(DATA[[#This Row],[Number of hours of care charged for in last full accounting year]]&gt;0)),0,DATA[[#This Row],[Total annual expenditure: Travel Cost]]/DATA[[#This Row],[Number of hours of care charged for in last full accounting year]])</f>
        <v>2.4491716867469881E-2</v>
      </c>
      <c r="KY82"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82"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0.23868599397590362</v>
      </c>
      <c r="LA82"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0.50660768072289153</v>
      </c>
      <c r="LB82"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7.4510542168674698E-2</v>
      </c>
      <c r="LC82" s="30">
        <f>IF(OR(NOT(DATA[[#This Row],[Care consumables &amp; uniforms]]&gt;0),NOT(DATA[[#This Row],[Number of hours of care charged for in last full accounting year]]&gt;0)),0,DATA[[#This Row],[Care consumables &amp; uniforms]]/DATA[[#This Row],[Number of hours of care charged for in last full accounting year]])</f>
        <v>0</v>
      </c>
      <c r="LD82" s="30">
        <f>IF(OR(NOT(DATA[[#This Row],[Electronic call monitoring]]&gt;0),NOT(DATA[[#This Row],[Number of hours of care charged for in last full accounting year]]&gt;0)),0,DATA[[#This Row],[Electronic call monitoring]]/DATA[[#This Row],[Number of hours of care charged for in last full accounting year]])</f>
        <v>0</v>
      </c>
      <c r="LE82" s="30">
        <f>IF(OR(NOT(DATA[[#This Row],[IT Equipment &amp; Telephoney]]&gt;0),NOT(DATA[[#This Row],[Number of hours of care charged for in last full accounting year]]&gt;0)),0,DATA[[#This Row],[IT Equipment &amp; Telephoney]]/DATA[[#This Row],[Number of hours of care charged for in last full accounting year]])</f>
        <v>4.6875E-2</v>
      </c>
      <c r="LF82"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82"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2" s="30">
        <f>IF(OR(NOT(DATA[[#This Row],[Insurance ]]&gt;0),NOT(DATA[[#This Row],[Number of hours of care charged for in last full accounting year]]&gt;0)),0,DATA[[#This Row],[Insurance ]]/DATA[[#This Row],[Number of hours of care charged for in last full accounting year]])</f>
        <v>9.6987951807228912E-2</v>
      </c>
      <c r="LI82"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82" s="30">
        <f>IF(OR(NOT(DATA[[#This Row],[Repairs and maintenance]]&gt;0),NOT(DATA[[#This Row],[Number of hours of care charged for in last full accounting year]]&gt;0)),0,DATA[[#This Row],[Repairs and maintenance]]/DATA[[#This Row],[Number of hours of care charged for in last full accounting year]])</f>
        <v>3.0722891566265061E-2</v>
      </c>
      <c r="LK82"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6.9126506024096382E-2</v>
      </c>
      <c r="LL82" s="30">
        <f>IF(OR(NOT(DATA[[#This Row],[Registration &amp; Inspection fees ]]&gt;0),NOT(DATA[[#This Row],[Number of hours of care charged for in last full accounting year]]&gt;0)),0,DATA[[#This Row],[Registration &amp; Inspection fees ]]/DATA[[#This Row],[Number of hours of care charged for in last full accounting year]])</f>
        <v>3.2115963855421689E-2</v>
      </c>
      <c r="LM82" s="30">
        <f>IF(OR(NOT(DATA[[#This Row],[Subscriptions]]&gt;0),NOT(DATA[[#This Row],[Number of hours of care charged for in last full accounting year]]&gt;0)),0,DATA[[#This Row],[Subscriptions]]/DATA[[#This Row],[Number of hours of care charged for in last full accounting year]])</f>
        <v>0</v>
      </c>
      <c r="LN82" s="30">
        <f>IF(OR(NOT(DATA[[#This Row],[Cost of finance]]&gt;0),NOT(DATA[[#This Row],[Number of hours of care charged for in last full accounting year]]&gt;0)),0,DATA[[#This Row],[Cost of finance]]/DATA[[#This Row],[Number of hours of care charged for in last full accounting year]])</f>
        <v>0</v>
      </c>
      <c r="LO82" s="30">
        <f>IF(OR(NOT(DATA[[#This Row],[Other non-staff current expenses]]&gt;0),NOT(DATA[[#This Row],[Number of hours of care charged for in last full accounting year]]&gt;0)),0,DATA[[#This Row],[Other non-staff current expenses]]/DATA[[#This Row],[Number of hours of care charged for in last full accounting year]])</f>
        <v>0.11314006024096386</v>
      </c>
      <c r="LP82"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82"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82" s="30">
        <f>IF(OR(NOT(DATA[[#This Row],[Central / Regional Management]]&gt;0),NOT(DATA[[#This Row],[Number of hours of care charged for in last full accounting year]]&gt;0)),0,DATA[[#This Row],[Central / Regional Management]]/DATA[[#This Row],[Number of hours of care charged for in last full accounting year]])</f>
        <v>0</v>
      </c>
      <c r="LS82"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1.3387989457831326</v>
      </c>
      <c r="LT82"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2"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2" s="30">
        <f>SUM(DATA[[#This Row],[Management staff HOURLY RATE]:[Corporate Overheads: Other  - please specify (amount) 2 HOURLY RATE]])</f>
        <v>18.825602409638552</v>
      </c>
      <c r="LW82" s="30" t="str">
        <f>IF(OR(NOT(DATA[[#This Row],[Net Operating Profit]]&gt;0),NOT(DATA[[#This Row],[Number of hours of care charged for in last full accounting year]]&gt;0)),"",DATA[[#This Row],[Net Operating Profit]]/DATA[[#This Row],[Number of hours of care charged for in last full accounting year]])</f>
        <v/>
      </c>
      <c r="LX82" s="30">
        <f>IF(OR(NOT(DATA[[#This Row],[Return on Capital employed]]&gt;0),NOT(DATA[[#This Row],[Number of hours of care charged for in last full accounting year]]&gt;0)),0,DATA[[#This Row],[Return on Capital employed]]/DATA[[#This Row],[Number of hours of care charged for in last full accounting year]])</f>
        <v>0</v>
      </c>
      <c r="LY82" s="31">
        <v>77</v>
      </c>
      <c r="LZ82" s="30" t="s">
        <v>358</v>
      </c>
      <c r="MA82" s="30" t="b">
        <f>DATA[[#This Row],[Number of Home support clients:]]&gt;0</f>
        <v>1</v>
      </c>
      <c r="MB82" s="30" t="b">
        <f>DATA[[#This Row],[Number of supported living clients:]]&gt;0</f>
        <v>1</v>
      </c>
      <c r="MC82" s="30" t="b">
        <f>DATA[[#This Row],[Total Home Support Hours]]&gt;0</f>
        <v>1</v>
      </c>
      <c r="MD82" s="30" t="b">
        <f>DATA[[#This Row],[Total Supported Living Hours]]&gt;0</f>
        <v>1</v>
      </c>
      <c r="ME82" s="30" t="b">
        <f>DATA[[#This Row],[Home Support service split percentage (Expenditure):]]&gt;0.5</f>
        <v>0</v>
      </c>
      <c r="MF82" s="30" t="b">
        <f>DATA[[#This Row],[Agency staff HOURLY RATE]]=0</f>
        <v>0</v>
      </c>
      <c r="MG82"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2" s="30">
        <f>IFERROR(IF(AVERAGE(DATA[[#This Row],[Deputy manager: Current 2021/22 Minimum hourly pay rate ADJUSTED]],DATA[[#This Row],[Deputy manager: Current 2021/22 Maximum hourly pay rate ADJUSTED]])&lt;LIVING_WAGE_22_23,DATA[[#This Row],[Deputy manager: Numbers employed (Full Time Equivalent)]],0),"")</f>
        <v>0</v>
      </c>
      <c r="MI82" s="30">
        <f>IFERROR(IF(AVERAGE(DATA[[#This Row],[Other manager 1: Current 2021/22 Minimum hourly pay rate ADJUSTED]],DATA[[#This Row],[Other manager 1: Current 2021/22 Maximum hourly pay rate ADJUSTED]])&lt;LIVING_WAGE_22_23,DATA[[#This Row],[Other manager 1: Numbers employed (Full Time Equivalent)]],0),"")</f>
        <v>0</v>
      </c>
      <c r="MJ82" s="30">
        <f>IFERROR(IF(AVERAGE(DATA[[#This Row],[Other manager 2: Current 2021/22 Minimum hourly pay rate ADJUSTED]],DATA[[#This Row],[Other manager 2: Current 2021/22 Maximum hourly pay rate ADJUSTED]])&lt;LIVING_WAGE_22_23,DATA[[#This Row],[Other manager 2: Numbers employed (Full Time Equivalent)]],0),"")</f>
        <v>0</v>
      </c>
      <c r="MK82" s="30">
        <f>IFERROR(IF(AVERAGE(DATA[[#This Row],[Other manager 3: Current 2021/22 Minimum hourly pay rate ADJUSTED]],DATA[[#This Row],[Other manager 3: Current 2021/22 Maximum hourly pay rate ADJUSTED]])&lt;LIVING_WAGE_22_23,DATA[[#This Row],[Other manager 3: Numbers employed (Full Time Equivalent)]],0),"")</f>
        <v>0</v>
      </c>
      <c r="ML82" s="30">
        <f>IFERROR(IF(AVERAGE(DATA[[#This Row],[Care Assistant 1: Current 2021/22 Minimum hourly pay rate ADJUSTED]],DATA[[#This Row],[Care Assistant 1: Current 2021/22 Maximum hourly pay rate ADJUSTED]])&lt;LIVING_WAGE_22_23,DATA[[#This Row],[Care Assistant 1: Numbers employed (Full Time Equivalent)]],0),"")</f>
        <v>31</v>
      </c>
      <c r="MM82" s="30">
        <f>IFERROR(IF(AVERAGE(DATA[[#This Row],[Care Assistant 2: Current 2021/22 Minimum hourly pay rate ADJUSTED]],DATA[[#This Row],[Care Assistant 2: Current 2021/22 Maximum hourly pay rate ADJUSTED]])&lt;LIVING_WAGE_22_23,DATA[[#This Row],[Care Assistant 2: Numbers employed (Full Time Equivalent)]],0),"")</f>
        <v>3</v>
      </c>
      <c r="MN82" s="30">
        <f>IFERROR(IF(AVERAGE(DATA[[#This Row],[Care Assistant 3: Current 2021/22 Minimum hourly pay rate ADJUSTED]],DATA[[#This Row],[Care Assistant 3: Current 2021/22 Maximum hourly pay rate ADJUSTED]])&lt;LIVING_WAGE_22_23,DATA[[#This Row],[Care Assistant 3: Numbers employed (Full Time Equivalent)]],0),"")</f>
        <v>5</v>
      </c>
      <c r="MO82" s="30" t="str">
        <f>IFERROR(IF(AVERAGE(DATA[[#This Row],[Care Assistant 4: Current 2021/22 Minimum hourly pay rate ADJUSTED]],DATA[[#This Row],[Care Assistant 4: Current 2021/22 Maximum hourly pay rate ADJUSTED]])&lt;LIVING_WAGE_22_23,DATA[[#This Row],[Care Assistant 4: Numbers employed (Full Time Equivalent)]],0),"")</f>
        <v/>
      </c>
      <c r="MP82"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82"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82" s="30" t="str">
        <f>IFERROR(IF(AVERAGE(DATA[[#This Row],[Other staff 1: Current 2021/22 Minimum hourly pay rate ADJUSTED]],DATA[[#This Row],[Other staff 1: Current 2021/22 Maximum hourly pay rate ADJUSTED]])&lt;LIVING_WAGE_22_23,DATA[[#This Row],[Other staff 1: Numbers employed (Full Time Equivalent)]],0),"")</f>
        <v/>
      </c>
      <c r="MS82" s="30" t="str">
        <f>IFERROR(IF(AVERAGE(DATA[[#This Row],[Other staff 2: Current 2021/22 Minimum hourly pay rate ADJUSTED]],DATA[[#This Row],[Other staff 2: Current 2021/22 Maximum hourly pay rate ADJUSTED]])&lt;LIVING_WAGE_22_23,DATA[[#This Row],[Other staff 2: Numbers employed (Full Time Equivalent)]],0),"")</f>
        <v/>
      </c>
      <c r="MT82" s="30" t="str">
        <f>IFERROR(IF(AVERAGE(DATA[[#This Row],[Other staff 3: Current 2021/22 Minimum hourly pay rate ADJUSTED]],DATA[[#This Row],[Other staff 3: Current 2021/22 Maximum hourly pay rate ADJUSTED]])&lt;LIVING_WAGE_22_23,DATA[[#This Row],[Other staff 3: Numbers employed (Full Time Equivalent)]],0),"")</f>
        <v/>
      </c>
      <c r="MU82" s="30">
        <f>SUM(DATA[[#This Row],[Registered Manager FTE earning less than NLW 23yrs 2022/23]:[Other staff 3 FTE earning less than NLW 23yrs 2022/23]])</f>
        <v>39</v>
      </c>
      <c r="MV82"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2"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82"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82"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82" s="30">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0</v>
      </c>
      <c r="NA82"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18.289999999999996</v>
      </c>
      <c r="NB82"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0.26999999999999957</v>
      </c>
      <c r="NC82"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2.5</v>
      </c>
      <c r="ND82"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82"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82"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82"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82"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82"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82" s="30" t="b">
        <v>0</v>
      </c>
      <c r="NK82" s="30" t="b">
        <v>1</v>
      </c>
      <c r="NL82" s="30" t="s">
        <v>972</v>
      </c>
      <c r="NM82" s="30">
        <f>SUM(DATA[[#This Row],[Management staff HOURLY RATE]:[Training and development HOURLY RATE]])</f>
        <v>16.516716867469878</v>
      </c>
      <c r="NN82" s="30">
        <f>SUM(DATA[[#This Row],[Recruitment &amp; advertising (including DBS checks) HOURLY RATE]:[Non-Staffing Direct Cost: Other  - please specify (amount) 2 HOURLY RATE]])</f>
        <v>0.62799322289156623</v>
      </c>
      <c r="NO82" s="30">
        <f>SUM(DATA[[#This Row],[Insurance  HOURLY RATE]:[Indirect costs: Other  - please specify (amount) 2 HOURLY RATE]])</f>
        <v>0.34209337349397589</v>
      </c>
      <c r="NP82" s="30">
        <f>SUM(DATA[[#This Row],[Central / Regional Management HOURLY RATE]:[Corporate Overheads: Other  - please specify (amount) 2 HOURLY RATE]])</f>
        <v>1.3387989457831326</v>
      </c>
      <c r="NQ82"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2" s="30">
        <f>IFERROR(IF(AVERAGE(DATA[[#This Row],[Deputy manager: Current 2021/22 Minimum hourly pay rate ADJUSTED]],DATA[[#This Row],[Deputy manager: Current 2021/22 Maximum hourly pay rate ADJUSTED]])&lt;REAL_LIVING_WAGE_22_23,DATA[[#This Row],[Deputy manager: Numbers employed (Full Time Equivalent)]],0),"")</f>
        <v>0</v>
      </c>
      <c r="NS82" s="30">
        <f>IFERROR(IF(AVERAGE(DATA[[#This Row],[Other manager 1: Current 2021/22 Minimum hourly pay rate ADJUSTED]],DATA[[#This Row],[Other manager 1: Current 2021/22 Maximum hourly pay rate ADJUSTED]])&lt;REAL_LIVING_WAGE_22_23,DATA[[#This Row],[Other manager 1: Numbers employed (Full Time Equivalent)]],0),"")</f>
        <v>0</v>
      </c>
      <c r="NT82" s="30">
        <f>IFERROR(IF(AVERAGE(DATA[[#This Row],[Other manager 2: Current 2021/22 Minimum hourly pay rate ADJUSTED]],DATA[[#This Row],[Other manager 2: Current 2021/22 Maximum hourly pay rate ADJUSTED]])&lt;REAL_LIVING_WAGE_22_23,DATA[[#This Row],[Other manager 2: Numbers employed (Full Time Equivalent)]],0),"")</f>
        <v>0</v>
      </c>
      <c r="NU82" s="30">
        <f>IFERROR(IF(AVERAGE(DATA[[#This Row],[Other manager 3: Current 2021/22 Minimum hourly pay rate ADJUSTED]],DATA[[#This Row],[Other manager 3: Current 2021/22 Maximum hourly pay rate ADJUSTED]])&lt;REAL_LIVING_WAGE_22_23,DATA[[#This Row],[Other manager 3: Numbers employed (Full Time Equivalent)]],0),"")</f>
        <v>0</v>
      </c>
      <c r="NV82" s="30">
        <f>IFERROR(IF(AVERAGE(DATA[[#This Row],[Care Assistant 1: Current 2021/22 Minimum hourly pay rate ADJUSTED]],DATA[[#This Row],[Care Assistant 1: Current 2021/22 Maximum hourly pay rate ADJUSTED]])&lt;REAL_LIVING_WAGE_22_23,DATA[[#This Row],[Care Assistant 1: Numbers employed (Full Time Equivalent)]],0),"")</f>
        <v>31</v>
      </c>
      <c r="NW82" s="30">
        <f>IFERROR(IF(AVERAGE(DATA[[#This Row],[Care Assistant 2: Current 2021/22 Minimum hourly pay rate ADJUSTED]],DATA[[#This Row],[Care Assistant 2: Current 2021/22 Maximum hourly pay rate ADJUSTED]])&lt;REAL_LIVING_WAGE_22_23,DATA[[#This Row],[Care Assistant 2: Numbers employed (Full Time Equivalent)]],0),"")</f>
        <v>3</v>
      </c>
      <c r="NX82" s="30">
        <f>IFERROR(IF(AVERAGE(DATA[[#This Row],[Care Assistant 3: Current 2021/22 Minimum hourly pay rate ADJUSTED]],DATA[[#This Row],[Care Assistant 3: Current 2021/22 Maximum hourly pay rate ADJUSTED]])&lt;REAL_LIVING_WAGE_22_23,DATA[[#This Row],[Care Assistant 3: Numbers employed (Full Time Equivalent)]],0),"")</f>
        <v>5</v>
      </c>
      <c r="NY82"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82"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82"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82" s="30" t="str">
        <f>IFERROR(IF(AVERAGE(DATA[[#This Row],[Other staff 1: Current 2021/22 Minimum hourly pay rate ADJUSTED]],DATA[[#This Row],[Other staff 1: Current 2021/22 Maximum hourly pay rate ADJUSTED]])&lt;REAL_LIVING_WAGE_22_23,DATA[[#This Row],[Other staff 1: Numbers employed (Full Time Equivalent)]],0),"")</f>
        <v/>
      </c>
      <c r="OC82" s="30" t="str">
        <f>IFERROR(IF(AVERAGE(DATA[[#This Row],[Other staff 2: Current 2021/22 Minimum hourly pay rate ADJUSTED]],DATA[[#This Row],[Other staff 2: Current 2021/22 Maximum hourly pay rate ADJUSTED]])&lt;REAL_LIVING_WAGE_22_23,DATA[[#This Row],[Other staff 2: Numbers employed (Full Time Equivalent)]],0),"")</f>
        <v/>
      </c>
      <c r="OD82" s="30" t="str">
        <f>IFERROR(IF(AVERAGE(DATA[[#This Row],[Other staff 3: Current 2021/22 Minimum hourly pay rate ADJUSTED]],DATA[[#This Row],[Other staff 3: Current 2021/22 Maximum hourly pay rate ADJUSTED]])&lt;REAL_LIVING_WAGE_22_23,DATA[[#This Row],[Other staff 3: Numbers employed (Full Time Equivalent)]],0),"")</f>
        <v/>
      </c>
      <c r="OE82" s="30">
        <f>SUM(DATA[[#This Row],[Registered Manager FTE earning less than RLW 23yrs 2022/23]:[Other staff 3 FTE earning less than RLW 23yrs 2022/23]])</f>
        <v>39</v>
      </c>
      <c r="OF82"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2"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82"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82"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82" s="30">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0</v>
      </c>
      <c r="OK82"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30.690000000000005</v>
      </c>
      <c r="OL82"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1.4700000000000006</v>
      </c>
      <c r="OM82"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4.5000000000000018</v>
      </c>
      <c r="ON82"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82"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82"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82"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82"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82"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82" s="30">
        <f>IFERROR(IF(DATA[[#This Row],[Registered manager: Numbers employed (Full Time Equivalent)]]=0,"",DATA[[#This Row],[Registered manager: Current 2021/22 Minimum hourly pay rate ADJUSTED 2]]*DATA[[#This Row],[Registered manager: Numbers employed (Full Time Equivalent)]]),"")</f>
        <v>14.32</v>
      </c>
      <c r="OU82" s="30">
        <f>IFERROR(IF(DATA[[#This Row],[Registered manager: Numbers employed (Full Time Equivalent)]]=0,"",DATA[[#This Row],[Registered manager: Current 2021/22 Maximum hourly pay rate ADJUSTED 2]]*DATA[[#This Row],[Registered manager: Numbers employed (Full Time Equivalent)]]),"")</f>
        <v>14.32</v>
      </c>
      <c r="OV82" s="30">
        <f>IFERROR(IF(DATA[[#This Row],[Registered manager: Numbers employed (Full Time Equivalent)]]=0,"",DATA[[#This Row],[Registered manager: Previous 2020/21 Minimum hourly pay rate ADJUSTED 2]]*DATA[[#This Row],[Registered manager: Numbers employed (Full Time Equivalent)]]),"")</f>
        <v>13.9</v>
      </c>
      <c r="OW82" s="30">
        <f>IFERROR(IF(DATA[[#This Row],[Registered manager: Numbers employed (Full Time Equivalent)]]=0,"",DATA[[#This Row],[Registered manager: Previous 2020/21 Maximum hourly pay rate ADJUSTED 2]]*DATA[[#This Row],[Registered manager: Numbers employed (Full Time Equivalent)]]),"")</f>
        <v>13.9</v>
      </c>
      <c r="OX82" s="30">
        <f>IFERROR(IF(DATA[[#This Row],[Deputy manager: Numbers employed (Full Time Equivalent)]]=0,"",DATA[[#This Row],[Deputy manager: Current 2021/22 Minimum hourly pay rate ADJUSTED 2]]*DATA[[#This Row],[Deputy manager: Numbers employed (Full Time Equivalent)]]),"")</f>
        <v>25.56</v>
      </c>
      <c r="OY82" s="30">
        <f>IFERROR(IF(DATA[[#This Row],[Deputy manager: Numbers employed (Full Time Equivalent)]]=0,"",DATA[[#This Row],[Deputy manager: Current 2021/22 Maximum hourly pay rate ADJUSTED 2]]*DATA[[#This Row],[Deputy manager: Numbers employed (Full Time Equivalent)]]),"")</f>
        <v>25.56</v>
      </c>
      <c r="OZ82" s="30">
        <f>IFERROR(IF(DATA[[#This Row],[Deputy manager: Numbers employed (Full Time Equivalent)]]=0,"",DATA[[#This Row],[Deputy manager: Previous 2020/21 Minimum hourly pay rate ADJUSTED 2]]*DATA[[#This Row],[Deputy manager: Numbers employed (Full Time Equivalent)]]),"")</f>
        <v>24.8</v>
      </c>
      <c r="PA82" s="30">
        <f>IFERROR(IF(DATA[[#This Row],[Deputy manager: Numbers employed (Full Time Equivalent)]]=0,"",DATA[[#This Row],[Deputy manager: Previous 2020/21 Maximum hourly pay rate ADJUSTED 2]]*DATA[[#This Row],[Deputy manager: Numbers employed (Full Time Equivalent)]]),"")</f>
        <v>24.08</v>
      </c>
      <c r="PB82" s="30">
        <f>IFERROR(IF(DATA[[#This Row],[Other manager 1: Numbers employed (Full Time Equivalent)]]=0,"",DATA[[#This Row],[Other manager 1: Current 2021/22 Minimum hourly pay rate ADJUSTED 2]]*DATA[[#This Row],[Other manager 1: Numbers employed (Full Time Equivalent)]]),"")</f>
        <v>8.9499999999999993</v>
      </c>
      <c r="PC82" s="30">
        <f>IFERROR(IF(DATA[[#This Row],[Other manager 1: Numbers employed (Full Time Equivalent)]]=0,"",DATA[[#This Row],[Other manager 1: Current 2021/22 Maximum hourly pay rate ADJUSTED 2]]*DATA[[#This Row],[Other manager 1: Numbers employed (Full Time Equivalent)]]),"")</f>
        <v>8.9499999999999993</v>
      </c>
      <c r="PD82" s="30">
        <f>IFERROR(IF(DATA[[#This Row],[Other manager 1: Numbers employed (Full Time Equivalent)]]=0,"",DATA[[#This Row],[Other manager 1: Previous 2020/21 Minimum hourly pay rate ADJUSTED 2]]*DATA[[#This Row],[Other manager 1: Numbers employed (Full Time Equivalent)]]),"")</f>
        <v>8.68</v>
      </c>
      <c r="PE82" s="30">
        <f>IFERROR(IF(DATA[[#This Row],[Other manager 1: Numbers employed (Full Time Equivalent)]]=0,"",DATA[[#This Row],[Other manager 1: Previous 2020/21 Maximum hourly pay rate ADJUSTED 2]]*DATA[[#This Row],[Other manager 1: Numbers employed (Full Time Equivalent)]]),"")</f>
        <v>8.68</v>
      </c>
      <c r="PF82" s="30">
        <f>IFERROR(IF(DATA[[#This Row],[Other manager 2: Numbers employed (Full Time Equivalent)]]=0,"",DATA[[#This Row],[Other manager 2: Current 2021/22 Minimum hourly pay rate ADJUSTED 2]]*DATA[[#This Row],[Other manager 2: Numbers employed (Full Time Equivalent)]]),"")</f>
        <v>5.1124999999999998</v>
      </c>
      <c r="PG82" s="30">
        <f>IFERROR(IF(DATA[[#This Row],[Other manager 2: Numbers employed (Full Time Equivalent)]]=0,"",DATA[[#This Row],[Other manager 2: Current 2021/22 Maximum hourly pay rate ADJUSTED 2]]*DATA[[#This Row],[Other manager 2: Numbers employed (Full Time Equivalent)]]),"")</f>
        <v>5.1124999999999998</v>
      </c>
      <c r="PH82" s="30">
        <f>IFERROR(IF(DATA[[#This Row],[Other manager 2: Numbers employed (Full Time Equivalent)]]=0,"",DATA[[#This Row],[Other manager 2: Previous 2020/21 Minimum hourly pay rate ADJUSTED 2]]*DATA[[#This Row],[Other manager 2: Numbers employed (Full Time Equivalent)]]),"")</f>
        <v>4.96</v>
      </c>
      <c r="PI82" s="30">
        <f>IFERROR(IF(DATA[[#This Row],[Other manager 2: Numbers employed (Full Time Equivalent)]]=0,"",DATA[[#This Row],[Other manager 2: Previous 2020/21 Maximum hourly pay rate ADJUSTED 2]]*DATA[[#This Row],[Other manager 2: Numbers employed (Full Time Equivalent)]]),"")</f>
        <v>4.96</v>
      </c>
      <c r="PJ82" s="30">
        <f>IFERROR(IF(DATA[[#This Row],[Other manager 3: Numbers employed (Full Time Equivalent)]]=0,"",DATA[[#This Row],[Other manager 3: Current 2021/22 Minimum hourly pay rate ADJUSTED 2]]*DATA[[#This Row],[Other manager 3: Numbers employed (Full Time Equivalent)]]),"")</f>
        <v>8.9499999999999993</v>
      </c>
      <c r="PK82" s="30">
        <f>IFERROR(IF(DATA[[#This Row],[Other manager 3: Numbers employed (Full Time Equivalent)]]=0,"",DATA[[#This Row],[Other manager 3: Current 2021/22 Maximum hourly pay rate ADJUSTED 2]]*DATA[[#This Row],[Other manager 3: Numbers employed (Full Time Equivalent)]]),"")</f>
        <v>8.9499999999999993</v>
      </c>
      <c r="PL82" s="30">
        <f>IFERROR(IF(DATA[[#This Row],[Other manager 3: Numbers employed (Full Time Equivalent)]]=0,"",DATA[[#This Row],[Other manager 3: Previous 2020/21 Minimum hourly pay rate ADJUSTED 2]]*DATA[[#This Row],[Other manager 3: Numbers employed (Full Time Equivalent)]]),"")</f>
        <v>8.68</v>
      </c>
      <c r="PM82" s="30">
        <f>IFERROR(IF(DATA[[#This Row],[Other manager 3: Numbers employed (Full Time Equivalent)]]=0,"",DATA[[#This Row],[Other manager 3: Previous 2020/21 Maximum hourly pay rate ADJUSTED 2]]*DATA[[#This Row],[Other manager 3: Numbers employed (Full Time Equivalent)]]),"")</f>
        <v>8.68</v>
      </c>
      <c r="PN82" s="30">
        <f>IFERROR(IF(DATA[[#This Row],[Care Assistant 1: Numbers employed (Full Time Equivalent)]]=0,"",DATA[[#This Row],[Care Assistant 1: Current 2021/22 Minimum hourly pay rate ADJUSTED 2]]*DATA[[#This Row],[Care Assistant 1: Numbers employed (Full Time Equivalent)]]),"")</f>
        <v>276.20999999999998</v>
      </c>
      <c r="PO82" s="30">
        <f>IFERROR(IF(DATA[[#This Row],[Care Assistant 1: Numbers employed (Full Time Equivalent)]]=0,"",DATA[[#This Row],[Care Assistant 1: Current 2021/22 Maximum hourly pay rate ADJUSTED 2]]*DATA[[#This Row],[Care Assistant 1: Numbers employed (Full Time Equivalent)]]),"")</f>
        <v>276.20999999999998</v>
      </c>
      <c r="PP82" s="30">
        <f>IFERROR(IF(DATA[[#This Row],[Care Assistant 1: Numbers employed (Full Time Equivalent)]]=0,"",DATA[[#This Row],[Care Assistant 1: Previous 2020/21 Minimum hourly pay rate ADJUSTED 2]]*DATA[[#This Row],[Care Assistant 1: Numbers employed (Full Time Equivalent)]]),"")</f>
        <v>270.32</v>
      </c>
      <c r="PQ82" s="30">
        <f>IFERROR(IF(DATA[[#This Row],[Care Assistant 1: Numbers employed (Full Time Equivalent)]]=0,"",DATA[[#This Row],[Care Assistant 1: Previous 2020/21 Maximum hourly pay rate ADJUSTED 2]]*DATA[[#This Row],[Care Assistant 1: Numbers employed (Full Time Equivalent)]]),"")</f>
        <v>270.32</v>
      </c>
      <c r="PR82" s="30">
        <f>IFERROR(IF(DATA[[#This Row],[Care Assistant 2: Numbers employed (Full Time Equivalent)]]=0,"",DATA[[#This Row],[Care Assistant 2: Current 2021/22 Minimum hourly pay rate ADJUSTED 2]]*DATA[[#This Row],[Care Assistant 2: Numbers employed (Full Time Equivalent)]]),"")</f>
        <v>28.23</v>
      </c>
      <c r="PS82" s="30">
        <f>IFERROR(IF(DATA[[#This Row],[Care Assistant 2: Numbers employed (Full Time Equivalent)]]=0,"",DATA[[#This Row],[Care Assistant 2: Current 2021/22 Maximum hourly pay rate ADJUSTED 2]]*DATA[[#This Row],[Care Assistant 2: Numbers employed (Full Time Equivalent)]]),"")</f>
        <v>28.23</v>
      </c>
      <c r="PT82" s="30">
        <f>IFERROR(IF(DATA[[#This Row],[Care Assistant 2: Numbers employed (Full Time Equivalent)]]=0,"",DATA[[#This Row],[Care Assistant 2: Previous 2020/21 Minimum hourly pay rate ADJUSTED 2]]*DATA[[#This Row],[Care Assistant 2: Numbers employed (Full Time Equivalent)]]),"")</f>
        <v>27.660000000000004</v>
      </c>
      <c r="PU82" s="30">
        <f>IFERROR(IF(DATA[[#This Row],[Care Assistant 2: Numbers employed (Full Time Equivalent)]]=0,"",DATA[[#This Row],[Care Assistant 2: Previous 2020/21 Maximum hourly pay rate ADJUSTED 2]]*DATA[[#This Row],[Care Assistant 2: Numbers employed (Full Time Equivalent)]]),"")</f>
        <v>27.660000000000004</v>
      </c>
      <c r="PV82" s="30">
        <f>IFERROR(IF(DATA[[#This Row],[Care Assistant 3: Numbers employed (Full Time Equivalent)]]=0,"",DATA[[#This Row],[Care Assistant 3: Current 2021/22 Minimum hourly pay rate ADJUSTED 2]]*DATA[[#This Row],[Care Assistant 3: Numbers employed (Full Time Equivalent)]]),"")</f>
        <v>45</v>
      </c>
      <c r="PW82" s="30">
        <f>IFERROR(IF(DATA[[#This Row],[Care Assistant 3: Numbers employed (Full Time Equivalent)]]=0,"",DATA[[#This Row],[Care Assistant 3: Current 2021/22 Maximum hourly pay rate ADJUSTED 2]]*DATA[[#This Row],[Care Assistant 3: Numbers employed (Full Time Equivalent)]]),"")</f>
        <v>45</v>
      </c>
      <c r="PX82" s="30">
        <f>IFERROR(IF(DATA[[#This Row],[Care Assistant 3: Numbers employed (Full Time Equivalent)]]=0,"",DATA[[#This Row],[Care Assistant 3: Previous 2020/21 Minimum hourly pay rate ADJUSTED 2]]*DATA[[#This Row],[Care Assistant 3: Numbers employed (Full Time Equivalent)]]),"")</f>
        <v>44.1</v>
      </c>
      <c r="PY82" s="30">
        <f>IFERROR(IF(DATA[[#This Row],[Care Assistant 3: Numbers employed (Full Time Equivalent)]]=0,"",DATA[[#This Row],[Care Assistant 3: Previous 2020/21 Maximum hourly pay rate ADJUSTED 2]]*DATA[[#This Row],[Care Assistant 3: Numbers employed (Full Time Equivalent)]]),"")</f>
        <v>44.1</v>
      </c>
      <c r="PZ82" s="30" t="str">
        <f>IFERROR(IF(DATA[[#This Row],[Care Assistant 4: Numbers employed (Full Time Equivalent)]]=0,"",DATA[[#This Row],[Care Assistant 4: Current 2021/22 Minimum hourly pay rate ADJUSTED 2]]*DATA[[#This Row],[Care Assistant 4: Numbers employed (Full Time Equivalent)]]),"")</f>
        <v/>
      </c>
      <c r="QA82" s="30" t="str">
        <f>IFERROR(IF(DATA[[#This Row],[Care Assistant 4: Numbers employed (Full Time Equivalent)]]=0,"",DATA[[#This Row],[Care Assistant 4: Current 2021/22 Maximum hourly pay rate ADJUSTED 2]]*DATA[[#This Row],[Care Assistant 4: Numbers employed (Full Time Equivalent)]]),"")</f>
        <v/>
      </c>
      <c r="QB82" s="30" t="str">
        <f>IFERROR(IF(DATA[[#This Row],[Care Assistant 4: Numbers employed (Full Time Equivalent)]]=0,"",DATA[[#This Row],[Care Assistant 4: Previous 2020/21 Minimum hourly pay rate ADJUSTED 2]]*DATA[[#This Row],[Care Assistant 4: Numbers employed (Full Time Equivalent)]]),"")</f>
        <v/>
      </c>
      <c r="QC82" s="30" t="str">
        <f>IFERROR(IF(DATA[[#This Row],[Care Assistant 4: Numbers employed (Full Time Equivalent)]]=0,"",DATA[[#This Row],[Care Assistant 4: Previous 2020/21 Maximum hourly pay rate ADJUSTED 2]]*DATA[[#This Row],[Care Assistant 4: Numbers employed (Full Time Equivalent)]]),"")</f>
        <v/>
      </c>
      <c r="QD82" s="30" t="str">
        <f>IFERROR(IF(DATA[[#This Row],[Administrative Officer 1: Numbers employed (Full Time Equivalent)]]=0,"",DATA[[#This Row],[Administrative Officer 1: Current 2021/22 Minimum hourly pay rate ADJUSTED 2]]*DATA[[#This Row],[Administrative Officer 1: Numbers employed (Full Time Equivalent)]]),"")</f>
        <v/>
      </c>
      <c r="QE82" s="30" t="str">
        <f>IFERROR(IF(DATA[[#This Row],[Administrative Officer 1: Numbers employed (Full Time Equivalent)]]=0,"",DATA[[#This Row],[Administrative Officer 1: Current 2021/22 Maximum hourly pay rate ADJUSTED 2]]*DATA[[#This Row],[Administrative Officer 1: Numbers employed (Full Time Equivalent)]]),"")</f>
        <v/>
      </c>
      <c r="QF82" s="30" t="str">
        <f>IFERROR(IF(DATA[[#This Row],[Administrative Officer 1: Numbers employed (Full Time Equivalent)]]=0,"",DATA[[#This Row],[Administrative Officer 1: Previous 2020/21 Minimum hourly pay rate ADJUSTED 2]]*DATA[[#This Row],[Administrative Officer 1: Numbers employed (Full Time Equivalent)]]),"")</f>
        <v/>
      </c>
      <c r="QG82" s="30" t="str">
        <f>IFERROR(IF(DATA[[#This Row],[Administrative Officer 1: Numbers employed (Full Time Equivalent)]]=0,"",DATA[[#This Row],[Administrative Officer 1: Previous 2020/21 Maximum hourly pay rate ADJUSTED 2]]*DATA[[#This Row],[Administrative Officer 1: Numbers employed (Full Time Equivalent)]]),"")</f>
        <v/>
      </c>
      <c r="QH82" s="30" t="str">
        <f>IFERROR(IF(DATA[[#This Row],[Administrative Officer 2: Numbers employed (Full Time Equivalent)]]=0,"",DATA[[#This Row],[Administrative Officer 2: Current 2021/22 Minimum hourly pay rate ADJUSTED 2]]*DATA[[#This Row],[Administrative Officer 2: Numbers employed (Full Time Equivalent)]]),"")</f>
        <v/>
      </c>
      <c r="QI82" s="30" t="str">
        <f>IFERROR(IF(DATA[[#This Row],[Administrative Officer 2: Numbers employed (Full Time Equivalent)]]=0,"",DATA[[#This Row],[Administrative Officer 2: Current 2021/22 Maximum hourly pay rate ADJUSTED 2]]*DATA[[#This Row],[Administrative Officer 2: Numbers employed (Full Time Equivalent)]]),"")</f>
        <v/>
      </c>
      <c r="QJ82" s="30" t="str">
        <f>IFERROR(IF(DATA[[#This Row],[Administrative Officer 2: Numbers employed (Full Time Equivalent)]]=0,"",DATA[[#This Row],[Administrative Officer 2: Previous 2020/21 Minimum hourly pay rate ADJUSTED 2]]*DATA[[#This Row],[Administrative Officer 2: Numbers employed (Full Time Equivalent)]]),"")</f>
        <v/>
      </c>
      <c r="QK82" s="30" t="str">
        <f>IFERROR(IF(DATA[[#This Row],[Administrative Officer 2: Numbers employed (Full Time Equivalent)]]=0,"",DATA[[#This Row],[Administrative Officer 2: Previous 2020/21 Maximum hourly pay rate ADJUSTED 2]]*DATA[[#This Row],[Administrative Officer 2: Numbers employed (Full Time Equivalent)]]),"")</f>
        <v/>
      </c>
      <c r="QL82" s="30" t="str">
        <f>IFERROR(IF(DATA[[#This Row],[Administrative Officer 3: Numbers employed (Full Time Equivalent)]]=0,"",DATA[[#This Row],[Administrative Officer 3: Current 2021/22 Minimum hourly pay rate ADJUSTED 2]]*DATA[[#This Row],[Administrative Officer 3: Numbers employed (Full Time Equivalent)]]),"")</f>
        <v/>
      </c>
      <c r="QM82" s="30" t="str">
        <f>IFERROR(IF(DATA[[#This Row],[Administrative Officer 3: Numbers employed (Full Time Equivalent)]]=0,"",DATA[[#This Row],[Administrative Officer 3: Current 2021/22 Maximum hourly pay rate ADJUSTED 2]]*DATA[[#This Row],[Administrative Officer 3: Numbers employed (Full Time Equivalent)]]),"")</f>
        <v/>
      </c>
      <c r="QN82" s="30" t="str">
        <f>IFERROR(IF(DATA[[#This Row],[Administrative Officer 3: Numbers employed (Full Time Equivalent)]]=0,"",DATA[[#This Row],[Administrative Officer 3: Previous 2020/21 Minimum hourly pay rate ADJUSTED 2]]*DATA[[#This Row],[Administrative Officer 3: Numbers employed (Full Time Equivalent)]]),"")</f>
        <v/>
      </c>
      <c r="QO82" s="30" t="str">
        <f>IFERROR(IF(DATA[[#This Row],[Administrative Officer 3: Numbers employed (Full Time Equivalent)]]=0,"",DATA[[#This Row],[Administrative Officer 3: Previous 2020/21 Maximum hourly pay rate ADJUSTED 2]]*DATA[[#This Row],[Administrative Officer 3: Numbers employed (Full Time Equivalent)]]),"")</f>
        <v/>
      </c>
      <c r="QP82" s="28" t="str">
        <f>IFERROR(IF(DATA[[#This Row],[Other staff 1: Numbers employed (Full Time Equivalent)]]=0,"",DATA[[#This Row],[Other staff 1: Current 2021/22 Minimum hourly pay rate ADJUSTED 2]]*DATA[[#This Row],[Other staff 1: Numbers employed (Full Time Equivalent)]]),"")</f>
        <v/>
      </c>
      <c r="QQ82" s="28" t="str">
        <f>IFERROR(IF(DATA[[#This Row],[Other staff 1: Numbers employed (Full Time Equivalent)]]=0,"",DATA[[#This Row],[Other staff 1: Current 2021/22 Maximum hourly pay rate ADJUSTED 2]]*DATA[[#This Row],[Other staff 1: Numbers employed (Full Time Equivalent)]]),"")</f>
        <v/>
      </c>
      <c r="QR82" s="28" t="str">
        <f>IFERROR(IF(DATA[[#This Row],[Other staff 1: Numbers employed (Full Time Equivalent)]]=0,"",DATA[[#This Row],[Other staff 1: Previous 2020/21 Minimum hourly pay rate ADJUSTED 2]]*DATA[[#This Row],[Other staff 1: Numbers employed (Full Time Equivalent)]]),"")</f>
        <v/>
      </c>
      <c r="QS82" s="28" t="str">
        <f>IFERROR(IF(DATA[[#This Row],[Other staff 1: Numbers employed (Full Time Equivalent)]]=0,"",DATA[[#This Row],[Other staff 1: Previous 2020/21 Maximum hourly pay rate ADJUSTED 2]]*DATA[[#This Row],[Other staff 1: Numbers employed (Full Time Equivalent)]]),"")</f>
        <v/>
      </c>
      <c r="QT82" s="28" t="str">
        <f>IFERROR(IF(DATA[[#This Row],[Other staff 2: Numbers employed (Full Time Equivalent)]]=0,"",DATA[[#This Row],[Other staff 2: Current 2021/22 Minimum hourly pay rate ADJUSTED 2]]*DATA[[#This Row],[Other staff 2: Numbers employed (Full Time Equivalent)]]),"")</f>
        <v/>
      </c>
      <c r="QU82" s="28" t="str">
        <f>IFERROR(IF(DATA[[#This Row],[Other staff 2: Numbers employed (Full Time Equivalent)]]=0,"",DATA[[#This Row],[Other staff 2: Current 2021/22 Maximum hourly pay rate ADJUSTED 2]]*DATA[[#This Row],[Other staff 2: Numbers employed (Full Time Equivalent)]]),"")</f>
        <v/>
      </c>
      <c r="QV82" s="28" t="str">
        <f>IFERROR(IF(DATA[[#This Row],[Other staff 2: Numbers employed (Full Time Equivalent)]]=0,"",DATA[[#This Row],[Other staff 2: Previous 2020/21 Minimum hourly pay rate ADJUSTED 2]]*DATA[[#This Row],[Other staff 2: Numbers employed (Full Time Equivalent)]]),"")</f>
        <v/>
      </c>
      <c r="QW82" s="28" t="str">
        <f>IFERROR(IF(DATA[[#This Row],[Other staff 2: Numbers employed (Full Time Equivalent)]]=0,"",DATA[[#This Row],[Other staff 2: Previous 2020/21 Maximum hourly pay rate ADJUSTED 2]]*DATA[[#This Row],[Other staff 2: Numbers employed (Full Time Equivalent)]]),"")</f>
        <v/>
      </c>
      <c r="QX82" s="28" t="str">
        <f>IFERROR(IF(DATA[[#This Row],[Other staff 3: Numbers employed (Full Time Equivalent)]]=0,"",DATA[[#This Row],[Other staff 3: Current 2021/22 Minimum hourly pay rate ADJUSTED 2]]*DATA[[#This Row],[Other staff 3: Numbers employed (Full Time Equivalent)]]),"")</f>
        <v/>
      </c>
      <c r="QY82" s="28" t="str">
        <f>IFERROR(IF(DATA[[#This Row],[Other staff 3: Numbers employed (Full Time Equivalent)]]=0,"",DATA[[#This Row],[Other staff 3: Current 2021/22 Maximum hourly pay rate ADJUSTED 2]]*DATA[[#This Row],[Other staff 3: Numbers employed (Full Time Equivalent)]]),"")</f>
        <v/>
      </c>
      <c r="QZ82" s="28" t="str">
        <f>IFERROR(IF(DATA[[#This Row],[Other staff 3: Numbers employed (Full Time Equivalent)]]=0,"",DATA[[#This Row],[Other staff 3: Previous 2020/21 Minimum hourly pay rate ADJUSTED 2]]*DATA[[#This Row],[Other staff 3: Numbers employed (Full Time Equivalent)]]),"")</f>
        <v/>
      </c>
      <c r="RA82" s="28" t="str">
        <f>IFERROR(IF(DATA[[#This Row],[Other staff 3: Numbers employed (Full Time Equivalent)]]=0,"",DATA[[#This Row],[Other staff 3: Previous 2020/21 Maximum hourly pay rate ADJUSTED 2]]*DATA[[#This Row],[Other staff 3: Numbers employed (Full Time Equivalent)]]),"")</f>
        <v/>
      </c>
      <c r="RB82"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82"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2</v>
      </c>
      <c r="RD82"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0.5</v>
      </c>
      <c r="RE82"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0.25</v>
      </c>
      <c r="RF82"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0.5</v>
      </c>
      <c r="RG82"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31</v>
      </c>
      <c r="RH82"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3</v>
      </c>
      <c r="RI82"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5</v>
      </c>
      <c r="RJ82"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82"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82"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82"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82"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82"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82"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83" spans="3:484" x14ac:dyDescent="0.25">
      <c r="G83" s="2">
        <v>77</v>
      </c>
      <c r="H83" s="2">
        <v>19</v>
      </c>
      <c r="I83" s="2">
        <v>0</v>
      </c>
      <c r="J83" s="2">
        <v>1</v>
      </c>
      <c r="K83" s="2">
        <v>0</v>
      </c>
      <c r="L83" s="2" t="s">
        <v>328</v>
      </c>
      <c r="M83" s="2" t="s">
        <v>365</v>
      </c>
      <c r="R83" s="2">
        <v>12</v>
      </c>
      <c r="S83" s="2">
        <v>14</v>
      </c>
      <c r="T83" s="2">
        <v>11</v>
      </c>
      <c r="U83" s="2">
        <v>13</v>
      </c>
      <c r="V83" s="2">
        <v>1</v>
      </c>
      <c r="W83" s="2">
        <v>11.5</v>
      </c>
      <c r="X83" s="2">
        <v>12.5</v>
      </c>
      <c r="Y83" s="2">
        <v>10.5</v>
      </c>
      <c r="Z83" s="2">
        <v>11.5</v>
      </c>
      <c r="AA83" s="2">
        <v>2</v>
      </c>
      <c r="AB83" s="2" t="s">
        <v>625</v>
      </c>
      <c r="AC83" s="2">
        <v>11</v>
      </c>
      <c r="AD83" s="2">
        <v>12</v>
      </c>
      <c r="AE83" s="2">
        <v>10</v>
      </c>
      <c r="AF83" s="2">
        <v>11</v>
      </c>
      <c r="AG83" s="2">
        <v>1</v>
      </c>
      <c r="AH83" s="2" t="s">
        <v>626</v>
      </c>
      <c r="AI83" s="2">
        <v>12</v>
      </c>
      <c r="AJ83" s="2">
        <v>12.5</v>
      </c>
      <c r="AK83" s="2">
        <v>11</v>
      </c>
      <c r="AL83" s="2">
        <v>11.5</v>
      </c>
      <c r="AM83" s="2">
        <v>1</v>
      </c>
      <c r="AN83" s="2" t="s">
        <v>315</v>
      </c>
      <c r="AO83" s="2">
        <v>0</v>
      </c>
      <c r="AP83" s="2">
        <v>0</v>
      </c>
      <c r="AQ83" s="2">
        <v>0</v>
      </c>
      <c r="AR83" s="2">
        <v>0</v>
      </c>
      <c r="AS83" s="2">
        <v>0</v>
      </c>
      <c r="AT83" s="2" t="s">
        <v>627</v>
      </c>
      <c r="AU83" s="2">
        <v>8.91</v>
      </c>
      <c r="AV83" s="2">
        <v>9.5</v>
      </c>
      <c r="AW83" s="2">
        <v>8.7200000000000006</v>
      </c>
      <c r="AX83" s="2">
        <v>9</v>
      </c>
      <c r="AY83" s="2">
        <v>4</v>
      </c>
      <c r="AZ83" s="2" t="s">
        <v>628</v>
      </c>
      <c r="BA83" s="2">
        <v>9.75</v>
      </c>
      <c r="BB83" s="2">
        <v>10.25</v>
      </c>
      <c r="BC83" s="2">
        <v>9.15</v>
      </c>
      <c r="BD83" s="2">
        <v>9.75</v>
      </c>
      <c r="BE83" s="2">
        <v>11</v>
      </c>
      <c r="BF83" s="2" t="s">
        <v>629</v>
      </c>
      <c r="BG83" s="2">
        <v>10.5</v>
      </c>
      <c r="BH83" s="2">
        <v>11</v>
      </c>
      <c r="BI83" s="2">
        <v>10</v>
      </c>
      <c r="BJ83" s="2">
        <v>10.5</v>
      </c>
      <c r="BK83" s="2">
        <v>12</v>
      </c>
      <c r="BL83" s="2" t="s">
        <v>630</v>
      </c>
      <c r="BM83" s="2">
        <v>11</v>
      </c>
      <c r="BN83" s="2">
        <v>11.5</v>
      </c>
      <c r="BO83" s="2">
        <v>10.5</v>
      </c>
      <c r="BP83" s="2">
        <v>11</v>
      </c>
      <c r="BQ83" s="2">
        <v>4</v>
      </c>
      <c r="BR83" s="2" t="s">
        <v>631</v>
      </c>
      <c r="BS83" s="2">
        <v>8.91</v>
      </c>
      <c r="BT83" s="2">
        <v>9</v>
      </c>
      <c r="BU83" s="2">
        <v>8.7200000000000006</v>
      </c>
      <c r="BV83" s="2">
        <v>9</v>
      </c>
      <c r="BW83" s="2">
        <v>2</v>
      </c>
      <c r="BX83" s="2" t="s">
        <v>632</v>
      </c>
      <c r="BY83" s="2">
        <v>10</v>
      </c>
      <c r="BZ83" s="2">
        <v>10.5</v>
      </c>
      <c r="CA83" s="2">
        <v>9.5</v>
      </c>
      <c r="CB83" s="2">
        <v>10</v>
      </c>
      <c r="CC83" s="2">
        <v>1</v>
      </c>
      <c r="CD83" s="2" t="s">
        <v>633</v>
      </c>
      <c r="CE83" s="2">
        <v>11</v>
      </c>
      <c r="CF83" s="2">
        <v>11.5</v>
      </c>
      <c r="CG83" s="2">
        <v>10.5</v>
      </c>
      <c r="CH83" s="2">
        <v>11</v>
      </c>
      <c r="CI83" s="2">
        <v>1</v>
      </c>
      <c r="CJ83" s="2" t="s">
        <v>318</v>
      </c>
      <c r="CK83" s="2">
        <v>0</v>
      </c>
      <c r="CL83" s="2">
        <v>0</v>
      </c>
      <c r="CM83" s="2">
        <v>0</v>
      </c>
      <c r="CN83" s="2">
        <v>0</v>
      </c>
      <c r="CO83" s="2">
        <v>0</v>
      </c>
      <c r="CP83" s="2" t="s">
        <v>318</v>
      </c>
      <c r="CQ83" s="2">
        <v>0</v>
      </c>
      <c r="CR83" s="2">
        <v>0</v>
      </c>
      <c r="CS83" s="2">
        <v>0</v>
      </c>
      <c r="CT83" s="2">
        <v>0</v>
      </c>
      <c r="CU83" s="2">
        <v>0</v>
      </c>
      <c r="CV83" s="2" t="s">
        <v>318</v>
      </c>
      <c r="CW83" s="2">
        <v>0</v>
      </c>
      <c r="CX83" s="2">
        <v>0</v>
      </c>
      <c r="CY83" s="2">
        <v>0</v>
      </c>
      <c r="CZ83" s="2">
        <v>0</v>
      </c>
      <c r="DA83" s="2">
        <v>0</v>
      </c>
      <c r="DB83" s="2">
        <v>0.03</v>
      </c>
      <c r="DC83" s="2">
        <v>0</v>
      </c>
      <c r="DD83" s="2">
        <v>0</v>
      </c>
      <c r="DE83" s="2">
        <v>1570.5</v>
      </c>
      <c r="DF83" s="2">
        <v>0</v>
      </c>
      <c r="DG83" s="2">
        <v>105</v>
      </c>
      <c r="DH83" s="2">
        <v>15</v>
      </c>
      <c r="DI83" s="2">
        <v>0</v>
      </c>
      <c r="DJ83" s="2">
        <v>0</v>
      </c>
      <c r="DK83" s="2">
        <v>0</v>
      </c>
      <c r="DL83" s="2">
        <v>0</v>
      </c>
      <c r="DM83" s="2">
        <v>0</v>
      </c>
      <c r="DN83" s="2">
        <v>0</v>
      </c>
      <c r="DO83" s="2">
        <v>15.58</v>
      </c>
      <c r="DP83" s="2">
        <v>15.5</v>
      </c>
      <c r="DQ83" s="2">
        <v>15</v>
      </c>
      <c r="DR83" s="18">
        <v>43678</v>
      </c>
      <c r="DS83" s="18">
        <v>44043</v>
      </c>
      <c r="DT83" s="2">
        <v>34875</v>
      </c>
      <c r="DU83" s="2">
        <v>19832</v>
      </c>
      <c r="DV83" s="2">
        <v>348744</v>
      </c>
      <c r="DW83" s="2">
        <v>24220</v>
      </c>
      <c r="DX83" s="2">
        <v>152614</v>
      </c>
      <c r="DY83" s="2">
        <v>0</v>
      </c>
      <c r="DZ83" s="2">
        <v>8709</v>
      </c>
      <c r="EA83" s="2">
        <v>0</v>
      </c>
      <c r="EB83" s="2">
        <v>14880</v>
      </c>
      <c r="EC83" s="2">
        <v>2856</v>
      </c>
      <c r="ED83" s="2">
        <v>0</v>
      </c>
      <c r="EE83" s="2">
        <v>9755</v>
      </c>
      <c r="EF83" s="2">
        <v>0</v>
      </c>
      <c r="EG83" s="2">
        <v>3508</v>
      </c>
      <c r="EH83" s="2" t="s">
        <v>410</v>
      </c>
      <c r="EI83" s="2">
        <v>28269</v>
      </c>
      <c r="EJ83" s="2" t="s">
        <v>324</v>
      </c>
      <c r="EK83" s="2">
        <v>0</v>
      </c>
      <c r="EL83" s="2">
        <v>5270</v>
      </c>
      <c r="EM83" s="2">
        <v>0</v>
      </c>
      <c r="EN83" s="2">
        <v>567</v>
      </c>
      <c r="EO83" s="2">
        <v>3866</v>
      </c>
      <c r="EP83" s="2">
        <v>0</v>
      </c>
      <c r="EQ83" s="2">
        <v>1441</v>
      </c>
      <c r="ER83" s="2">
        <v>661</v>
      </c>
      <c r="ES83" s="2">
        <v>21329</v>
      </c>
      <c r="ET83" s="2" t="s">
        <v>634</v>
      </c>
      <c r="EU83" s="2">
        <v>32700</v>
      </c>
      <c r="EV83" s="2" t="s">
        <v>458</v>
      </c>
      <c r="EW83" s="2">
        <v>3804</v>
      </c>
      <c r="EX83" s="2">
        <v>0</v>
      </c>
      <c r="EY83" s="2">
        <v>192070</v>
      </c>
      <c r="EZ83" s="2" t="s">
        <v>326</v>
      </c>
      <c r="FA83" s="2">
        <v>0</v>
      </c>
      <c r="FB83" s="2" t="s">
        <v>326</v>
      </c>
      <c r="FC83" s="2">
        <v>0</v>
      </c>
      <c r="FD83" s="2">
        <v>159043</v>
      </c>
      <c r="FE83" s="2">
        <v>1.17</v>
      </c>
      <c r="FF83" s="2">
        <v>135353</v>
      </c>
      <c r="FG83" s="2"/>
      <c r="FH83" s="19">
        <v>44480.627905092595</v>
      </c>
      <c r="FI83" s="2" t="s">
        <v>345</v>
      </c>
      <c r="FJ83" s="2">
        <f>SUM(DATA[[#This Row],[Number of Home support clients:]],DATA[[#This Row],[Number of supported living clients:]])</f>
        <v>19</v>
      </c>
      <c r="FK83"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11-20</v>
      </c>
      <c r="FL83"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12</v>
      </c>
      <c r="FM83"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14</v>
      </c>
      <c r="FN83"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11</v>
      </c>
      <c r="FO83"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13</v>
      </c>
      <c r="FP83"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11.5</v>
      </c>
      <c r="FQ83"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12.5</v>
      </c>
      <c r="FR83"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10.5</v>
      </c>
      <c r="FS83"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11.5</v>
      </c>
      <c r="FT83"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11</v>
      </c>
      <c r="FU83"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12</v>
      </c>
      <c r="FV83"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10</v>
      </c>
      <c r="FW83"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11</v>
      </c>
      <c r="FX83" s="2">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12</v>
      </c>
      <c r="FY83" s="2">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12.5</v>
      </c>
      <c r="FZ83" s="2">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11</v>
      </c>
      <c r="GA83" s="2">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11.5</v>
      </c>
      <c r="GB83"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83"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83"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83"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83"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8.91</v>
      </c>
      <c r="GG83"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9.5</v>
      </c>
      <c r="GH83"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8.7200000000000006</v>
      </c>
      <c r="GI83"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v>
      </c>
      <c r="GJ83"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9.75</v>
      </c>
      <c r="GK83"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10.25</v>
      </c>
      <c r="GL83"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9.15</v>
      </c>
      <c r="GM83"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9.75</v>
      </c>
      <c r="GN83" s="2">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10.5</v>
      </c>
      <c r="GO83" s="2">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11</v>
      </c>
      <c r="GP83"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10</v>
      </c>
      <c r="GQ83"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10.5</v>
      </c>
      <c r="GR83" s="2">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11</v>
      </c>
      <c r="GS83" s="2">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11.5</v>
      </c>
      <c r="GT83" s="2">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10.5</v>
      </c>
      <c r="GU83" s="2">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11</v>
      </c>
      <c r="GV83"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8.91</v>
      </c>
      <c r="GW83"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v>
      </c>
      <c r="GX83"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8.7200000000000006</v>
      </c>
      <c r="GY83"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v>
      </c>
      <c r="GZ83" s="2">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10</v>
      </c>
      <c r="HA83" s="2">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10.5</v>
      </c>
      <c r="HB83" s="2">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9.5</v>
      </c>
      <c r="HC83" s="2">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10</v>
      </c>
      <c r="HD83" s="2">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11</v>
      </c>
      <c r="HE83" s="2">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11.5</v>
      </c>
      <c r="HF83" s="2">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10.5</v>
      </c>
      <c r="HG83" s="2">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11</v>
      </c>
      <c r="HH83"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83"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83"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83"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83"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83"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83"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83"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83"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83"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83"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83"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83"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12</v>
      </c>
      <c r="HU83"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14</v>
      </c>
      <c r="HV83"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11</v>
      </c>
      <c r="HW83"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13</v>
      </c>
      <c r="HX83"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11.5</v>
      </c>
      <c r="HY83"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12.5</v>
      </c>
      <c r="HZ83"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10.5</v>
      </c>
      <c r="IA83"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11.5</v>
      </c>
      <c r="IB83"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11</v>
      </c>
      <c r="IC83"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12</v>
      </c>
      <c r="ID83"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10</v>
      </c>
      <c r="IE83"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11</v>
      </c>
      <c r="IF83" s="2">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12</v>
      </c>
      <c r="IG83" s="2">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12.5</v>
      </c>
      <c r="IH83" s="2">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11</v>
      </c>
      <c r="II83" s="2">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11.5</v>
      </c>
      <c r="IJ83"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83"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83"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83"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83"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8.91</v>
      </c>
      <c r="IO83"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9.5</v>
      </c>
      <c r="IP83"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8.7200000000000006</v>
      </c>
      <c r="IQ83"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v>
      </c>
      <c r="IR83"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9.75</v>
      </c>
      <c r="IS83"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10.25</v>
      </c>
      <c r="IT83"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9.15</v>
      </c>
      <c r="IU83"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9.75</v>
      </c>
      <c r="IV83"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10.5</v>
      </c>
      <c r="IW83"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11</v>
      </c>
      <c r="IX83"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10</v>
      </c>
      <c r="IY83"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10.5</v>
      </c>
      <c r="IZ83" s="2">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11</v>
      </c>
      <c r="JA83" s="2">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11.5</v>
      </c>
      <c r="JB83" s="2">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10.5</v>
      </c>
      <c r="JC83" s="2">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11</v>
      </c>
      <c r="JD83"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8.91</v>
      </c>
      <c r="JE83"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v>
      </c>
      <c r="JF83"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8.7200000000000006</v>
      </c>
      <c r="JG83"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v>
      </c>
      <c r="JH83" s="2">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10</v>
      </c>
      <c r="JI83" s="2">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10.5</v>
      </c>
      <c r="JJ83" s="2">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9.5</v>
      </c>
      <c r="JK83" s="2">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10</v>
      </c>
      <c r="JL83" s="2">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11</v>
      </c>
      <c r="JM83" s="2">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11.5</v>
      </c>
      <c r="JN83" s="2">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10.5</v>
      </c>
      <c r="JO83" s="2">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11</v>
      </c>
      <c r="JP83"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83"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83"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83"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83"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83"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83"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83"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83"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83"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83"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83"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83"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5</v>
      </c>
      <c r="KC83" s="21">
        <f>SUM(DATA[[#This Row],[Care Assistant 1: Numbers employed (Full Time Equivalent)]],DATA[[#This Row],[Care Assistant 2: Numbers employed (Full Time Equivalent)]],DATA[[#This Row],[Care Assistant 3: Numbers employed (Full Time Equivalent)]],DATA[[#This Row],[Care Assistant 4: Numbers employed (Full Time Equivalent)]])</f>
        <v>31</v>
      </c>
      <c r="KD83" s="21">
        <f>SUM(DATA[[#This Row],[Administrative Officer 1: Numbers employed (Full Time Equivalent)]],DATA[[#This Row],[Administrative Officer 2: Numbers employed (Full Time Equivalent)]])</f>
        <v>3</v>
      </c>
      <c r="KE83" s="21">
        <f>SUM(DATA[[#This Row],[Other staff 1: Numbers employed (Full Time Equivalent)]],DATA[[#This Row],[Other staff 2: Numbers employed (Full Time Equivalent)]],DATA[[#This Row],[Other staff 3: Numbers employed (Full Time Equivalent)]])</f>
        <v>0</v>
      </c>
      <c r="KF83" s="21">
        <f>SUM(DATA[[#This Row],[Total FTE Management Employees]:[Total FTE Other Employees]])</f>
        <v>39</v>
      </c>
      <c r="KG83" s="21" t="str">
        <f>IF(SUM(DATA[[#This Row],[Home Support service split percentage (Expenditure):]],DATA[[#This Row],[Supported Living service split percentage (Expenditure):]])&gt;0, IF(DATA[[#This Row],[Home Support service split percentage (Expenditure):]]&gt;0.5,"Home Support","Supported Living"), "Unknown")</f>
        <v>Home Support</v>
      </c>
      <c r="KH83" s="21">
        <f>SUM(DATA[[#This Row],[Home Support: Birmingham City Council]:[Home Support: Self-funded]])</f>
        <v>1690.5</v>
      </c>
      <c r="KI83" s="21">
        <f>SUM(DATA[[#This Row],[Supported Living: Birmingham City Council]:[Supported Living: Self-funded]])</f>
        <v>0</v>
      </c>
      <c r="KJ83"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83"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83"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83"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83" s="21" t="b">
        <f>SUM(DATA[[#This Row],[Number of hours of care charged for in last full accounting year]:[Corporate Overheads: Other  - please specify (category) 1]])&gt;0</f>
        <v>1</v>
      </c>
      <c r="KO83" s="21">
        <f>SUM(DATA[[#This Row],[Total annual expenditure: Management staff]:[Total annual expenditure: Training and development]])</f>
        <v>568999</v>
      </c>
      <c r="KP83" s="21">
        <f>SUM(DATA[[#This Row],[Recruitment &amp; advertising (including DBS checks)]:[Non-Staffing Direct Cost: Other  - please specify (amount) 2]])</f>
        <v>44388</v>
      </c>
      <c r="KQ83" s="21">
        <f>SUM(DATA[[#This Row],[Insurance ]:[Indirect costs: Other 2 - please specify (amount)]])</f>
        <v>69638</v>
      </c>
      <c r="KR83" s="21">
        <f>SUM(DATA[[#This Row],[Central / Regional Management]],DATA[[#This Row],[Support Services (finance / HR / Payroll / legal etc.)]],DATA[[#This Row],[Corporate Overheads: Other  - please specify (amount) 1]],DATA[[#This Row],[Corporate Overheads: Other  - please specify (amount) 2]])</f>
        <v>192070</v>
      </c>
      <c r="KS83"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0.56865949820788531</v>
      </c>
      <c r="KT83"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9.9998279569892468</v>
      </c>
      <c r="KU83"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0.69448028673835127</v>
      </c>
      <c r="KV83" s="30">
        <f>IF(OR(NOT(DATA[[#This Row],[Total annual expenditure: Other staff]]&gt;0),NOT(DATA[[#This Row],[Number of hours of care charged for in last full accounting year]]&gt;0)),0,DATA[[#This Row],[Total annual expenditure: Other staff]]/DATA[[#This Row],[Number of hours of care charged for in last full accounting year]])</f>
        <v>4.3760286738351253</v>
      </c>
      <c r="KW83"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83" s="30">
        <f>IF(OR(NOT(DATA[[#This Row],[Total annual expenditure: Travel Cost]]&gt;0),NOT(DATA[[#This Row],[Number of hours of care charged for in last full accounting year]]&gt;0)),0,DATA[[#This Row],[Total annual expenditure: Travel Cost]]/DATA[[#This Row],[Number of hours of care charged for in last full accounting year]])</f>
        <v>0.24972043010752687</v>
      </c>
      <c r="KY83"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83"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0.42666666666666669</v>
      </c>
      <c r="LA83"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8.1892473118279574E-2</v>
      </c>
      <c r="LB83"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83" s="30">
        <f>IF(OR(NOT(DATA[[#This Row],[Care consumables &amp; uniforms]]&gt;0),NOT(DATA[[#This Row],[Number of hours of care charged for in last full accounting year]]&gt;0)),0,DATA[[#This Row],[Care consumables &amp; uniforms]]/DATA[[#This Row],[Number of hours of care charged for in last full accounting year]])</f>
        <v>0.27971326164874549</v>
      </c>
      <c r="LD83" s="30">
        <f>IF(OR(NOT(DATA[[#This Row],[Electronic call monitoring]]&gt;0),NOT(DATA[[#This Row],[Number of hours of care charged for in last full accounting year]]&gt;0)),0,DATA[[#This Row],[Electronic call monitoring]]/DATA[[#This Row],[Number of hours of care charged for in last full accounting year]])</f>
        <v>0</v>
      </c>
      <c r="LE83" s="30">
        <f>IF(OR(NOT(DATA[[#This Row],[IT Equipment &amp; Telephoney]]&gt;0),NOT(DATA[[#This Row],[Number of hours of care charged for in last full accounting year]]&gt;0)),0,DATA[[#This Row],[IT Equipment &amp; Telephoney]]/DATA[[#This Row],[Number of hours of care charged for in last full accounting year]])</f>
        <v>0.10058781362007169</v>
      </c>
      <c r="LF83"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0.81058064516129036</v>
      </c>
      <c r="LG83"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3" s="30">
        <f>IF(OR(NOT(DATA[[#This Row],[Insurance ]]&gt;0),NOT(DATA[[#This Row],[Number of hours of care charged for in last full accounting year]]&gt;0)),0,DATA[[#This Row],[Insurance ]]/DATA[[#This Row],[Number of hours of care charged for in last full accounting year]])</f>
        <v>0.15111111111111111</v>
      </c>
      <c r="LI83"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83" s="30">
        <f>IF(OR(NOT(DATA[[#This Row],[Repairs and maintenance]]&gt;0),NOT(DATA[[#This Row],[Number of hours of care charged for in last full accounting year]]&gt;0)),0,DATA[[#This Row],[Repairs and maintenance]]/DATA[[#This Row],[Number of hours of care charged for in last full accounting year]])</f>
        <v>1.6258064516129031E-2</v>
      </c>
      <c r="LK83"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0.11085304659498207</v>
      </c>
      <c r="LL83" s="30">
        <f>IF(OR(NOT(DATA[[#This Row],[Registration &amp; Inspection fees ]]&gt;0),NOT(DATA[[#This Row],[Number of hours of care charged for in last full accounting year]]&gt;0)),0,DATA[[#This Row],[Registration &amp; Inspection fees ]]/DATA[[#This Row],[Number of hours of care charged for in last full accounting year]])</f>
        <v>0</v>
      </c>
      <c r="LM83" s="30">
        <f>IF(OR(NOT(DATA[[#This Row],[Subscriptions]]&gt;0),NOT(DATA[[#This Row],[Number of hours of care charged for in last full accounting year]]&gt;0)),0,DATA[[#This Row],[Subscriptions]]/DATA[[#This Row],[Number of hours of care charged for in last full accounting year]])</f>
        <v>4.1318996415770609E-2</v>
      </c>
      <c r="LN83" s="30">
        <f>IF(OR(NOT(DATA[[#This Row],[Cost of finance]]&gt;0),NOT(DATA[[#This Row],[Number of hours of care charged for in last full accounting year]]&gt;0)),0,DATA[[#This Row],[Cost of finance]]/DATA[[#This Row],[Number of hours of care charged for in last full accounting year]])</f>
        <v>1.8953405017921147E-2</v>
      </c>
      <c r="LO83" s="30">
        <f>IF(OR(NOT(DATA[[#This Row],[Other non-staff current expenses]]&gt;0),NOT(DATA[[#This Row],[Number of hours of care charged for in last full accounting year]]&gt;0)),0,DATA[[#This Row],[Other non-staff current expenses]]/DATA[[#This Row],[Number of hours of care charged for in last full accounting year]])</f>
        <v>0.61158422939068102</v>
      </c>
      <c r="LP83"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0.93763440860215053</v>
      </c>
      <c r="LQ83"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0.10907526881720431</v>
      </c>
      <c r="LR83" s="30">
        <f>IF(OR(NOT(DATA[[#This Row],[Central / Regional Management]]&gt;0),NOT(DATA[[#This Row],[Number of hours of care charged for in last full accounting year]]&gt;0)),0,DATA[[#This Row],[Central / Regional Management]]/DATA[[#This Row],[Number of hours of care charged for in last full accounting year]])</f>
        <v>0</v>
      </c>
      <c r="LS83"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5.507383512544803</v>
      </c>
      <c r="LT83"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3"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3" s="30">
        <f>SUM(DATA[[#This Row],[Management staff HOURLY RATE]:[Corporate Overheads: Other  - please specify (amount) 2 HOURLY RATE]])</f>
        <v>25.092329749103939</v>
      </c>
      <c r="LW83" s="30">
        <f>IF(OR(NOT(DATA[[#This Row],[Net Operating Profit]]&gt;0),NOT(DATA[[#This Row],[Number of hours of care charged for in last full accounting year]]&gt;0)),"",DATA[[#This Row],[Net Operating Profit]]/DATA[[#This Row],[Number of hours of care charged for in last full accounting year]])</f>
        <v>4.560372759856631</v>
      </c>
      <c r="LX83" s="30">
        <f>IF(OR(NOT(DATA[[#This Row],[Return on Capital employed]]&gt;0),NOT(DATA[[#This Row],[Number of hours of care charged for in last full accounting year]]&gt;0)),0,DATA[[#This Row],[Return on Capital employed]]/DATA[[#This Row],[Number of hours of care charged for in last full accounting year]])</f>
        <v>3.3548387096774188E-5</v>
      </c>
      <c r="LY83" s="31">
        <v>78</v>
      </c>
      <c r="LZ83" s="30" t="s">
        <v>345</v>
      </c>
      <c r="MA83" s="30" t="b">
        <f>DATA[[#This Row],[Number of Home support clients:]]&gt;0</f>
        <v>1</v>
      </c>
      <c r="MB83" s="30" t="b">
        <f>DATA[[#This Row],[Number of supported living clients:]]&gt;0</f>
        <v>0</v>
      </c>
      <c r="MC83" s="30" t="b">
        <f>DATA[[#This Row],[Total Home Support Hours]]&gt;0</f>
        <v>1</v>
      </c>
      <c r="MD83" s="30" t="b">
        <f>DATA[[#This Row],[Total Supported Living Hours]]&gt;0</f>
        <v>0</v>
      </c>
      <c r="ME83" s="30" t="b">
        <f>DATA[[#This Row],[Home Support service split percentage (Expenditure):]]&gt;0.5</f>
        <v>1</v>
      </c>
      <c r="MF83" s="30" t="b">
        <f>DATA[[#This Row],[Agency staff HOURLY RATE]]=0</f>
        <v>1</v>
      </c>
      <c r="MG83"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3" s="30">
        <f>IFERROR(IF(AVERAGE(DATA[[#This Row],[Deputy manager: Current 2021/22 Minimum hourly pay rate ADJUSTED]],DATA[[#This Row],[Deputy manager: Current 2021/22 Maximum hourly pay rate ADJUSTED]])&lt;LIVING_WAGE_22_23,DATA[[#This Row],[Deputy manager: Numbers employed (Full Time Equivalent)]],0),"")</f>
        <v>0</v>
      </c>
      <c r="MI83" s="30">
        <f>IFERROR(IF(AVERAGE(DATA[[#This Row],[Other manager 1: Current 2021/22 Minimum hourly pay rate ADJUSTED]],DATA[[#This Row],[Other manager 1: Current 2021/22 Maximum hourly pay rate ADJUSTED]])&lt;LIVING_WAGE_22_23,DATA[[#This Row],[Other manager 1: Numbers employed (Full Time Equivalent)]],0),"")</f>
        <v>0</v>
      </c>
      <c r="MJ83" s="30">
        <f>IFERROR(IF(AVERAGE(DATA[[#This Row],[Other manager 2: Current 2021/22 Minimum hourly pay rate ADJUSTED]],DATA[[#This Row],[Other manager 2: Current 2021/22 Maximum hourly pay rate ADJUSTED]])&lt;LIVING_WAGE_22_23,DATA[[#This Row],[Other manager 2: Numbers employed (Full Time Equivalent)]],0),"")</f>
        <v>0</v>
      </c>
      <c r="MK83" s="30" t="str">
        <f>IFERROR(IF(AVERAGE(DATA[[#This Row],[Other manager 3: Current 2021/22 Minimum hourly pay rate ADJUSTED]],DATA[[#This Row],[Other manager 3: Current 2021/22 Maximum hourly pay rate ADJUSTED]])&lt;LIVING_WAGE_22_23,DATA[[#This Row],[Other manager 3: Numbers employed (Full Time Equivalent)]],0),"")</f>
        <v/>
      </c>
      <c r="ML83" s="30">
        <f>IFERROR(IF(AVERAGE(DATA[[#This Row],[Care Assistant 1: Current 2021/22 Minimum hourly pay rate ADJUSTED]],DATA[[#This Row],[Care Assistant 1: Current 2021/22 Maximum hourly pay rate ADJUSTED]])&lt;LIVING_WAGE_22_23,DATA[[#This Row],[Care Assistant 1: Numbers employed (Full Time Equivalent)]],0),"")</f>
        <v>4</v>
      </c>
      <c r="MM83" s="30">
        <f>IFERROR(IF(AVERAGE(DATA[[#This Row],[Care Assistant 2: Current 2021/22 Minimum hourly pay rate ADJUSTED]],DATA[[#This Row],[Care Assistant 2: Current 2021/22 Maximum hourly pay rate ADJUSTED]])&lt;LIVING_WAGE_22_23,DATA[[#This Row],[Care Assistant 2: Numbers employed (Full Time Equivalent)]],0),"")</f>
        <v>0</v>
      </c>
      <c r="MN83" s="30">
        <f>IFERROR(IF(AVERAGE(DATA[[#This Row],[Care Assistant 3: Current 2021/22 Minimum hourly pay rate ADJUSTED]],DATA[[#This Row],[Care Assistant 3: Current 2021/22 Maximum hourly pay rate ADJUSTED]])&lt;LIVING_WAGE_22_23,DATA[[#This Row],[Care Assistant 3: Numbers employed (Full Time Equivalent)]],0),"")</f>
        <v>0</v>
      </c>
      <c r="MO83" s="30">
        <f>IFERROR(IF(AVERAGE(DATA[[#This Row],[Care Assistant 4: Current 2021/22 Minimum hourly pay rate ADJUSTED]],DATA[[#This Row],[Care Assistant 4: Current 2021/22 Maximum hourly pay rate ADJUSTED]])&lt;LIVING_WAGE_22_23,DATA[[#This Row],[Care Assistant 4: Numbers employed (Full Time Equivalent)]],0),"")</f>
        <v>0</v>
      </c>
      <c r="MP83"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2</v>
      </c>
      <c r="MQ83" s="30">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0</v>
      </c>
      <c r="MR83" s="30" t="str">
        <f>IFERROR(IF(AVERAGE(DATA[[#This Row],[Other staff 1: Current 2021/22 Minimum hourly pay rate ADJUSTED]],DATA[[#This Row],[Other staff 1: Current 2021/22 Maximum hourly pay rate ADJUSTED]])&lt;LIVING_WAGE_22_23,DATA[[#This Row],[Other staff 1: Numbers employed (Full Time Equivalent)]],0),"")</f>
        <v/>
      </c>
      <c r="MS83" s="30" t="str">
        <f>IFERROR(IF(AVERAGE(DATA[[#This Row],[Other staff 2: Current 2021/22 Minimum hourly pay rate ADJUSTED]],DATA[[#This Row],[Other staff 2: Current 2021/22 Maximum hourly pay rate ADJUSTED]])&lt;LIVING_WAGE_22_23,DATA[[#This Row],[Other staff 2: Numbers employed (Full Time Equivalent)]],0),"")</f>
        <v/>
      </c>
      <c r="MT83" s="30" t="str">
        <f>IFERROR(IF(AVERAGE(DATA[[#This Row],[Other staff 3: Current 2021/22 Minimum hourly pay rate ADJUSTED]],DATA[[#This Row],[Other staff 3: Current 2021/22 Maximum hourly pay rate ADJUSTED]])&lt;LIVING_WAGE_22_23,DATA[[#This Row],[Other staff 3: Numbers employed (Full Time Equivalent)]],0),"")</f>
        <v/>
      </c>
      <c r="MU83" s="30">
        <f>SUM(DATA[[#This Row],[Registered Manager FTE earning less than NLW 23yrs 2022/23]:[Other staff 3 FTE earning less than NLW 23yrs 2022/23]])</f>
        <v>6</v>
      </c>
      <c r="MV83"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3"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83"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83" s="30">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0</v>
      </c>
      <c r="MZ83"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83"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1.1799999999999997</v>
      </c>
      <c r="NB83"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83"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v>
      </c>
      <c r="ND83"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0</v>
      </c>
      <c r="NE83"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1.0899999999999999</v>
      </c>
      <c r="NF83" s="30">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0</v>
      </c>
      <c r="NG83"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83"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83"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83" s="30" t="b">
        <v>1</v>
      </c>
      <c r="NK83" s="30" t="b">
        <v>0</v>
      </c>
      <c r="NL83" s="30" t="s">
        <v>973</v>
      </c>
      <c r="NM83" s="30">
        <f>SUM(DATA[[#This Row],[Management staff HOURLY RATE]:[Training and development HOURLY RATE]])</f>
        <v>16.315383512544802</v>
      </c>
      <c r="NN83" s="30">
        <f>SUM(DATA[[#This Row],[Recruitment &amp; advertising (including DBS checks) HOURLY RATE]:[Non-Staffing Direct Cost: Other  - please specify (amount) 2 HOURLY RATE]])</f>
        <v>1.2727741935483872</v>
      </c>
      <c r="NO83" s="30">
        <f>SUM(DATA[[#This Row],[Insurance  HOURLY RATE]:[Indirect costs: Other  - please specify (amount) 2 HOURLY RATE]])</f>
        <v>1.9967885304659498</v>
      </c>
      <c r="NP83" s="30">
        <f>SUM(DATA[[#This Row],[Central / Regional Management HOURLY RATE]:[Corporate Overheads: Other  - please specify (amount) 2 HOURLY RATE]])</f>
        <v>5.507383512544803</v>
      </c>
      <c r="NQ83"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3" s="30">
        <f>IFERROR(IF(AVERAGE(DATA[[#This Row],[Deputy manager: Current 2021/22 Minimum hourly pay rate ADJUSTED]],DATA[[#This Row],[Deputy manager: Current 2021/22 Maximum hourly pay rate ADJUSTED]])&lt;REAL_LIVING_WAGE_22_23,DATA[[#This Row],[Deputy manager: Numbers employed (Full Time Equivalent)]],0),"")</f>
        <v>0</v>
      </c>
      <c r="NS83" s="30">
        <f>IFERROR(IF(AVERAGE(DATA[[#This Row],[Other manager 1: Current 2021/22 Minimum hourly pay rate ADJUSTED]],DATA[[#This Row],[Other manager 1: Current 2021/22 Maximum hourly pay rate ADJUSTED]])&lt;REAL_LIVING_WAGE_22_23,DATA[[#This Row],[Other manager 1: Numbers employed (Full Time Equivalent)]],0),"")</f>
        <v>0</v>
      </c>
      <c r="NT83" s="30">
        <f>IFERROR(IF(AVERAGE(DATA[[#This Row],[Other manager 2: Current 2021/22 Minimum hourly pay rate ADJUSTED]],DATA[[#This Row],[Other manager 2: Current 2021/22 Maximum hourly pay rate ADJUSTED]])&lt;REAL_LIVING_WAGE_22_23,DATA[[#This Row],[Other manager 2: Numbers employed (Full Time Equivalent)]],0),"")</f>
        <v>0</v>
      </c>
      <c r="NU83" s="30" t="str">
        <f>IFERROR(IF(AVERAGE(DATA[[#This Row],[Other manager 3: Current 2021/22 Minimum hourly pay rate ADJUSTED]],DATA[[#This Row],[Other manager 3: Current 2021/22 Maximum hourly pay rate ADJUSTED]])&lt;REAL_LIVING_WAGE_22_23,DATA[[#This Row],[Other manager 3: Numbers employed (Full Time Equivalent)]],0),"")</f>
        <v/>
      </c>
      <c r="NV83" s="30">
        <f>IFERROR(IF(AVERAGE(DATA[[#This Row],[Care Assistant 1: Current 2021/22 Minimum hourly pay rate ADJUSTED]],DATA[[#This Row],[Care Assistant 1: Current 2021/22 Maximum hourly pay rate ADJUSTED]])&lt;REAL_LIVING_WAGE_22_23,DATA[[#This Row],[Care Assistant 1: Numbers employed (Full Time Equivalent)]],0),"")</f>
        <v>4</v>
      </c>
      <c r="NW83" s="30">
        <f>IFERROR(IF(AVERAGE(DATA[[#This Row],[Care Assistant 2: Current 2021/22 Minimum hourly pay rate ADJUSTED]],DATA[[#This Row],[Care Assistant 2: Current 2021/22 Maximum hourly pay rate ADJUSTED]])&lt;REAL_LIVING_WAGE_22_23,DATA[[#This Row],[Care Assistant 2: Numbers employed (Full Time Equivalent)]],0),"")</f>
        <v>0</v>
      </c>
      <c r="NX83" s="30">
        <f>IFERROR(IF(AVERAGE(DATA[[#This Row],[Care Assistant 3: Current 2021/22 Minimum hourly pay rate ADJUSTED]],DATA[[#This Row],[Care Assistant 3: Current 2021/22 Maximum hourly pay rate ADJUSTED]])&lt;REAL_LIVING_WAGE_22_23,DATA[[#This Row],[Care Assistant 3: Numbers employed (Full Time Equivalent)]],0),"")</f>
        <v>0</v>
      </c>
      <c r="NY83" s="30">
        <f>IFERROR(IF(AVERAGE(DATA[[#This Row],[Care Assistant 4: Current 2021/22 Minimum hourly pay rate ADJUSTED]],DATA[[#This Row],[Care Assistant 4: Current 2021/22 Maximum hourly pay rate ADJUSTED]])&lt;REAL_LIVING_WAGE_22_23,DATA[[#This Row],[Care Assistant 4: Numbers employed (Full Time Equivalent)]],0),"")</f>
        <v>0</v>
      </c>
      <c r="NZ83"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2</v>
      </c>
      <c r="OA83" s="30">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0</v>
      </c>
      <c r="OB83" s="30" t="str">
        <f>IFERROR(IF(AVERAGE(DATA[[#This Row],[Other staff 1: Current 2021/22 Minimum hourly pay rate ADJUSTED]],DATA[[#This Row],[Other staff 1: Current 2021/22 Maximum hourly pay rate ADJUSTED]])&lt;REAL_LIVING_WAGE_22_23,DATA[[#This Row],[Other staff 1: Numbers employed (Full Time Equivalent)]],0),"")</f>
        <v/>
      </c>
      <c r="OC83" s="30" t="str">
        <f>IFERROR(IF(AVERAGE(DATA[[#This Row],[Other staff 2: Current 2021/22 Minimum hourly pay rate ADJUSTED]],DATA[[#This Row],[Other staff 2: Current 2021/22 Maximum hourly pay rate ADJUSTED]])&lt;REAL_LIVING_WAGE_22_23,DATA[[#This Row],[Other staff 2: Numbers employed (Full Time Equivalent)]],0),"")</f>
        <v/>
      </c>
      <c r="OD83" s="30" t="str">
        <f>IFERROR(IF(AVERAGE(DATA[[#This Row],[Other staff 3: Current 2021/22 Minimum hourly pay rate ADJUSTED]],DATA[[#This Row],[Other staff 3: Current 2021/22 Maximum hourly pay rate ADJUSTED]])&lt;REAL_LIVING_WAGE_22_23,DATA[[#This Row],[Other staff 3: Numbers employed (Full Time Equivalent)]],0),"")</f>
        <v/>
      </c>
      <c r="OE83" s="30">
        <f>SUM(DATA[[#This Row],[Registered Manager FTE earning less than RLW 23yrs 2022/23]:[Other staff 3 FTE earning less than RLW 23yrs 2022/23]])</f>
        <v>6</v>
      </c>
      <c r="OF83"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3"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83"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83" s="30">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0</v>
      </c>
      <c r="OJ83"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83"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2.7800000000000011</v>
      </c>
      <c r="OL83"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83"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0</v>
      </c>
      <c r="ON83"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0</v>
      </c>
      <c r="OO83"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1.8900000000000006</v>
      </c>
      <c r="OP83" s="30">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0</v>
      </c>
      <c r="OQ83"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83"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83"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83" s="30">
        <f>IFERROR(IF(DATA[[#This Row],[Registered manager: Numbers employed (Full Time Equivalent)]]=0,"",DATA[[#This Row],[Registered manager: Current 2021/22 Minimum hourly pay rate ADJUSTED 2]]*DATA[[#This Row],[Registered manager: Numbers employed (Full Time Equivalent)]]),"")</f>
        <v>12</v>
      </c>
      <c r="OU83" s="30">
        <f>IFERROR(IF(DATA[[#This Row],[Registered manager: Numbers employed (Full Time Equivalent)]]=0,"",DATA[[#This Row],[Registered manager: Current 2021/22 Maximum hourly pay rate ADJUSTED 2]]*DATA[[#This Row],[Registered manager: Numbers employed (Full Time Equivalent)]]),"")</f>
        <v>14</v>
      </c>
      <c r="OV83" s="30">
        <f>IFERROR(IF(DATA[[#This Row],[Registered manager: Numbers employed (Full Time Equivalent)]]=0,"",DATA[[#This Row],[Registered manager: Previous 2020/21 Minimum hourly pay rate ADJUSTED 2]]*DATA[[#This Row],[Registered manager: Numbers employed (Full Time Equivalent)]]),"")</f>
        <v>11</v>
      </c>
      <c r="OW83" s="30">
        <f>IFERROR(IF(DATA[[#This Row],[Registered manager: Numbers employed (Full Time Equivalent)]]=0,"",DATA[[#This Row],[Registered manager: Previous 2020/21 Maximum hourly pay rate ADJUSTED 2]]*DATA[[#This Row],[Registered manager: Numbers employed (Full Time Equivalent)]]),"")</f>
        <v>13</v>
      </c>
      <c r="OX83" s="30">
        <f>IFERROR(IF(DATA[[#This Row],[Deputy manager: Numbers employed (Full Time Equivalent)]]=0,"",DATA[[#This Row],[Deputy manager: Current 2021/22 Minimum hourly pay rate ADJUSTED 2]]*DATA[[#This Row],[Deputy manager: Numbers employed (Full Time Equivalent)]]),"")</f>
        <v>23</v>
      </c>
      <c r="OY83" s="30">
        <f>IFERROR(IF(DATA[[#This Row],[Deputy manager: Numbers employed (Full Time Equivalent)]]=0,"",DATA[[#This Row],[Deputy manager: Current 2021/22 Maximum hourly pay rate ADJUSTED 2]]*DATA[[#This Row],[Deputy manager: Numbers employed (Full Time Equivalent)]]),"")</f>
        <v>25</v>
      </c>
      <c r="OZ83" s="30">
        <f>IFERROR(IF(DATA[[#This Row],[Deputy manager: Numbers employed (Full Time Equivalent)]]=0,"",DATA[[#This Row],[Deputy manager: Previous 2020/21 Minimum hourly pay rate ADJUSTED 2]]*DATA[[#This Row],[Deputy manager: Numbers employed (Full Time Equivalent)]]),"")</f>
        <v>21</v>
      </c>
      <c r="PA83" s="30">
        <f>IFERROR(IF(DATA[[#This Row],[Deputy manager: Numbers employed (Full Time Equivalent)]]=0,"",DATA[[#This Row],[Deputy manager: Previous 2020/21 Maximum hourly pay rate ADJUSTED 2]]*DATA[[#This Row],[Deputy manager: Numbers employed (Full Time Equivalent)]]),"")</f>
        <v>23</v>
      </c>
      <c r="PB83" s="30">
        <f>IFERROR(IF(DATA[[#This Row],[Other manager 1: Numbers employed (Full Time Equivalent)]]=0,"",DATA[[#This Row],[Other manager 1: Current 2021/22 Minimum hourly pay rate ADJUSTED 2]]*DATA[[#This Row],[Other manager 1: Numbers employed (Full Time Equivalent)]]),"")</f>
        <v>11</v>
      </c>
      <c r="PC83" s="30">
        <f>IFERROR(IF(DATA[[#This Row],[Other manager 1: Numbers employed (Full Time Equivalent)]]=0,"",DATA[[#This Row],[Other manager 1: Current 2021/22 Maximum hourly pay rate ADJUSTED 2]]*DATA[[#This Row],[Other manager 1: Numbers employed (Full Time Equivalent)]]),"")</f>
        <v>12</v>
      </c>
      <c r="PD83" s="30">
        <f>IFERROR(IF(DATA[[#This Row],[Other manager 1: Numbers employed (Full Time Equivalent)]]=0,"",DATA[[#This Row],[Other manager 1: Previous 2020/21 Minimum hourly pay rate ADJUSTED 2]]*DATA[[#This Row],[Other manager 1: Numbers employed (Full Time Equivalent)]]),"")</f>
        <v>10</v>
      </c>
      <c r="PE83" s="30">
        <f>IFERROR(IF(DATA[[#This Row],[Other manager 1: Numbers employed (Full Time Equivalent)]]=0,"",DATA[[#This Row],[Other manager 1: Previous 2020/21 Maximum hourly pay rate ADJUSTED 2]]*DATA[[#This Row],[Other manager 1: Numbers employed (Full Time Equivalent)]]),"")</f>
        <v>11</v>
      </c>
      <c r="PF83" s="30">
        <f>IFERROR(IF(DATA[[#This Row],[Other manager 2: Numbers employed (Full Time Equivalent)]]=0,"",DATA[[#This Row],[Other manager 2: Current 2021/22 Minimum hourly pay rate ADJUSTED 2]]*DATA[[#This Row],[Other manager 2: Numbers employed (Full Time Equivalent)]]),"")</f>
        <v>12</v>
      </c>
      <c r="PG83" s="30">
        <f>IFERROR(IF(DATA[[#This Row],[Other manager 2: Numbers employed (Full Time Equivalent)]]=0,"",DATA[[#This Row],[Other manager 2: Current 2021/22 Maximum hourly pay rate ADJUSTED 2]]*DATA[[#This Row],[Other manager 2: Numbers employed (Full Time Equivalent)]]),"")</f>
        <v>12.5</v>
      </c>
      <c r="PH83" s="30">
        <f>IFERROR(IF(DATA[[#This Row],[Other manager 2: Numbers employed (Full Time Equivalent)]]=0,"",DATA[[#This Row],[Other manager 2: Previous 2020/21 Minimum hourly pay rate ADJUSTED 2]]*DATA[[#This Row],[Other manager 2: Numbers employed (Full Time Equivalent)]]),"")</f>
        <v>11</v>
      </c>
      <c r="PI83" s="30">
        <f>IFERROR(IF(DATA[[#This Row],[Other manager 2: Numbers employed (Full Time Equivalent)]]=0,"",DATA[[#This Row],[Other manager 2: Previous 2020/21 Maximum hourly pay rate ADJUSTED 2]]*DATA[[#This Row],[Other manager 2: Numbers employed (Full Time Equivalent)]]),"")</f>
        <v>11.5</v>
      </c>
      <c r="PJ83" s="30" t="str">
        <f>IFERROR(IF(DATA[[#This Row],[Other manager 3: Numbers employed (Full Time Equivalent)]]=0,"",DATA[[#This Row],[Other manager 3: Current 2021/22 Minimum hourly pay rate ADJUSTED 2]]*DATA[[#This Row],[Other manager 3: Numbers employed (Full Time Equivalent)]]),"")</f>
        <v/>
      </c>
      <c r="PK83" s="30" t="str">
        <f>IFERROR(IF(DATA[[#This Row],[Other manager 3: Numbers employed (Full Time Equivalent)]]=0,"",DATA[[#This Row],[Other manager 3: Current 2021/22 Maximum hourly pay rate ADJUSTED 2]]*DATA[[#This Row],[Other manager 3: Numbers employed (Full Time Equivalent)]]),"")</f>
        <v/>
      </c>
      <c r="PL83" s="30" t="str">
        <f>IFERROR(IF(DATA[[#This Row],[Other manager 3: Numbers employed (Full Time Equivalent)]]=0,"",DATA[[#This Row],[Other manager 3: Previous 2020/21 Minimum hourly pay rate ADJUSTED 2]]*DATA[[#This Row],[Other manager 3: Numbers employed (Full Time Equivalent)]]),"")</f>
        <v/>
      </c>
      <c r="PM83" s="30" t="str">
        <f>IFERROR(IF(DATA[[#This Row],[Other manager 3: Numbers employed (Full Time Equivalent)]]=0,"",DATA[[#This Row],[Other manager 3: Previous 2020/21 Maximum hourly pay rate ADJUSTED 2]]*DATA[[#This Row],[Other manager 3: Numbers employed (Full Time Equivalent)]]),"")</f>
        <v/>
      </c>
      <c r="PN83" s="30">
        <f>IFERROR(IF(DATA[[#This Row],[Care Assistant 1: Numbers employed (Full Time Equivalent)]]=0,"",DATA[[#This Row],[Care Assistant 1: Current 2021/22 Minimum hourly pay rate ADJUSTED 2]]*DATA[[#This Row],[Care Assistant 1: Numbers employed (Full Time Equivalent)]]),"")</f>
        <v>35.64</v>
      </c>
      <c r="PO83" s="30">
        <f>IFERROR(IF(DATA[[#This Row],[Care Assistant 1: Numbers employed (Full Time Equivalent)]]=0,"",DATA[[#This Row],[Care Assistant 1: Current 2021/22 Maximum hourly pay rate ADJUSTED 2]]*DATA[[#This Row],[Care Assistant 1: Numbers employed (Full Time Equivalent)]]),"")</f>
        <v>38</v>
      </c>
      <c r="PP83" s="30">
        <f>IFERROR(IF(DATA[[#This Row],[Care Assistant 1: Numbers employed (Full Time Equivalent)]]=0,"",DATA[[#This Row],[Care Assistant 1: Previous 2020/21 Minimum hourly pay rate ADJUSTED 2]]*DATA[[#This Row],[Care Assistant 1: Numbers employed (Full Time Equivalent)]]),"")</f>
        <v>34.880000000000003</v>
      </c>
      <c r="PQ83" s="30">
        <f>IFERROR(IF(DATA[[#This Row],[Care Assistant 1: Numbers employed (Full Time Equivalent)]]=0,"",DATA[[#This Row],[Care Assistant 1: Previous 2020/21 Maximum hourly pay rate ADJUSTED 2]]*DATA[[#This Row],[Care Assistant 1: Numbers employed (Full Time Equivalent)]]),"")</f>
        <v>36</v>
      </c>
      <c r="PR83" s="30">
        <f>IFERROR(IF(DATA[[#This Row],[Care Assistant 2: Numbers employed (Full Time Equivalent)]]=0,"",DATA[[#This Row],[Care Assistant 2: Current 2021/22 Minimum hourly pay rate ADJUSTED 2]]*DATA[[#This Row],[Care Assistant 2: Numbers employed (Full Time Equivalent)]]),"")</f>
        <v>107.25</v>
      </c>
      <c r="PS83" s="30">
        <f>IFERROR(IF(DATA[[#This Row],[Care Assistant 2: Numbers employed (Full Time Equivalent)]]=0,"",DATA[[#This Row],[Care Assistant 2: Current 2021/22 Maximum hourly pay rate ADJUSTED 2]]*DATA[[#This Row],[Care Assistant 2: Numbers employed (Full Time Equivalent)]]),"")</f>
        <v>112.75</v>
      </c>
      <c r="PT83" s="30">
        <f>IFERROR(IF(DATA[[#This Row],[Care Assistant 2: Numbers employed (Full Time Equivalent)]]=0,"",DATA[[#This Row],[Care Assistant 2: Previous 2020/21 Minimum hourly pay rate ADJUSTED 2]]*DATA[[#This Row],[Care Assistant 2: Numbers employed (Full Time Equivalent)]]),"")</f>
        <v>100.65</v>
      </c>
      <c r="PU83" s="30">
        <f>IFERROR(IF(DATA[[#This Row],[Care Assistant 2: Numbers employed (Full Time Equivalent)]]=0,"",DATA[[#This Row],[Care Assistant 2: Previous 2020/21 Maximum hourly pay rate ADJUSTED 2]]*DATA[[#This Row],[Care Assistant 2: Numbers employed (Full Time Equivalent)]]),"")</f>
        <v>107.25</v>
      </c>
      <c r="PV83" s="30">
        <f>IFERROR(IF(DATA[[#This Row],[Care Assistant 3: Numbers employed (Full Time Equivalent)]]=0,"",DATA[[#This Row],[Care Assistant 3: Current 2021/22 Minimum hourly pay rate ADJUSTED 2]]*DATA[[#This Row],[Care Assistant 3: Numbers employed (Full Time Equivalent)]]),"")</f>
        <v>126</v>
      </c>
      <c r="PW83" s="30">
        <f>IFERROR(IF(DATA[[#This Row],[Care Assistant 3: Numbers employed (Full Time Equivalent)]]=0,"",DATA[[#This Row],[Care Assistant 3: Current 2021/22 Maximum hourly pay rate ADJUSTED 2]]*DATA[[#This Row],[Care Assistant 3: Numbers employed (Full Time Equivalent)]]),"")</f>
        <v>132</v>
      </c>
      <c r="PX83" s="30">
        <f>IFERROR(IF(DATA[[#This Row],[Care Assistant 3: Numbers employed (Full Time Equivalent)]]=0,"",DATA[[#This Row],[Care Assistant 3: Previous 2020/21 Minimum hourly pay rate ADJUSTED 2]]*DATA[[#This Row],[Care Assistant 3: Numbers employed (Full Time Equivalent)]]),"")</f>
        <v>120</v>
      </c>
      <c r="PY83" s="30">
        <f>IFERROR(IF(DATA[[#This Row],[Care Assistant 3: Numbers employed (Full Time Equivalent)]]=0,"",DATA[[#This Row],[Care Assistant 3: Previous 2020/21 Maximum hourly pay rate ADJUSTED 2]]*DATA[[#This Row],[Care Assistant 3: Numbers employed (Full Time Equivalent)]]),"")</f>
        <v>126</v>
      </c>
      <c r="PZ83" s="30">
        <f>IFERROR(IF(DATA[[#This Row],[Care Assistant 4: Numbers employed (Full Time Equivalent)]]=0,"",DATA[[#This Row],[Care Assistant 4: Current 2021/22 Minimum hourly pay rate ADJUSTED 2]]*DATA[[#This Row],[Care Assistant 4: Numbers employed (Full Time Equivalent)]]),"")</f>
        <v>44</v>
      </c>
      <c r="QA83" s="30">
        <f>IFERROR(IF(DATA[[#This Row],[Care Assistant 4: Numbers employed (Full Time Equivalent)]]=0,"",DATA[[#This Row],[Care Assistant 4: Current 2021/22 Maximum hourly pay rate ADJUSTED 2]]*DATA[[#This Row],[Care Assistant 4: Numbers employed (Full Time Equivalent)]]),"")</f>
        <v>46</v>
      </c>
      <c r="QB83" s="30">
        <f>IFERROR(IF(DATA[[#This Row],[Care Assistant 4: Numbers employed (Full Time Equivalent)]]=0,"",DATA[[#This Row],[Care Assistant 4: Previous 2020/21 Minimum hourly pay rate ADJUSTED 2]]*DATA[[#This Row],[Care Assistant 4: Numbers employed (Full Time Equivalent)]]),"")</f>
        <v>42</v>
      </c>
      <c r="QC83" s="30">
        <f>IFERROR(IF(DATA[[#This Row],[Care Assistant 4: Numbers employed (Full Time Equivalent)]]=0,"",DATA[[#This Row],[Care Assistant 4: Previous 2020/21 Maximum hourly pay rate ADJUSTED 2]]*DATA[[#This Row],[Care Assistant 4: Numbers employed (Full Time Equivalent)]]),"")</f>
        <v>44</v>
      </c>
      <c r="QD83" s="30">
        <f>IFERROR(IF(DATA[[#This Row],[Administrative Officer 1: Numbers employed (Full Time Equivalent)]]=0,"",DATA[[#This Row],[Administrative Officer 1: Current 2021/22 Minimum hourly pay rate ADJUSTED 2]]*DATA[[#This Row],[Administrative Officer 1: Numbers employed (Full Time Equivalent)]]),"")</f>
        <v>17.82</v>
      </c>
      <c r="QE83" s="30">
        <f>IFERROR(IF(DATA[[#This Row],[Administrative Officer 1: Numbers employed (Full Time Equivalent)]]=0,"",DATA[[#This Row],[Administrative Officer 1: Current 2021/22 Maximum hourly pay rate ADJUSTED 2]]*DATA[[#This Row],[Administrative Officer 1: Numbers employed (Full Time Equivalent)]]),"")</f>
        <v>18</v>
      </c>
      <c r="QF83" s="30">
        <f>IFERROR(IF(DATA[[#This Row],[Administrative Officer 1: Numbers employed (Full Time Equivalent)]]=0,"",DATA[[#This Row],[Administrative Officer 1: Previous 2020/21 Minimum hourly pay rate ADJUSTED 2]]*DATA[[#This Row],[Administrative Officer 1: Numbers employed (Full Time Equivalent)]]),"")</f>
        <v>17.440000000000001</v>
      </c>
      <c r="QG83" s="30">
        <f>IFERROR(IF(DATA[[#This Row],[Administrative Officer 1: Numbers employed (Full Time Equivalent)]]=0,"",DATA[[#This Row],[Administrative Officer 1: Previous 2020/21 Maximum hourly pay rate ADJUSTED 2]]*DATA[[#This Row],[Administrative Officer 1: Numbers employed (Full Time Equivalent)]]),"")</f>
        <v>18</v>
      </c>
      <c r="QH83" s="30">
        <f>IFERROR(IF(DATA[[#This Row],[Administrative Officer 2: Numbers employed (Full Time Equivalent)]]=0,"",DATA[[#This Row],[Administrative Officer 2: Current 2021/22 Minimum hourly pay rate ADJUSTED 2]]*DATA[[#This Row],[Administrative Officer 2: Numbers employed (Full Time Equivalent)]]),"")</f>
        <v>10</v>
      </c>
      <c r="QI83" s="30">
        <f>IFERROR(IF(DATA[[#This Row],[Administrative Officer 2: Numbers employed (Full Time Equivalent)]]=0,"",DATA[[#This Row],[Administrative Officer 2: Current 2021/22 Maximum hourly pay rate ADJUSTED 2]]*DATA[[#This Row],[Administrative Officer 2: Numbers employed (Full Time Equivalent)]]),"")</f>
        <v>10.5</v>
      </c>
      <c r="QJ83" s="30">
        <f>IFERROR(IF(DATA[[#This Row],[Administrative Officer 2: Numbers employed (Full Time Equivalent)]]=0,"",DATA[[#This Row],[Administrative Officer 2: Previous 2020/21 Minimum hourly pay rate ADJUSTED 2]]*DATA[[#This Row],[Administrative Officer 2: Numbers employed (Full Time Equivalent)]]),"")</f>
        <v>9.5</v>
      </c>
      <c r="QK83" s="30">
        <f>IFERROR(IF(DATA[[#This Row],[Administrative Officer 2: Numbers employed (Full Time Equivalent)]]=0,"",DATA[[#This Row],[Administrative Officer 2: Previous 2020/21 Maximum hourly pay rate ADJUSTED 2]]*DATA[[#This Row],[Administrative Officer 2: Numbers employed (Full Time Equivalent)]]),"")</f>
        <v>10</v>
      </c>
      <c r="QL83" s="30">
        <f>IFERROR(IF(DATA[[#This Row],[Administrative Officer 3: Numbers employed (Full Time Equivalent)]]=0,"",DATA[[#This Row],[Administrative Officer 3: Current 2021/22 Minimum hourly pay rate ADJUSTED 2]]*DATA[[#This Row],[Administrative Officer 3: Numbers employed (Full Time Equivalent)]]),"")</f>
        <v>11</v>
      </c>
      <c r="QM83" s="30">
        <f>IFERROR(IF(DATA[[#This Row],[Administrative Officer 3: Numbers employed (Full Time Equivalent)]]=0,"",DATA[[#This Row],[Administrative Officer 3: Current 2021/22 Maximum hourly pay rate ADJUSTED 2]]*DATA[[#This Row],[Administrative Officer 3: Numbers employed (Full Time Equivalent)]]),"")</f>
        <v>11.5</v>
      </c>
      <c r="QN83" s="30">
        <f>IFERROR(IF(DATA[[#This Row],[Administrative Officer 3: Numbers employed (Full Time Equivalent)]]=0,"",DATA[[#This Row],[Administrative Officer 3: Previous 2020/21 Minimum hourly pay rate ADJUSTED 2]]*DATA[[#This Row],[Administrative Officer 3: Numbers employed (Full Time Equivalent)]]),"")</f>
        <v>10.5</v>
      </c>
      <c r="QO83" s="30">
        <f>IFERROR(IF(DATA[[#This Row],[Administrative Officer 3: Numbers employed (Full Time Equivalent)]]=0,"",DATA[[#This Row],[Administrative Officer 3: Previous 2020/21 Maximum hourly pay rate ADJUSTED 2]]*DATA[[#This Row],[Administrative Officer 3: Numbers employed (Full Time Equivalent)]]),"")</f>
        <v>11</v>
      </c>
      <c r="QP83" s="28" t="str">
        <f>IFERROR(IF(DATA[[#This Row],[Other staff 1: Numbers employed (Full Time Equivalent)]]=0,"",DATA[[#This Row],[Other staff 1: Current 2021/22 Minimum hourly pay rate ADJUSTED 2]]*DATA[[#This Row],[Other staff 1: Numbers employed (Full Time Equivalent)]]),"")</f>
        <v/>
      </c>
      <c r="QQ83" s="28" t="str">
        <f>IFERROR(IF(DATA[[#This Row],[Other staff 1: Numbers employed (Full Time Equivalent)]]=0,"",DATA[[#This Row],[Other staff 1: Current 2021/22 Maximum hourly pay rate ADJUSTED 2]]*DATA[[#This Row],[Other staff 1: Numbers employed (Full Time Equivalent)]]),"")</f>
        <v/>
      </c>
      <c r="QR83" s="28" t="str">
        <f>IFERROR(IF(DATA[[#This Row],[Other staff 1: Numbers employed (Full Time Equivalent)]]=0,"",DATA[[#This Row],[Other staff 1: Previous 2020/21 Minimum hourly pay rate ADJUSTED 2]]*DATA[[#This Row],[Other staff 1: Numbers employed (Full Time Equivalent)]]),"")</f>
        <v/>
      </c>
      <c r="QS83" s="28" t="str">
        <f>IFERROR(IF(DATA[[#This Row],[Other staff 1: Numbers employed (Full Time Equivalent)]]=0,"",DATA[[#This Row],[Other staff 1: Previous 2020/21 Maximum hourly pay rate ADJUSTED 2]]*DATA[[#This Row],[Other staff 1: Numbers employed (Full Time Equivalent)]]),"")</f>
        <v/>
      </c>
      <c r="QT83" s="28" t="str">
        <f>IFERROR(IF(DATA[[#This Row],[Other staff 2: Numbers employed (Full Time Equivalent)]]=0,"",DATA[[#This Row],[Other staff 2: Current 2021/22 Minimum hourly pay rate ADJUSTED 2]]*DATA[[#This Row],[Other staff 2: Numbers employed (Full Time Equivalent)]]),"")</f>
        <v/>
      </c>
      <c r="QU83" s="28" t="str">
        <f>IFERROR(IF(DATA[[#This Row],[Other staff 2: Numbers employed (Full Time Equivalent)]]=0,"",DATA[[#This Row],[Other staff 2: Current 2021/22 Maximum hourly pay rate ADJUSTED 2]]*DATA[[#This Row],[Other staff 2: Numbers employed (Full Time Equivalent)]]),"")</f>
        <v/>
      </c>
      <c r="QV83" s="28" t="str">
        <f>IFERROR(IF(DATA[[#This Row],[Other staff 2: Numbers employed (Full Time Equivalent)]]=0,"",DATA[[#This Row],[Other staff 2: Previous 2020/21 Minimum hourly pay rate ADJUSTED 2]]*DATA[[#This Row],[Other staff 2: Numbers employed (Full Time Equivalent)]]),"")</f>
        <v/>
      </c>
      <c r="QW83" s="28" t="str">
        <f>IFERROR(IF(DATA[[#This Row],[Other staff 2: Numbers employed (Full Time Equivalent)]]=0,"",DATA[[#This Row],[Other staff 2: Previous 2020/21 Maximum hourly pay rate ADJUSTED 2]]*DATA[[#This Row],[Other staff 2: Numbers employed (Full Time Equivalent)]]),"")</f>
        <v/>
      </c>
      <c r="QX83" s="28" t="str">
        <f>IFERROR(IF(DATA[[#This Row],[Other staff 3: Numbers employed (Full Time Equivalent)]]=0,"",DATA[[#This Row],[Other staff 3: Current 2021/22 Minimum hourly pay rate ADJUSTED 2]]*DATA[[#This Row],[Other staff 3: Numbers employed (Full Time Equivalent)]]),"")</f>
        <v/>
      </c>
      <c r="QY83" s="28" t="str">
        <f>IFERROR(IF(DATA[[#This Row],[Other staff 3: Numbers employed (Full Time Equivalent)]]=0,"",DATA[[#This Row],[Other staff 3: Current 2021/22 Maximum hourly pay rate ADJUSTED 2]]*DATA[[#This Row],[Other staff 3: Numbers employed (Full Time Equivalent)]]),"")</f>
        <v/>
      </c>
      <c r="QZ83" s="28" t="str">
        <f>IFERROR(IF(DATA[[#This Row],[Other staff 3: Numbers employed (Full Time Equivalent)]]=0,"",DATA[[#This Row],[Other staff 3: Previous 2020/21 Minimum hourly pay rate ADJUSTED 2]]*DATA[[#This Row],[Other staff 3: Numbers employed (Full Time Equivalent)]]),"")</f>
        <v/>
      </c>
      <c r="RA83" s="28" t="str">
        <f>IFERROR(IF(DATA[[#This Row],[Other staff 3: Numbers employed (Full Time Equivalent)]]=0,"",DATA[[#This Row],[Other staff 3: Previous 2020/21 Maximum hourly pay rate ADJUSTED 2]]*DATA[[#This Row],[Other staff 3: Numbers employed (Full Time Equivalent)]]),"")</f>
        <v/>
      </c>
      <c r="RB83"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83"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2</v>
      </c>
      <c r="RD83"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83"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1</v>
      </c>
      <c r="RF83"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83"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4</v>
      </c>
      <c r="RH83"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11</v>
      </c>
      <c r="RI83"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12</v>
      </c>
      <c r="RJ83"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4</v>
      </c>
      <c r="RK83"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2</v>
      </c>
      <c r="RL83"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1</v>
      </c>
      <c r="RM83"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1</v>
      </c>
      <c r="RN83"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83"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83"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84" spans="3:484" x14ac:dyDescent="0.25">
      <c r="G84" s="2">
        <v>78</v>
      </c>
      <c r="H84" s="2">
        <v>10</v>
      </c>
      <c r="I84" s="2">
        <v>50</v>
      </c>
      <c r="J84" s="2">
        <v>1</v>
      </c>
      <c r="L84" s="2" t="s">
        <v>328</v>
      </c>
      <c r="M84" s="2" t="s">
        <v>328</v>
      </c>
      <c r="R84" s="2">
        <v>14.36</v>
      </c>
      <c r="S84" s="2">
        <v>14.36</v>
      </c>
      <c r="T84" s="2">
        <v>13.85</v>
      </c>
      <c r="U84" s="2">
        <v>14.36</v>
      </c>
      <c r="V84" s="2">
        <v>1</v>
      </c>
      <c r="W84" s="2">
        <v>11.28</v>
      </c>
      <c r="X84" s="2">
        <v>11.28</v>
      </c>
      <c r="Y84" s="2">
        <v>0</v>
      </c>
      <c r="Z84" s="2">
        <v>10.77</v>
      </c>
      <c r="AA84" s="2">
        <v>2</v>
      </c>
      <c r="AB84" s="2" t="s">
        <v>635</v>
      </c>
      <c r="AC84" s="2">
        <v>21.25</v>
      </c>
      <c r="AD84" s="2">
        <v>21.25</v>
      </c>
      <c r="AE84" s="2">
        <v>19.579999999999998</v>
      </c>
      <c r="AF84" s="2">
        <v>21.25</v>
      </c>
      <c r="AG84" s="2">
        <v>1</v>
      </c>
      <c r="AH84" s="2" t="s">
        <v>636</v>
      </c>
      <c r="AI84" s="2">
        <v>0</v>
      </c>
      <c r="AJ84" s="2">
        <v>0</v>
      </c>
      <c r="AK84" s="2">
        <v>0</v>
      </c>
      <c r="AL84" s="2">
        <v>0</v>
      </c>
      <c r="AM84" s="2">
        <v>0.33333333333333331</v>
      </c>
      <c r="AN84" s="2" t="s">
        <v>315</v>
      </c>
      <c r="AO84" s="2">
        <v>0</v>
      </c>
      <c r="AP84" s="2">
        <v>0</v>
      </c>
      <c r="AQ84" s="2">
        <v>0</v>
      </c>
      <c r="AR84" s="2">
        <v>0</v>
      </c>
      <c r="AS84" s="2">
        <v>0</v>
      </c>
      <c r="AT84" s="2" t="s">
        <v>637</v>
      </c>
      <c r="AU84" s="2">
        <v>9.3000000000000007</v>
      </c>
      <c r="AV84" s="2">
        <v>9.3000000000000007</v>
      </c>
      <c r="AW84" s="2">
        <v>8.92</v>
      </c>
      <c r="AX84" s="2">
        <v>8.92</v>
      </c>
      <c r="AY84" s="2">
        <v>29</v>
      </c>
      <c r="AZ84" s="2" t="s">
        <v>638</v>
      </c>
      <c r="BA84" s="2">
        <v>9.9</v>
      </c>
      <c r="BB84" s="2">
        <v>9.9</v>
      </c>
      <c r="BC84" s="2">
        <v>9.5</v>
      </c>
      <c r="BD84" s="2">
        <v>9.5</v>
      </c>
      <c r="BE84" s="2">
        <v>7</v>
      </c>
      <c r="BF84" s="2" t="s">
        <v>639</v>
      </c>
      <c r="BG84" s="2">
        <v>0</v>
      </c>
      <c r="BH84" s="2">
        <v>0</v>
      </c>
      <c r="BI84" s="2">
        <v>9.5</v>
      </c>
      <c r="BJ84" s="2">
        <v>0</v>
      </c>
      <c r="BK84" s="2">
        <v>0</v>
      </c>
      <c r="BL84" s="2" t="s">
        <v>316</v>
      </c>
      <c r="BM84" s="2">
        <v>0</v>
      </c>
      <c r="BN84" s="2">
        <v>0</v>
      </c>
      <c r="BO84" s="2">
        <v>0</v>
      </c>
      <c r="BP84" s="2">
        <v>0</v>
      </c>
      <c r="BQ84" s="2">
        <v>0</v>
      </c>
      <c r="BR84" s="2" t="s">
        <v>317</v>
      </c>
      <c r="BS84" s="2">
        <v>9.74</v>
      </c>
      <c r="BT84" s="2">
        <v>9.74</v>
      </c>
      <c r="BU84" s="2">
        <v>9.6300000000000008</v>
      </c>
      <c r="BV84" s="2">
        <v>9</v>
      </c>
      <c r="BW84" s="2">
        <v>1</v>
      </c>
      <c r="BX84" s="2" t="s">
        <v>317</v>
      </c>
      <c r="BY84" s="2">
        <v>0</v>
      </c>
      <c r="BZ84" s="2">
        <v>0</v>
      </c>
      <c r="CA84" s="2">
        <v>0</v>
      </c>
      <c r="CB84" s="2">
        <v>0</v>
      </c>
      <c r="CC84" s="2">
        <v>0</v>
      </c>
      <c r="CD84" s="2" t="s">
        <v>317</v>
      </c>
      <c r="CE84" s="2">
        <v>0</v>
      </c>
      <c r="CF84" s="2">
        <v>0</v>
      </c>
      <c r="CG84" s="2">
        <v>0</v>
      </c>
      <c r="CH84" s="2">
        <v>0</v>
      </c>
      <c r="CI84" s="2">
        <v>0</v>
      </c>
      <c r="CJ84" s="2" t="s">
        <v>318</v>
      </c>
      <c r="CK84" s="2">
        <v>0</v>
      </c>
      <c r="CL84" s="2">
        <v>0</v>
      </c>
      <c r="CM84" s="2">
        <v>0</v>
      </c>
      <c r="CN84" s="2">
        <v>0</v>
      </c>
      <c r="CO84" s="2">
        <v>0</v>
      </c>
      <c r="CP84" s="2" t="s">
        <v>318</v>
      </c>
      <c r="CQ84" s="2">
        <v>0</v>
      </c>
      <c r="CR84" s="2">
        <v>0</v>
      </c>
      <c r="CS84" s="2">
        <v>0</v>
      </c>
      <c r="CT84" s="2">
        <v>0</v>
      </c>
      <c r="CU84" s="2">
        <v>0</v>
      </c>
      <c r="CV84" s="2" t="s">
        <v>318</v>
      </c>
      <c r="CW84" s="2">
        <v>0</v>
      </c>
      <c r="CX84" s="2">
        <v>0</v>
      </c>
      <c r="CY84" s="2">
        <v>0</v>
      </c>
      <c r="CZ84" s="2">
        <v>0</v>
      </c>
      <c r="DA84" s="2">
        <v>0</v>
      </c>
      <c r="DB84" s="2">
        <v>0.03</v>
      </c>
      <c r="DC84" s="2">
        <v>1488.5</v>
      </c>
      <c r="DD84" s="2">
        <v>0</v>
      </c>
      <c r="DE84" s="2">
        <v>8.5</v>
      </c>
      <c r="DF84" s="2">
        <v>0</v>
      </c>
      <c r="DG84" s="2">
        <v>0</v>
      </c>
      <c r="DH84" s="2">
        <v>105</v>
      </c>
      <c r="DI84" s="2">
        <v>0</v>
      </c>
      <c r="DJ84" s="2">
        <v>0</v>
      </c>
      <c r="DK84" s="2">
        <v>0</v>
      </c>
      <c r="DL84" s="2">
        <v>0</v>
      </c>
      <c r="DM84" s="2">
        <v>0</v>
      </c>
      <c r="DN84" s="2">
        <v>0</v>
      </c>
      <c r="DO84" s="2">
        <v>15.27</v>
      </c>
      <c r="DP84" s="2">
        <v>16.329999999999998</v>
      </c>
      <c r="DQ84" s="2">
        <v>14.64</v>
      </c>
      <c r="DR84" s="18">
        <v>43922</v>
      </c>
      <c r="DS84" s="18">
        <v>44286</v>
      </c>
      <c r="DT84" s="2">
        <v>79137</v>
      </c>
      <c r="DU84" s="2">
        <v>107937</v>
      </c>
      <c r="DV84" s="2">
        <v>705248</v>
      </c>
      <c r="DW84" s="2">
        <v>27197</v>
      </c>
      <c r="DX84" s="2">
        <v>11496</v>
      </c>
      <c r="DY84" s="2">
        <v>52524</v>
      </c>
      <c r="DZ84" s="2">
        <v>1297</v>
      </c>
      <c r="EA84" s="2">
        <v>1678.96</v>
      </c>
      <c r="EB84" s="2">
        <v>6955.85</v>
      </c>
      <c r="EC84" s="2">
        <v>1700</v>
      </c>
      <c r="ED84" s="2">
        <v>3135.53</v>
      </c>
      <c r="EE84" s="2">
        <v>14408</v>
      </c>
      <c r="EF84" s="2">
        <v>0</v>
      </c>
      <c r="EG84" s="2">
        <v>4865</v>
      </c>
      <c r="EH84" s="2" t="s">
        <v>640</v>
      </c>
      <c r="EI84" s="2">
        <v>700</v>
      </c>
      <c r="EJ84" s="2" t="s">
        <v>324</v>
      </c>
      <c r="EK84" s="2">
        <v>0</v>
      </c>
      <c r="EL84" s="2">
        <v>7325</v>
      </c>
      <c r="EM84" s="2">
        <v>0</v>
      </c>
      <c r="EN84" s="2">
        <v>15</v>
      </c>
      <c r="EO84" s="2">
        <v>12000</v>
      </c>
      <c r="EP84" s="2">
        <v>3342</v>
      </c>
      <c r="EQ84" s="2">
        <v>0</v>
      </c>
      <c r="ER84" s="2">
        <v>0</v>
      </c>
      <c r="ES84" s="2">
        <v>0</v>
      </c>
      <c r="ET84" s="2" t="s">
        <v>324</v>
      </c>
      <c r="EU84" s="2">
        <v>0</v>
      </c>
      <c r="EV84" s="2" t="s">
        <v>324</v>
      </c>
      <c r="EW84" s="2">
        <v>0</v>
      </c>
      <c r="EX84" s="2">
        <v>1672</v>
      </c>
      <c r="EY84" s="2">
        <v>21738</v>
      </c>
      <c r="EZ84" s="2" t="s">
        <v>326</v>
      </c>
      <c r="FA84" s="2">
        <v>0</v>
      </c>
      <c r="FB84" s="2" t="s">
        <v>326</v>
      </c>
      <c r="FC84" s="2">
        <v>0</v>
      </c>
      <c r="FD84" s="2"/>
      <c r="FE84" s="2">
        <v>0</v>
      </c>
      <c r="FF84" s="2">
        <v>0</v>
      </c>
      <c r="FG84" s="2"/>
      <c r="FH84" s="19">
        <v>44480.627939814818</v>
      </c>
      <c r="FI84" s="2" t="s">
        <v>345</v>
      </c>
      <c r="FJ84" s="2">
        <f>SUM(DATA[[#This Row],[Number of Home support clients:]],DATA[[#This Row],[Number of supported living clients:]])</f>
        <v>60</v>
      </c>
      <c r="FK84"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51-60</v>
      </c>
      <c r="FL84"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14.36</v>
      </c>
      <c r="FM84"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14.36</v>
      </c>
      <c r="FN84"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13.85</v>
      </c>
      <c r="FO84"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14.36</v>
      </c>
      <c r="FP84" s="2">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11.28</v>
      </c>
      <c r="FQ84" s="2">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11.28</v>
      </c>
      <c r="FR84" s="2">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10.77</v>
      </c>
      <c r="FS84" s="2">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10.77</v>
      </c>
      <c r="FT84"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21.25</v>
      </c>
      <c r="FU84"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21.25</v>
      </c>
      <c r="FV84"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19.579999999999998</v>
      </c>
      <c r="FW84"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21.25</v>
      </c>
      <c r="FX84"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84"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84"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84"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84"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84"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84"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84"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84"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9.3000000000000007</v>
      </c>
      <c r="GG84"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9.3000000000000007</v>
      </c>
      <c r="GH84"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8.92</v>
      </c>
      <c r="GI84"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8.92</v>
      </c>
      <c r="GJ84" s="2">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9.9</v>
      </c>
      <c r="GK84" s="2">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9.9</v>
      </c>
      <c r="GL84" s="2">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9.5</v>
      </c>
      <c r="GM84" s="2">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9.5</v>
      </c>
      <c r="GN84"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84"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84" s="2">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9.5</v>
      </c>
      <c r="GQ84" s="2">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9.5</v>
      </c>
      <c r="GR84"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84"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84"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84"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84"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9.74</v>
      </c>
      <c r="GW84"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9.74</v>
      </c>
      <c r="GX84"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9.6300000000000008</v>
      </c>
      <c r="GY84"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9</v>
      </c>
      <c r="GZ84"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84"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84"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84"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84"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84"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84"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84"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84"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84"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84"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84"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84"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84"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84"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84"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84"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84"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84"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84"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84"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14.36</v>
      </c>
      <c r="HU84"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14.36</v>
      </c>
      <c r="HV84"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13.85</v>
      </c>
      <c r="HW84"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14.36</v>
      </c>
      <c r="HX84" s="2">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11.28</v>
      </c>
      <c r="HY84" s="2">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11.28</v>
      </c>
      <c r="HZ84" s="2">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10.77</v>
      </c>
      <c r="IA84" s="2">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10.77</v>
      </c>
      <c r="IB84"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21.25</v>
      </c>
      <c r="IC84"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21.25</v>
      </c>
      <c r="ID84"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19.579999999999998</v>
      </c>
      <c r="IE84"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21.25</v>
      </c>
      <c r="IF84"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84"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84"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84"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84"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84"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84"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84"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84"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9.3000000000000007</v>
      </c>
      <c r="IO84"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9.3000000000000007</v>
      </c>
      <c r="IP84"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8.92</v>
      </c>
      <c r="IQ84"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8.92</v>
      </c>
      <c r="IR84" s="2">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9.9</v>
      </c>
      <c r="IS84" s="2">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9.9</v>
      </c>
      <c r="IT84" s="2">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9.5</v>
      </c>
      <c r="IU84" s="2">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9.5</v>
      </c>
      <c r="IV84" s="2">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9.5</v>
      </c>
      <c r="IW84" s="2">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9.5</v>
      </c>
      <c r="IX84" s="2">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9.5</v>
      </c>
      <c r="IY84" s="2">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9.5</v>
      </c>
      <c r="IZ84"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84"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84"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84"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84"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9.74</v>
      </c>
      <c r="JE84"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9.74</v>
      </c>
      <c r="JF84"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9.6300000000000008</v>
      </c>
      <c r="JG84"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9</v>
      </c>
      <c r="JH84"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84"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84"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84"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84"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84"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84"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84"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84"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84"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84"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84"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84"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84"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84"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84"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84"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84"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84"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84"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84"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4.333333333333333</v>
      </c>
      <c r="KC84" s="21">
        <f>SUM(DATA[[#This Row],[Care Assistant 1: Numbers employed (Full Time Equivalent)]],DATA[[#This Row],[Care Assistant 2: Numbers employed (Full Time Equivalent)]],DATA[[#This Row],[Care Assistant 3: Numbers employed (Full Time Equivalent)]],DATA[[#This Row],[Care Assistant 4: Numbers employed (Full Time Equivalent)]])</f>
        <v>36</v>
      </c>
      <c r="KD84" s="21">
        <f>SUM(DATA[[#This Row],[Administrative Officer 1: Numbers employed (Full Time Equivalent)]],DATA[[#This Row],[Administrative Officer 2: Numbers employed (Full Time Equivalent)]])</f>
        <v>1</v>
      </c>
      <c r="KE84" s="21">
        <f>SUM(DATA[[#This Row],[Other staff 1: Numbers employed (Full Time Equivalent)]],DATA[[#This Row],[Other staff 2: Numbers employed (Full Time Equivalent)]],DATA[[#This Row],[Other staff 3: Numbers employed (Full Time Equivalent)]])</f>
        <v>0</v>
      </c>
      <c r="KF84" s="21">
        <f>SUM(DATA[[#This Row],[Total FTE Management Employees]:[Total FTE Other Employees]])</f>
        <v>41.333333333333336</v>
      </c>
      <c r="KG84" s="21" t="str">
        <f>IF(SUM(DATA[[#This Row],[Home Support service split percentage (Expenditure):]],DATA[[#This Row],[Supported Living service split percentage (Expenditure):]])&gt;0, IF(DATA[[#This Row],[Home Support service split percentage (Expenditure):]]&gt;0.5,"Home Support","Supported Living"), "Unknown")</f>
        <v>Home Support</v>
      </c>
      <c r="KH84" s="21">
        <f>SUM(DATA[[#This Row],[Home Support: Birmingham City Council]:[Home Support: Self-funded]])</f>
        <v>1602</v>
      </c>
      <c r="KI84" s="21">
        <f>SUM(DATA[[#This Row],[Supported Living: Birmingham City Council]:[Supported Living: Self-funded]])</f>
        <v>0</v>
      </c>
      <c r="KJ84"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84"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84"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84"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84" s="21" t="b">
        <f>SUM(DATA[[#This Row],[Number of hours of care charged for in last full accounting year]:[Corporate Overheads: Other  - please specify (category) 1]])&gt;0</f>
        <v>1</v>
      </c>
      <c r="KO84" s="21">
        <f>SUM(DATA[[#This Row],[Total annual expenditure: Management staff]:[Total annual expenditure: Training and development]])</f>
        <v>914333.80999999994</v>
      </c>
      <c r="KP84" s="21">
        <f>SUM(DATA[[#This Row],[Recruitment &amp; advertising (including DBS checks)]:[Non-Staffing Direct Cost: Other  - please specify (amount) 2]])</f>
        <v>24808.53</v>
      </c>
      <c r="KQ84" s="21">
        <f>SUM(DATA[[#This Row],[Insurance ]:[Indirect costs: Other 2 - please specify (amount)]])</f>
        <v>22682</v>
      </c>
      <c r="KR84" s="21">
        <f>SUM(DATA[[#This Row],[Central / Regional Management]],DATA[[#This Row],[Support Services (finance / HR / Payroll / legal etc.)]],DATA[[#This Row],[Corporate Overheads: Other  - please specify (amount) 1]],DATA[[#This Row],[Corporate Overheads: Other  - please specify (amount) 2]])</f>
        <v>23410</v>
      </c>
      <c r="KS84"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1.3639258501080405</v>
      </c>
      <c r="KT84"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8.9117353450345611</v>
      </c>
      <c r="KU84"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0.34366983838154086</v>
      </c>
      <c r="KV84" s="30">
        <f>IF(OR(NOT(DATA[[#This Row],[Total annual expenditure: Other staff]]&gt;0),NOT(DATA[[#This Row],[Number of hours of care charged for in last full accounting year]]&gt;0)),0,DATA[[#This Row],[Total annual expenditure: Other staff]]/DATA[[#This Row],[Number of hours of care charged for in last full accounting year]])</f>
        <v>0.14526706850145948</v>
      </c>
      <c r="KW84" s="30">
        <f>IF(OR(NOT(DATA[[#This Row],[Total annual expenditure: Agency staff]]&gt;0),NOT(DATA[[#This Row],[Number of hours of care charged for in last full accounting year]]&gt;0)),0,DATA[[#This Row],[Total annual expenditure: Agency staff]]/DATA[[#This Row],[Number of hours of care charged for in last full accounting year]])</f>
        <v>0.66370976913453883</v>
      </c>
      <c r="KX84" s="30">
        <f>IF(OR(NOT(DATA[[#This Row],[Total annual expenditure: Travel Cost]]&gt;0),NOT(DATA[[#This Row],[Number of hours of care charged for in last full accounting year]]&gt;0)),0,DATA[[#This Row],[Total annual expenditure: Travel Cost]]/DATA[[#This Row],[Number of hours of care charged for in last full accounting year]])</f>
        <v>1.6389299569101685E-2</v>
      </c>
      <c r="KY84" s="30">
        <f>IF(OR(NOT(DATA[[#This Row],[Total annual expenditure: Travel Time]]&gt;0),NOT(DATA[[#This Row],[Number of hours of care charged for in last full accounting year]]&gt;0)),0,DATA[[#This Row],[Total annual expenditure: Travel Time]]/DATA[[#This Row],[Number of hours of care charged for in last full accounting year]])</f>
        <v>2.1215866156159571E-2</v>
      </c>
      <c r="KZ84"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8.7896306405347693E-2</v>
      </c>
      <c r="LA84"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2.1481734207766279E-2</v>
      </c>
      <c r="LB84"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3.9621542388516118E-2</v>
      </c>
      <c r="LC84" s="30">
        <f>IF(OR(NOT(DATA[[#This Row],[Care consumables &amp; uniforms]]&gt;0),NOT(DATA[[#This Row],[Number of hours of care charged for in last full accounting year]]&gt;0)),0,DATA[[#This Row],[Care consumables &amp; uniforms]]/DATA[[#This Row],[Number of hours of care charged for in last full accounting year]])</f>
        <v>0.18206401556793914</v>
      </c>
      <c r="LD84" s="30">
        <f>IF(OR(NOT(DATA[[#This Row],[Electronic call monitoring]]&gt;0),NOT(DATA[[#This Row],[Number of hours of care charged for in last full accounting year]]&gt;0)),0,DATA[[#This Row],[Electronic call monitoring]]/DATA[[#This Row],[Number of hours of care charged for in last full accounting year]])</f>
        <v>0</v>
      </c>
      <c r="LE84" s="30">
        <f>IF(OR(NOT(DATA[[#This Row],[IT Equipment &amp; Telephoney]]&gt;0),NOT(DATA[[#This Row],[Number of hours of care charged for in last full accounting year]]&gt;0)),0,DATA[[#This Row],[IT Equipment &amp; Telephoney]]/DATA[[#This Row],[Number of hours of care charged for in last full accounting year]])</f>
        <v>6.1475668776931142E-2</v>
      </c>
      <c r="LF84"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8.8454199679037625E-3</v>
      </c>
      <c r="LG84"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4" s="30">
        <f>IF(OR(NOT(DATA[[#This Row],[Insurance ]]&gt;0),NOT(DATA[[#This Row],[Number of hours of care charged for in last full accounting year]]&gt;0)),0,DATA[[#This Row],[Insurance ]]/DATA[[#This Row],[Number of hours of care charged for in last full accounting year]])</f>
        <v>9.2561001806992935E-2</v>
      </c>
      <c r="LI84"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84" s="30">
        <f>IF(OR(NOT(DATA[[#This Row],[Repairs and maintenance]]&gt;0),NOT(DATA[[#This Row],[Number of hours of care charged for in last full accounting year]]&gt;0)),0,DATA[[#This Row],[Repairs and maintenance]]/DATA[[#This Row],[Number of hours of care charged for in last full accounting year]])</f>
        <v>1.8954471359793775E-4</v>
      </c>
      <c r="LK84"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0.1516357708783502</v>
      </c>
      <c r="LL84" s="30">
        <f>IF(OR(NOT(DATA[[#This Row],[Registration &amp; Inspection fees ]]&gt;0),NOT(DATA[[#This Row],[Number of hours of care charged for in last full accounting year]]&gt;0)),0,DATA[[#This Row],[Registration &amp; Inspection fees ]]/DATA[[#This Row],[Number of hours of care charged for in last full accounting year]])</f>
        <v>4.2230562189620534E-2</v>
      </c>
      <c r="LM84" s="30">
        <f>IF(OR(NOT(DATA[[#This Row],[Subscriptions]]&gt;0),NOT(DATA[[#This Row],[Number of hours of care charged for in last full accounting year]]&gt;0)),0,DATA[[#This Row],[Subscriptions]]/DATA[[#This Row],[Number of hours of care charged for in last full accounting year]])</f>
        <v>0</v>
      </c>
      <c r="LN84" s="30">
        <f>IF(OR(NOT(DATA[[#This Row],[Cost of finance]]&gt;0),NOT(DATA[[#This Row],[Number of hours of care charged for in last full accounting year]]&gt;0)),0,DATA[[#This Row],[Cost of finance]]/DATA[[#This Row],[Number of hours of care charged for in last full accounting year]])</f>
        <v>0</v>
      </c>
      <c r="LO84" s="30">
        <f>IF(OR(NOT(DATA[[#This Row],[Other non-staff current expenses]]&gt;0),NOT(DATA[[#This Row],[Number of hours of care charged for in last full accounting year]]&gt;0)),0,DATA[[#This Row],[Other non-staff current expenses]]/DATA[[#This Row],[Number of hours of care charged for in last full accounting year]])</f>
        <v>0</v>
      </c>
      <c r="LP84"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84"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84" s="30">
        <f>IF(OR(NOT(DATA[[#This Row],[Central / Regional Management]]&gt;0),NOT(DATA[[#This Row],[Number of hours of care charged for in last full accounting year]]&gt;0)),0,DATA[[#This Row],[Central / Regional Management]]/DATA[[#This Row],[Number of hours of care charged for in last full accounting year]])</f>
        <v>2.1127917409050127E-2</v>
      </c>
      <c r="LS84"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0.27468819894613139</v>
      </c>
      <c r="LT84"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4"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4" s="30">
        <f>SUM(DATA[[#This Row],[Management staff HOURLY RATE]:[Corporate Overheads: Other  - please specify (amount) 2 HOURLY RATE]])</f>
        <v>12.449730720143549</v>
      </c>
      <c r="LW84" s="30" t="str">
        <f>IF(OR(NOT(DATA[[#This Row],[Net Operating Profit]]&gt;0),NOT(DATA[[#This Row],[Number of hours of care charged for in last full accounting year]]&gt;0)),"",DATA[[#This Row],[Net Operating Profit]]/DATA[[#This Row],[Number of hours of care charged for in last full accounting year]])</f>
        <v/>
      </c>
      <c r="LX84" s="30">
        <f>IF(OR(NOT(DATA[[#This Row],[Return on Capital employed]]&gt;0),NOT(DATA[[#This Row],[Number of hours of care charged for in last full accounting year]]&gt;0)),0,DATA[[#This Row],[Return on Capital employed]]/DATA[[#This Row],[Number of hours of care charged for in last full accounting year]])</f>
        <v>0</v>
      </c>
      <c r="LY84" s="31">
        <v>79</v>
      </c>
      <c r="LZ84" s="30" t="s">
        <v>345</v>
      </c>
      <c r="MA84" s="30" t="b">
        <f>DATA[[#This Row],[Number of Home support clients:]]&gt;0</f>
        <v>1</v>
      </c>
      <c r="MB84" s="30" t="b">
        <f>DATA[[#This Row],[Number of supported living clients:]]&gt;0</f>
        <v>1</v>
      </c>
      <c r="MC84" s="30" t="b">
        <f>DATA[[#This Row],[Total Home Support Hours]]&gt;0</f>
        <v>1</v>
      </c>
      <c r="MD84" s="30" t="b">
        <f>DATA[[#This Row],[Total Supported Living Hours]]&gt;0</f>
        <v>0</v>
      </c>
      <c r="ME84" s="30" t="b">
        <f>DATA[[#This Row],[Home Support service split percentage (Expenditure):]]&gt;0.5</f>
        <v>1</v>
      </c>
      <c r="MF84" s="30" t="b">
        <f>DATA[[#This Row],[Agency staff HOURLY RATE]]=0</f>
        <v>0</v>
      </c>
      <c r="MG84"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4" s="30">
        <f>IFERROR(IF(AVERAGE(DATA[[#This Row],[Deputy manager: Current 2021/22 Minimum hourly pay rate ADJUSTED]],DATA[[#This Row],[Deputy manager: Current 2021/22 Maximum hourly pay rate ADJUSTED]])&lt;LIVING_WAGE_22_23,DATA[[#This Row],[Deputy manager: Numbers employed (Full Time Equivalent)]],0),"")</f>
        <v>0</v>
      </c>
      <c r="MI84" s="30">
        <f>IFERROR(IF(AVERAGE(DATA[[#This Row],[Other manager 1: Current 2021/22 Minimum hourly pay rate ADJUSTED]],DATA[[#This Row],[Other manager 1: Current 2021/22 Maximum hourly pay rate ADJUSTED]])&lt;LIVING_WAGE_22_23,DATA[[#This Row],[Other manager 1: Numbers employed (Full Time Equivalent)]],0),"")</f>
        <v>0</v>
      </c>
      <c r="MJ84" s="30" t="str">
        <f>IFERROR(IF(AVERAGE(DATA[[#This Row],[Other manager 2: Current 2021/22 Minimum hourly pay rate ADJUSTED]],DATA[[#This Row],[Other manager 2: Current 2021/22 Maximum hourly pay rate ADJUSTED]])&lt;LIVING_WAGE_22_23,DATA[[#This Row],[Other manager 2: Numbers employed (Full Time Equivalent)]],0),"")</f>
        <v/>
      </c>
      <c r="MK84" s="30" t="str">
        <f>IFERROR(IF(AVERAGE(DATA[[#This Row],[Other manager 3: Current 2021/22 Minimum hourly pay rate ADJUSTED]],DATA[[#This Row],[Other manager 3: Current 2021/22 Maximum hourly pay rate ADJUSTED]])&lt;LIVING_WAGE_22_23,DATA[[#This Row],[Other manager 3: Numbers employed (Full Time Equivalent)]],0),"")</f>
        <v/>
      </c>
      <c r="ML84" s="30">
        <f>IFERROR(IF(AVERAGE(DATA[[#This Row],[Care Assistant 1: Current 2021/22 Minimum hourly pay rate ADJUSTED]],DATA[[#This Row],[Care Assistant 1: Current 2021/22 Maximum hourly pay rate ADJUSTED]])&lt;LIVING_WAGE_22_23,DATA[[#This Row],[Care Assistant 1: Numbers employed (Full Time Equivalent)]],0),"")</f>
        <v>29</v>
      </c>
      <c r="MM84" s="30">
        <f>IFERROR(IF(AVERAGE(DATA[[#This Row],[Care Assistant 2: Current 2021/22 Minimum hourly pay rate ADJUSTED]],DATA[[#This Row],[Care Assistant 2: Current 2021/22 Maximum hourly pay rate ADJUSTED]])&lt;LIVING_WAGE_22_23,DATA[[#This Row],[Care Assistant 2: Numbers employed (Full Time Equivalent)]],0),"")</f>
        <v>0</v>
      </c>
      <c r="MN84" s="30" t="str">
        <f>IFERROR(IF(AVERAGE(DATA[[#This Row],[Care Assistant 3: Current 2021/22 Minimum hourly pay rate ADJUSTED]],DATA[[#This Row],[Care Assistant 3: Current 2021/22 Maximum hourly pay rate ADJUSTED]])&lt;LIVING_WAGE_22_23,DATA[[#This Row],[Care Assistant 3: Numbers employed (Full Time Equivalent)]],0),"")</f>
        <v/>
      </c>
      <c r="MO84" s="30" t="str">
        <f>IFERROR(IF(AVERAGE(DATA[[#This Row],[Care Assistant 4: Current 2021/22 Minimum hourly pay rate ADJUSTED]],DATA[[#This Row],[Care Assistant 4: Current 2021/22 Maximum hourly pay rate ADJUSTED]])&lt;LIVING_WAGE_22_23,DATA[[#This Row],[Care Assistant 4: Numbers employed (Full Time Equivalent)]],0),"")</f>
        <v/>
      </c>
      <c r="MP84"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84"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84" s="30" t="str">
        <f>IFERROR(IF(AVERAGE(DATA[[#This Row],[Other staff 1: Current 2021/22 Minimum hourly pay rate ADJUSTED]],DATA[[#This Row],[Other staff 1: Current 2021/22 Maximum hourly pay rate ADJUSTED]])&lt;LIVING_WAGE_22_23,DATA[[#This Row],[Other staff 1: Numbers employed (Full Time Equivalent)]],0),"")</f>
        <v/>
      </c>
      <c r="MS84" s="30" t="str">
        <f>IFERROR(IF(AVERAGE(DATA[[#This Row],[Other staff 2: Current 2021/22 Minimum hourly pay rate ADJUSTED]],DATA[[#This Row],[Other staff 2: Current 2021/22 Maximum hourly pay rate ADJUSTED]])&lt;LIVING_WAGE_22_23,DATA[[#This Row],[Other staff 2: Numbers employed (Full Time Equivalent)]],0),"")</f>
        <v/>
      </c>
      <c r="MT84" s="30" t="str">
        <f>IFERROR(IF(AVERAGE(DATA[[#This Row],[Other staff 3: Current 2021/22 Minimum hourly pay rate ADJUSTED]],DATA[[#This Row],[Other staff 3: Current 2021/22 Maximum hourly pay rate ADJUSTED]])&lt;LIVING_WAGE_22_23,DATA[[#This Row],[Other staff 3: Numbers employed (Full Time Equivalent)]],0),"")</f>
        <v/>
      </c>
      <c r="MU84" s="30">
        <f>SUM(DATA[[#This Row],[Registered Manager FTE earning less than NLW 23yrs 2022/23]:[Other staff 3 FTE earning less than NLW 23yrs 2022/23]])</f>
        <v>29</v>
      </c>
      <c r="MV84"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4"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84"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84"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84"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84"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5.7999999999999794</v>
      </c>
      <c r="NB84"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84"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84"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84"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84"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84"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84"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84"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84" s="30" t="b">
        <v>0</v>
      </c>
      <c r="NK84" s="30" t="b">
        <v>1</v>
      </c>
      <c r="NL84" s="30" t="s">
        <v>972</v>
      </c>
      <c r="NM84" s="30">
        <f>SUM(DATA[[#This Row],[Management staff HOURLY RATE]:[Training and development HOURLY RATE]])</f>
        <v>11.55380934329075</v>
      </c>
      <c r="NN84" s="30">
        <f>SUM(DATA[[#This Row],[Recruitment &amp; advertising (including DBS checks) HOURLY RATE]:[Non-Staffing Direct Cost: Other  - please specify (amount) 2 HOURLY RATE]])</f>
        <v>0.31348838090905645</v>
      </c>
      <c r="NO84" s="30">
        <f>SUM(DATA[[#This Row],[Insurance  HOURLY RATE]:[Indirect costs: Other  - please specify (amount) 2 HOURLY RATE]])</f>
        <v>0.28661687958856158</v>
      </c>
      <c r="NP84" s="30">
        <f>SUM(DATA[[#This Row],[Central / Regional Management HOURLY RATE]:[Corporate Overheads: Other  - please specify (amount) 2 HOURLY RATE]])</f>
        <v>0.29581611635518151</v>
      </c>
      <c r="NQ84"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4" s="30">
        <f>IFERROR(IF(AVERAGE(DATA[[#This Row],[Deputy manager: Current 2021/22 Minimum hourly pay rate ADJUSTED]],DATA[[#This Row],[Deputy manager: Current 2021/22 Maximum hourly pay rate ADJUSTED]])&lt;REAL_LIVING_WAGE_22_23,DATA[[#This Row],[Deputy manager: Numbers employed (Full Time Equivalent)]],0),"")</f>
        <v>0</v>
      </c>
      <c r="NS84" s="30">
        <f>IFERROR(IF(AVERAGE(DATA[[#This Row],[Other manager 1: Current 2021/22 Minimum hourly pay rate ADJUSTED]],DATA[[#This Row],[Other manager 1: Current 2021/22 Maximum hourly pay rate ADJUSTED]])&lt;REAL_LIVING_WAGE_22_23,DATA[[#This Row],[Other manager 1: Numbers employed (Full Time Equivalent)]],0),"")</f>
        <v>0</v>
      </c>
      <c r="NT84" s="30" t="str">
        <f>IFERROR(IF(AVERAGE(DATA[[#This Row],[Other manager 2: Current 2021/22 Minimum hourly pay rate ADJUSTED]],DATA[[#This Row],[Other manager 2: Current 2021/22 Maximum hourly pay rate ADJUSTED]])&lt;REAL_LIVING_WAGE_22_23,DATA[[#This Row],[Other manager 2: Numbers employed (Full Time Equivalent)]],0),"")</f>
        <v/>
      </c>
      <c r="NU84" s="30" t="str">
        <f>IFERROR(IF(AVERAGE(DATA[[#This Row],[Other manager 3: Current 2021/22 Minimum hourly pay rate ADJUSTED]],DATA[[#This Row],[Other manager 3: Current 2021/22 Maximum hourly pay rate ADJUSTED]])&lt;REAL_LIVING_WAGE_22_23,DATA[[#This Row],[Other manager 3: Numbers employed (Full Time Equivalent)]],0),"")</f>
        <v/>
      </c>
      <c r="NV84" s="30">
        <f>IFERROR(IF(AVERAGE(DATA[[#This Row],[Care Assistant 1: Current 2021/22 Minimum hourly pay rate ADJUSTED]],DATA[[#This Row],[Care Assistant 1: Current 2021/22 Maximum hourly pay rate ADJUSTED]])&lt;REAL_LIVING_WAGE_22_23,DATA[[#This Row],[Care Assistant 1: Numbers employed (Full Time Equivalent)]],0),"")</f>
        <v>29</v>
      </c>
      <c r="NW84" s="30">
        <f>IFERROR(IF(AVERAGE(DATA[[#This Row],[Care Assistant 2: Current 2021/22 Minimum hourly pay rate ADJUSTED]],DATA[[#This Row],[Care Assistant 2: Current 2021/22 Maximum hourly pay rate ADJUSTED]])&lt;REAL_LIVING_WAGE_22_23,DATA[[#This Row],[Care Assistant 2: Numbers employed (Full Time Equivalent)]],0),"")</f>
        <v>0</v>
      </c>
      <c r="NX84"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84"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84"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1</v>
      </c>
      <c r="OA84"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84" s="30" t="str">
        <f>IFERROR(IF(AVERAGE(DATA[[#This Row],[Other staff 1: Current 2021/22 Minimum hourly pay rate ADJUSTED]],DATA[[#This Row],[Other staff 1: Current 2021/22 Maximum hourly pay rate ADJUSTED]])&lt;REAL_LIVING_WAGE_22_23,DATA[[#This Row],[Other staff 1: Numbers employed (Full Time Equivalent)]],0),"")</f>
        <v/>
      </c>
      <c r="OC84" s="30" t="str">
        <f>IFERROR(IF(AVERAGE(DATA[[#This Row],[Other staff 2: Current 2021/22 Minimum hourly pay rate ADJUSTED]],DATA[[#This Row],[Other staff 2: Current 2021/22 Maximum hourly pay rate ADJUSTED]])&lt;REAL_LIVING_WAGE_22_23,DATA[[#This Row],[Other staff 2: Numbers employed (Full Time Equivalent)]],0),"")</f>
        <v/>
      </c>
      <c r="OD84" s="30" t="str">
        <f>IFERROR(IF(AVERAGE(DATA[[#This Row],[Other staff 3: Current 2021/22 Minimum hourly pay rate ADJUSTED]],DATA[[#This Row],[Other staff 3: Current 2021/22 Maximum hourly pay rate ADJUSTED]])&lt;REAL_LIVING_WAGE_22_23,DATA[[#This Row],[Other staff 3: Numbers employed (Full Time Equivalent)]],0),"")</f>
        <v/>
      </c>
      <c r="OE84" s="30">
        <f>SUM(DATA[[#This Row],[Registered Manager FTE earning less than RLW 23yrs 2022/23]:[Other staff 3 FTE earning less than RLW 23yrs 2022/23]])</f>
        <v>30</v>
      </c>
      <c r="OF84"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4"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84"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84"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84"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84"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17.399999999999991</v>
      </c>
      <c r="OL84"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84"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84"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84"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0.16000000000000014</v>
      </c>
      <c r="OP84"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84"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84"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84"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84" s="30">
        <f>IFERROR(IF(DATA[[#This Row],[Registered manager: Numbers employed (Full Time Equivalent)]]=0,"",DATA[[#This Row],[Registered manager: Current 2021/22 Minimum hourly pay rate ADJUSTED 2]]*DATA[[#This Row],[Registered manager: Numbers employed (Full Time Equivalent)]]),"")</f>
        <v>14.36</v>
      </c>
      <c r="OU84" s="30">
        <f>IFERROR(IF(DATA[[#This Row],[Registered manager: Numbers employed (Full Time Equivalent)]]=0,"",DATA[[#This Row],[Registered manager: Current 2021/22 Maximum hourly pay rate ADJUSTED 2]]*DATA[[#This Row],[Registered manager: Numbers employed (Full Time Equivalent)]]),"")</f>
        <v>14.36</v>
      </c>
      <c r="OV84" s="30">
        <f>IFERROR(IF(DATA[[#This Row],[Registered manager: Numbers employed (Full Time Equivalent)]]=0,"",DATA[[#This Row],[Registered manager: Previous 2020/21 Minimum hourly pay rate ADJUSTED 2]]*DATA[[#This Row],[Registered manager: Numbers employed (Full Time Equivalent)]]),"")</f>
        <v>13.85</v>
      </c>
      <c r="OW84" s="30">
        <f>IFERROR(IF(DATA[[#This Row],[Registered manager: Numbers employed (Full Time Equivalent)]]=0,"",DATA[[#This Row],[Registered manager: Previous 2020/21 Maximum hourly pay rate ADJUSTED 2]]*DATA[[#This Row],[Registered manager: Numbers employed (Full Time Equivalent)]]),"")</f>
        <v>14.36</v>
      </c>
      <c r="OX84" s="30">
        <f>IFERROR(IF(DATA[[#This Row],[Deputy manager: Numbers employed (Full Time Equivalent)]]=0,"",DATA[[#This Row],[Deputy manager: Current 2021/22 Minimum hourly pay rate ADJUSTED 2]]*DATA[[#This Row],[Deputy manager: Numbers employed (Full Time Equivalent)]]),"")</f>
        <v>22.56</v>
      </c>
      <c r="OY84" s="30">
        <f>IFERROR(IF(DATA[[#This Row],[Deputy manager: Numbers employed (Full Time Equivalent)]]=0,"",DATA[[#This Row],[Deputy manager: Current 2021/22 Maximum hourly pay rate ADJUSTED 2]]*DATA[[#This Row],[Deputy manager: Numbers employed (Full Time Equivalent)]]),"")</f>
        <v>22.56</v>
      </c>
      <c r="OZ84" s="30">
        <f>IFERROR(IF(DATA[[#This Row],[Deputy manager: Numbers employed (Full Time Equivalent)]]=0,"",DATA[[#This Row],[Deputy manager: Previous 2020/21 Minimum hourly pay rate ADJUSTED 2]]*DATA[[#This Row],[Deputy manager: Numbers employed (Full Time Equivalent)]]),"")</f>
        <v>21.54</v>
      </c>
      <c r="PA84" s="30">
        <f>IFERROR(IF(DATA[[#This Row],[Deputy manager: Numbers employed (Full Time Equivalent)]]=0,"",DATA[[#This Row],[Deputy manager: Previous 2020/21 Maximum hourly pay rate ADJUSTED 2]]*DATA[[#This Row],[Deputy manager: Numbers employed (Full Time Equivalent)]]),"")</f>
        <v>21.54</v>
      </c>
      <c r="PB84" s="30">
        <f>IFERROR(IF(DATA[[#This Row],[Other manager 1: Numbers employed (Full Time Equivalent)]]=0,"",DATA[[#This Row],[Other manager 1: Current 2021/22 Minimum hourly pay rate ADJUSTED 2]]*DATA[[#This Row],[Other manager 1: Numbers employed (Full Time Equivalent)]]),"")</f>
        <v>21.25</v>
      </c>
      <c r="PC84" s="30">
        <f>IFERROR(IF(DATA[[#This Row],[Other manager 1: Numbers employed (Full Time Equivalent)]]=0,"",DATA[[#This Row],[Other manager 1: Current 2021/22 Maximum hourly pay rate ADJUSTED 2]]*DATA[[#This Row],[Other manager 1: Numbers employed (Full Time Equivalent)]]),"")</f>
        <v>21.25</v>
      </c>
      <c r="PD84" s="30">
        <f>IFERROR(IF(DATA[[#This Row],[Other manager 1: Numbers employed (Full Time Equivalent)]]=0,"",DATA[[#This Row],[Other manager 1: Previous 2020/21 Minimum hourly pay rate ADJUSTED 2]]*DATA[[#This Row],[Other manager 1: Numbers employed (Full Time Equivalent)]]),"")</f>
        <v>19.579999999999998</v>
      </c>
      <c r="PE84" s="30">
        <f>IFERROR(IF(DATA[[#This Row],[Other manager 1: Numbers employed (Full Time Equivalent)]]=0,"",DATA[[#This Row],[Other manager 1: Previous 2020/21 Maximum hourly pay rate ADJUSTED 2]]*DATA[[#This Row],[Other manager 1: Numbers employed (Full Time Equivalent)]]),"")</f>
        <v>21.25</v>
      </c>
      <c r="PF84" s="30" t="str">
        <f>IFERROR(IF(DATA[[#This Row],[Other manager 2: Numbers employed (Full Time Equivalent)]]=0,"",DATA[[#This Row],[Other manager 2: Current 2021/22 Minimum hourly pay rate ADJUSTED 2]]*DATA[[#This Row],[Other manager 2: Numbers employed (Full Time Equivalent)]]),"")</f>
        <v/>
      </c>
      <c r="PG84" s="30" t="str">
        <f>IFERROR(IF(DATA[[#This Row],[Other manager 2: Numbers employed (Full Time Equivalent)]]=0,"",DATA[[#This Row],[Other manager 2: Current 2021/22 Maximum hourly pay rate ADJUSTED 2]]*DATA[[#This Row],[Other manager 2: Numbers employed (Full Time Equivalent)]]),"")</f>
        <v/>
      </c>
      <c r="PH84" s="30" t="str">
        <f>IFERROR(IF(DATA[[#This Row],[Other manager 2: Numbers employed (Full Time Equivalent)]]=0,"",DATA[[#This Row],[Other manager 2: Previous 2020/21 Minimum hourly pay rate ADJUSTED 2]]*DATA[[#This Row],[Other manager 2: Numbers employed (Full Time Equivalent)]]),"")</f>
        <v/>
      </c>
      <c r="PI84" s="30" t="str">
        <f>IFERROR(IF(DATA[[#This Row],[Other manager 2: Numbers employed (Full Time Equivalent)]]=0,"",DATA[[#This Row],[Other manager 2: Previous 2020/21 Maximum hourly pay rate ADJUSTED 2]]*DATA[[#This Row],[Other manager 2: Numbers employed (Full Time Equivalent)]]),"")</f>
        <v/>
      </c>
      <c r="PJ84" s="30" t="str">
        <f>IFERROR(IF(DATA[[#This Row],[Other manager 3: Numbers employed (Full Time Equivalent)]]=0,"",DATA[[#This Row],[Other manager 3: Current 2021/22 Minimum hourly pay rate ADJUSTED 2]]*DATA[[#This Row],[Other manager 3: Numbers employed (Full Time Equivalent)]]),"")</f>
        <v/>
      </c>
      <c r="PK84" s="30" t="str">
        <f>IFERROR(IF(DATA[[#This Row],[Other manager 3: Numbers employed (Full Time Equivalent)]]=0,"",DATA[[#This Row],[Other manager 3: Current 2021/22 Maximum hourly pay rate ADJUSTED 2]]*DATA[[#This Row],[Other manager 3: Numbers employed (Full Time Equivalent)]]),"")</f>
        <v/>
      </c>
      <c r="PL84" s="30" t="str">
        <f>IFERROR(IF(DATA[[#This Row],[Other manager 3: Numbers employed (Full Time Equivalent)]]=0,"",DATA[[#This Row],[Other manager 3: Previous 2020/21 Minimum hourly pay rate ADJUSTED 2]]*DATA[[#This Row],[Other manager 3: Numbers employed (Full Time Equivalent)]]),"")</f>
        <v/>
      </c>
      <c r="PM84" s="30" t="str">
        <f>IFERROR(IF(DATA[[#This Row],[Other manager 3: Numbers employed (Full Time Equivalent)]]=0,"",DATA[[#This Row],[Other manager 3: Previous 2020/21 Maximum hourly pay rate ADJUSTED 2]]*DATA[[#This Row],[Other manager 3: Numbers employed (Full Time Equivalent)]]),"")</f>
        <v/>
      </c>
      <c r="PN84" s="30">
        <f>IFERROR(IF(DATA[[#This Row],[Care Assistant 1: Numbers employed (Full Time Equivalent)]]=0,"",DATA[[#This Row],[Care Assistant 1: Current 2021/22 Minimum hourly pay rate ADJUSTED 2]]*DATA[[#This Row],[Care Assistant 1: Numbers employed (Full Time Equivalent)]]),"")</f>
        <v>269.70000000000005</v>
      </c>
      <c r="PO84" s="30">
        <f>IFERROR(IF(DATA[[#This Row],[Care Assistant 1: Numbers employed (Full Time Equivalent)]]=0,"",DATA[[#This Row],[Care Assistant 1: Current 2021/22 Maximum hourly pay rate ADJUSTED 2]]*DATA[[#This Row],[Care Assistant 1: Numbers employed (Full Time Equivalent)]]),"")</f>
        <v>269.70000000000005</v>
      </c>
      <c r="PP84" s="30">
        <f>IFERROR(IF(DATA[[#This Row],[Care Assistant 1: Numbers employed (Full Time Equivalent)]]=0,"",DATA[[#This Row],[Care Assistant 1: Previous 2020/21 Minimum hourly pay rate ADJUSTED 2]]*DATA[[#This Row],[Care Assistant 1: Numbers employed (Full Time Equivalent)]]),"")</f>
        <v>258.68</v>
      </c>
      <c r="PQ84" s="30">
        <f>IFERROR(IF(DATA[[#This Row],[Care Assistant 1: Numbers employed (Full Time Equivalent)]]=0,"",DATA[[#This Row],[Care Assistant 1: Previous 2020/21 Maximum hourly pay rate ADJUSTED 2]]*DATA[[#This Row],[Care Assistant 1: Numbers employed (Full Time Equivalent)]]),"")</f>
        <v>258.68</v>
      </c>
      <c r="PR84" s="30">
        <f>IFERROR(IF(DATA[[#This Row],[Care Assistant 2: Numbers employed (Full Time Equivalent)]]=0,"",DATA[[#This Row],[Care Assistant 2: Current 2021/22 Minimum hourly pay rate ADJUSTED 2]]*DATA[[#This Row],[Care Assistant 2: Numbers employed (Full Time Equivalent)]]),"")</f>
        <v>69.3</v>
      </c>
      <c r="PS84" s="30">
        <f>IFERROR(IF(DATA[[#This Row],[Care Assistant 2: Numbers employed (Full Time Equivalent)]]=0,"",DATA[[#This Row],[Care Assistant 2: Current 2021/22 Maximum hourly pay rate ADJUSTED 2]]*DATA[[#This Row],[Care Assistant 2: Numbers employed (Full Time Equivalent)]]),"")</f>
        <v>69.3</v>
      </c>
      <c r="PT84" s="30">
        <f>IFERROR(IF(DATA[[#This Row],[Care Assistant 2: Numbers employed (Full Time Equivalent)]]=0,"",DATA[[#This Row],[Care Assistant 2: Previous 2020/21 Minimum hourly pay rate ADJUSTED 2]]*DATA[[#This Row],[Care Assistant 2: Numbers employed (Full Time Equivalent)]]),"")</f>
        <v>66.5</v>
      </c>
      <c r="PU84" s="30">
        <f>IFERROR(IF(DATA[[#This Row],[Care Assistant 2: Numbers employed (Full Time Equivalent)]]=0,"",DATA[[#This Row],[Care Assistant 2: Previous 2020/21 Maximum hourly pay rate ADJUSTED 2]]*DATA[[#This Row],[Care Assistant 2: Numbers employed (Full Time Equivalent)]]),"")</f>
        <v>66.5</v>
      </c>
      <c r="PV84" s="30" t="str">
        <f>IFERROR(IF(DATA[[#This Row],[Care Assistant 3: Numbers employed (Full Time Equivalent)]]=0,"",DATA[[#This Row],[Care Assistant 3: Current 2021/22 Minimum hourly pay rate ADJUSTED 2]]*DATA[[#This Row],[Care Assistant 3: Numbers employed (Full Time Equivalent)]]),"")</f>
        <v/>
      </c>
      <c r="PW84" s="30" t="str">
        <f>IFERROR(IF(DATA[[#This Row],[Care Assistant 3: Numbers employed (Full Time Equivalent)]]=0,"",DATA[[#This Row],[Care Assistant 3: Current 2021/22 Maximum hourly pay rate ADJUSTED 2]]*DATA[[#This Row],[Care Assistant 3: Numbers employed (Full Time Equivalent)]]),"")</f>
        <v/>
      </c>
      <c r="PX84" s="30" t="str">
        <f>IFERROR(IF(DATA[[#This Row],[Care Assistant 3: Numbers employed (Full Time Equivalent)]]=0,"",DATA[[#This Row],[Care Assistant 3: Previous 2020/21 Minimum hourly pay rate ADJUSTED 2]]*DATA[[#This Row],[Care Assistant 3: Numbers employed (Full Time Equivalent)]]),"")</f>
        <v/>
      </c>
      <c r="PY84" s="30" t="str">
        <f>IFERROR(IF(DATA[[#This Row],[Care Assistant 3: Numbers employed (Full Time Equivalent)]]=0,"",DATA[[#This Row],[Care Assistant 3: Previous 2020/21 Maximum hourly pay rate ADJUSTED 2]]*DATA[[#This Row],[Care Assistant 3: Numbers employed (Full Time Equivalent)]]),"")</f>
        <v/>
      </c>
      <c r="PZ84" s="30" t="str">
        <f>IFERROR(IF(DATA[[#This Row],[Care Assistant 4: Numbers employed (Full Time Equivalent)]]=0,"",DATA[[#This Row],[Care Assistant 4: Current 2021/22 Minimum hourly pay rate ADJUSTED 2]]*DATA[[#This Row],[Care Assistant 4: Numbers employed (Full Time Equivalent)]]),"")</f>
        <v/>
      </c>
      <c r="QA84" s="30" t="str">
        <f>IFERROR(IF(DATA[[#This Row],[Care Assistant 4: Numbers employed (Full Time Equivalent)]]=0,"",DATA[[#This Row],[Care Assistant 4: Current 2021/22 Maximum hourly pay rate ADJUSTED 2]]*DATA[[#This Row],[Care Assistant 4: Numbers employed (Full Time Equivalent)]]),"")</f>
        <v/>
      </c>
      <c r="QB84" s="30" t="str">
        <f>IFERROR(IF(DATA[[#This Row],[Care Assistant 4: Numbers employed (Full Time Equivalent)]]=0,"",DATA[[#This Row],[Care Assistant 4: Previous 2020/21 Minimum hourly pay rate ADJUSTED 2]]*DATA[[#This Row],[Care Assistant 4: Numbers employed (Full Time Equivalent)]]),"")</f>
        <v/>
      </c>
      <c r="QC84" s="30" t="str">
        <f>IFERROR(IF(DATA[[#This Row],[Care Assistant 4: Numbers employed (Full Time Equivalent)]]=0,"",DATA[[#This Row],[Care Assistant 4: Previous 2020/21 Maximum hourly pay rate ADJUSTED 2]]*DATA[[#This Row],[Care Assistant 4: Numbers employed (Full Time Equivalent)]]),"")</f>
        <v/>
      </c>
      <c r="QD84" s="30">
        <f>IFERROR(IF(DATA[[#This Row],[Administrative Officer 1: Numbers employed (Full Time Equivalent)]]=0,"",DATA[[#This Row],[Administrative Officer 1: Current 2021/22 Minimum hourly pay rate ADJUSTED 2]]*DATA[[#This Row],[Administrative Officer 1: Numbers employed (Full Time Equivalent)]]),"")</f>
        <v>9.74</v>
      </c>
      <c r="QE84" s="30">
        <f>IFERROR(IF(DATA[[#This Row],[Administrative Officer 1: Numbers employed (Full Time Equivalent)]]=0,"",DATA[[#This Row],[Administrative Officer 1: Current 2021/22 Maximum hourly pay rate ADJUSTED 2]]*DATA[[#This Row],[Administrative Officer 1: Numbers employed (Full Time Equivalent)]]),"")</f>
        <v>9.74</v>
      </c>
      <c r="QF84" s="30">
        <f>IFERROR(IF(DATA[[#This Row],[Administrative Officer 1: Numbers employed (Full Time Equivalent)]]=0,"",DATA[[#This Row],[Administrative Officer 1: Previous 2020/21 Minimum hourly pay rate ADJUSTED 2]]*DATA[[#This Row],[Administrative Officer 1: Numbers employed (Full Time Equivalent)]]),"")</f>
        <v>9.6300000000000008</v>
      </c>
      <c r="QG84" s="30">
        <f>IFERROR(IF(DATA[[#This Row],[Administrative Officer 1: Numbers employed (Full Time Equivalent)]]=0,"",DATA[[#This Row],[Administrative Officer 1: Previous 2020/21 Maximum hourly pay rate ADJUSTED 2]]*DATA[[#This Row],[Administrative Officer 1: Numbers employed (Full Time Equivalent)]]),"")</f>
        <v>9</v>
      </c>
      <c r="QH84" s="30" t="str">
        <f>IFERROR(IF(DATA[[#This Row],[Administrative Officer 2: Numbers employed (Full Time Equivalent)]]=0,"",DATA[[#This Row],[Administrative Officer 2: Current 2021/22 Minimum hourly pay rate ADJUSTED 2]]*DATA[[#This Row],[Administrative Officer 2: Numbers employed (Full Time Equivalent)]]),"")</f>
        <v/>
      </c>
      <c r="QI84" s="30" t="str">
        <f>IFERROR(IF(DATA[[#This Row],[Administrative Officer 2: Numbers employed (Full Time Equivalent)]]=0,"",DATA[[#This Row],[Administrative Officer 2: Current 2021/22 Maximum hourly pay rate ADJUSTED 2]]*DATA[[#This Row],[Administrative Officer 2: Numbers employed (Full Time Equivalent)]]),"")</f>
        <v/>
      </c>
      <c r="QJ84" s="30" t="str">
        <f>IFERROR(IF(DATA[[#This Row],[Administrative Officer 2: Numbers employed (Full Time Equivalent)]]=0,"",DATA[[#This Row],[Administrative Officer 2: Previous 2020/21 Minimum hourly pay rate ADJUSTED 2]]*DATA[[#This Row],[Administrative Officer 2: Numbers employed (Full Time Equivalent)]]),"")</f>
        <v/>
      </c>
      <c r="QK84" s="30" t="str">
        <f>IFERROR(IF(DATA[[#This Row],[Administrative Officer 2: Numbers employed (Full Time Equivalent)]]=0,"",DATA[[#This Row],[Administrative Officer 2: Previous 2020/21 Maximum hourly pay rate ADJUSTED 2]]*DATA[[#This Row],[Administrative Officer 2: Numbers employed (Full Time Equivalent)]]),"")</f>
        <v/>
      </c>
      <c r="QL84" s="30" t="str">
        <f>IFERROR(IF(DATA[[#This Row],[Administrative Officer 3: Numbers employed (Full Time Equivalent)]]=0,"",DATA[[#This Row],[Administrative Officer 3: Current 2021/22 Minimum hourly pay rate ADJUSTED 2]]*DATA[[#This Row],[Administrative Officer 3: Numbers employed (Full Time Equivalent)]]),"")</f>
        <v/>
      </c>
      <c r="QM84" s="30" t="str">
        <f>IFERROR(IF(DATA[[#This Row],[Administrative Officer 3: Numbers employed (Full Time Equivalent)]]=0,"",DATA[[#This Row],[Administrative Officer 3: Current 2021/22 Maximum hourly pay rate ADJUSTED 2]]*DATA[[#This Row],[Administrative Officer 3: Numbers employed (Full Time Equivalent)]]),"")</f>
        <v/>
      </c>
      <c r="QN84" s="30" t="str">
        <f>IFERROR(IF(DATA[[#This Row],[Administrative Officer 3: Numbers employed (Full Time Equivalent)]]=0,"",DATA[[#This Row],[Administrative Officer 3: Previous 2020/21 Minimum hourly pay rate ADJUSTED 2]]*DATA[[#This Row],[Administrative Officer 3: Numbers employed (Full Time Equivalent)]]),"")</f>
        <v/>
      </c>
      <c r="QO84" s="30" t="str">
        <f>IFERROR(IF(DATA[[#This Row],[Administrative Officer 3: Numbers employed (Full Time Equivalent)]]=0,"",DATA[[#This Row],[Administrative Officer 3: Previous 2020/21 Maximum hourly pay rate ADJUSTED 2]]*DATA[[#This Row],[Administrative Officer 3: Numbers employed (Full Time Equivalent)]]),"")</f>
        <v/>
      </c>
      <c r="QP84" s="28" t="str">
        <f>IFERROR(IF(DATA[[#This Row],[Other staff 1: Numbers employed (Full Time Equivalent)]]=0,"",DATA[[#This Row],[Other staff 1: Current 2021/22 Minimum hourly pay rate ADJUSTED 2]]*DATA[[#This Row],[Other staff 1: Numbers employed (Full Time Equivalent)]]),"")</f>
        <v/>
      </c>
      <c r="QQ84" s="28" t="str">
        <f>IFERROR(IF(DATA[[#This Row],[Other staff 1: Numbers employed (Full Time Equivalent)]]=0,"",DATA[[#This Row],[Other staff 1: Current 2021/22 Maximum hourly pay rate ADJUSTED 2]]*DATA[[#This Row],[Other staff 1: Numbers employed (Full Time Equivalent)]]),"")</f>
        <v/>
      </c>
      <c r="QR84" s="28" t="str">
        <f>IFERROR(IF(DATA[[#This Row],[Other staff 1: Numbers employed (Full Time Equivalent)]]=0,"",DATA[[#This Row],[Other staff 1: Previous 2020/21 Minimum hourly pay rate ADJUSTED 2]]*DATA[[#This Row],[Other staff 1: Numbers employed (Full Time Equivalent)]]),"")</f>
        <v/>
      </c>
      <c r="QS84" s="28" t="str">
        <f>IFERROR(IF(DATA[[#This Row],[Other staff 1: Numbers employed (Full Time Equivalent)]]=0,"",DATA[[#This Row],[Other staff 1: Previous 2020/21 Maximum hourly pay rate ADJUSTED 2]]*DATA[[#This Row],[Other staff 1: Numbers employed (Full Time Equivalent)]]),"")</f>
        <v/>
      </c>
      <c r="QT84" s="28" t="str">
        <f>IFERROR(IF(DATA[[#This Row],[Other staff 2: Numbers employed (Full Time Equivalent)]]=0,"",DATA[[#This Row],[Other staff 2: Current 2021/22 Minimum hourly pay rate ADJUSTED 2]]*DATA[[#This Row],[Other staff 2: Numbers employed (Full Time Equivalent)]]),"")</f>
        <v/>
      </c>
      <c r="QU84" s="28" t="str">
        <f>IFERROR(IF(DATA[[#This Row],[Other staff 2: Numbers employed (Full Time Equivalent)]]=0,"",DATA[[#This Row],[Other staff 2: Current 2021/22 Maximum hourly pay rate ADJUSTED 2]]*DATA[[#This Row],[Other staff 2: Numbers employed (Full Time Equivalent)]]),"")</f>
        <v/>
      </c>
      <c r="QV84" s="28" t="str">
        <f>IFERROR(IF(DATA[[#This Row],[Other staff 2: Numbers employed (Full Time Equivalent)]]=0,"",DATA[[#This Row],[Other staff 2: Previous 2020/21 Minimum hourly pay rate ADJUSTED 2]]*DATA[[#This Row],[Other staff 2: Numbers employed (Full Time Equivalent)]]),"")</f>
        <v/>
      </c>
      <c r="QW84" s="28" t="str">
        <f>IFERROR(IF(DATA[[#This Row],[Other staff 2: Numbers employed (Full Time Equivalent)]]=0,"",DATA[[#This Row],[Other staff 2: Previous 2020/21 Maximum hourly pay rate ADJUSTED 2]]*DATA[[#This Row],[Other staff 2: Numbers employed (Full Time Equivalent)]]),"")</f>
        <v/>
      </c>
      <c r="QX84" s="28" t="str">
        <f>IFERROR(IF(DATA[[#This Row],[Other staff 3: Numbers employed (Full Time Equivalent)]]=0,"",DATA[[#This Row],[Other staff 3: Current 2021/22 Minimum hourly pay rate ADJUSTED 2]]*DATA[[#This Row],[Other staff 3: Numbers employed (Full Time Equivalent)]]),"")</f>
        <v/>
      </c>
      <c r="QY84" s="28" t="str">
        <f>IFERROR(IF(DATA[[#This Row],[Other staff 3: Numbers employed (Full Time Equivalent)]]=0,"",DATA[[#This Row],[Other staff 3: Current 2021/22 Maximum hourly pay rate ADJUSTED 2]]*DATA[[#This Row],[Other staff 3: Numbers employed (Full Time Equivalent)]]),"")</f>
        <v/>
      </c>
      <c r="QZ84" s="28" t="str">
        <f>IFERROR(IF(DATA[[#This Row],[Other staff 3: Numbers employed (Full Time Equivalent)]]=0,"",DATA[[#This Row],[Other staff 3: Previous 2020/21 Minimum hourly pay rate ADJUSTED 2]]*DATA[[#This Row],[Other staff 3: Numbers employed (Full Time Equivalent)]]),"")</f>
        <v/>
      </c>
      <c r="RA84" s="28" t="str">
        <f>IFERROR(IF(DATA[[#This Row],[Other staff 3: Numbers employed (Full Time Equivalent)]]=0,"",DATA[[#This Row],[Other staff 3: Previous 2020/21 Maximum hourly pay rate ADJUSTED 2]]*DATA[[#This Row],[Other staff 3: Numbers employed (Full Time Equivalent)]]),"")</f>
        <v/>
      </c>
      <c r="RB84"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84"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2</v>
      </c>
      <c r="RD84"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84"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84"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84"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29</v>
      </c>
      <c r="RH84"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7</v>
      </c>
      <c r="RI84"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84"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84"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1</v>
      </c>
      <c r="RL84"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84"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84"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84"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84"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85" spans="3:484" x14ac:dyDescent="0.25">
      <c r="C85" s="20"/>
      <c r="G85" s="2">
        <v>79</v>
      </c>
      <c r="H85" s="2">
        <v>0</v>
      </c>
      <c r="I85" s="2">
        <v>0</v>
      </c>
      <c r="M85" s="2" t="s">
        <v>328</v>
      </c>
      <c r="R85" s="2">
        <v>17</v>
      </c>
      <c r="S85" s="2">
        <v>22</v>
      </c>
      <c r="T85" s="2">
        <v>0</v>
      </c>
      <c r="U85" s="2">
        <v>0</v>
      </c>
      <c r="V85" s="2">
        <v>0</v>
      </c>
      <c r="W85" s="2">
        <v>0</v>
      </c>
      <c r="X85" s="2">
        <v>0</v>
      </c>
      <c r="Y85" s="2">
        <v>0</v>
      </c>
      <c r="Z85" s="2">
        <v>0</v>
      </c>
      <c r="AA85" s="2">
        <v>0</v>
      </c>
      <c r="AB85" s="2" t="s">
        <v>315</v>
      </c>
      <c r="AC85" s="2">
        <v>0</v>
      </c>
      <c r="AD85" s="2">
        <v>0</v>
      </c>
      <c r="AE85" s="2">
        <v>0</v>
      </c>
      <c r="AF85" s="2">
        <v>0</v>
      </c>
      <c r="AG85" s="2">
        <v>0</v>
      </c>
      <c r="AH85" s="2" t="s">
        <v>315</v>
      </c>
      <c r="AI85" s="2">
        <v>0</v>
      </c>
      <c r="AJ85" s="2">
        <v>0</v>
      </c>
      <c r="AK85" s="2">
        <v>0</v>
      </c>
      <c r="AL85" s="2">
        <v>0</v>
      </c>
      <c r="AM85" s="2">
        <v>0</v>
      </c>
      <c r="AN85" s="2" t="s">
        <v>315</v>
      </c>
      <c r="AO85" s="2">
        <v>0</v>
      </c>
      <c r="AP85" s="2">
        <v>0</v>
      </c>
      <c r="AQ85" s="2">
        <v>0</v>
      </c>
      <c r="AR85" s="2">
        <v>0</v>
      </c>
      <c r="AS85" s="2">
        <v>0</v>
      </c>
      <c r="AT85" s="2" t="s">
        <v>316</v>
      </c>
      <c r="AU85" s="2">
        <v>8.5</v>
      </c>
      <c r="AV85" s="2">
        <v>11</v>
      </c>
      <c r="AW85" s="2">
        <v>0</v>
      </c>
      <c r="AX85" s="2">
        <v>0</v>
      </c>
      <c r="AY85" s="2">
        <v>0</v>
      </c>
      <c r="AZ85" s="2" t="s">
        <v>316</v>
      </c>
      <c r="BA85" s="2">
        <v>0</v>
      </c>
      <c r="BB85" s="2">
        <v>0</v>
      </c>
      <c r="BC85" s="2">
        <v>0</v>
      </c>
      <c r="BD85" s="2">
        <v>0</v>
      </c>
      <c r="BE85" s="2">
        <v>0</v>
      </c>
      <c r="BF85" s="2" t="s">
        <v>316</v>
      </c>
      <c r="BG85" s="2">
        <v>0</v>
      </c>
      <c r="BH85" s="2">
        <v>0</v>
      </c>
      <c r="BI85" s="2">
        <v>0</v>
      </c>
      <c r="BJ85" s="2">
        <v>0</v>
      </c>
      <c r="BK85" s="2">
        <v>0</v>
      </c>
      <c r="BL85" s="2" t="s">
        <v>316</v>
      </c>
      <c r="BM85" s="2">
        <v>0</v>
      </c>
      <c r="BN85" s="2">
        <v>0</v>
      </c>
      <c r="BO85" s="2">
        <v>0</v>
      </c>
      <c r="BP85" s="2">
        <v>0</v>
      </c>
      <c r="BQ85" s="2">
        <v>0</v>
      </c>
      <c r="BR85" s="2" t="s">
        <v>317</v>
      </c>
      <c r="BS85" s="2">
        <v>13</v>
      </c>
      <c r="BT85" s="2">
        <v>130</v>
      </c>
      <c r="BU85" s="2">
        <v>0</v>
      </c>
      <c r="BV85" s="2">
        <v>0</v>
      </c>
      <c r="BW85" s="2">
        <v>0</v>
      </c>
      <c r="BX85" s="2" t="s">
        <v>317</v>
      </c>
      <c r="BY85" s="2">
        <v>0</v>
      </c>
      <c r="BZ85" s="2">
        <v>0</v>
      </c>
      <c r="CA85" s="2">
        <v>0</v>
      </c>
      <c r="CB85" s="2">
        <v>0</v>
      </c>
      <c r="CC85" s="2">
        <v>0</v>
      </c>
      <c r="CD85" s="2" t="s">
        <v>317</v>
      </c>
      <c r="CE85" s="2">
        <v>0</v>
      </c>
      <c r="CF85" s="2">
        <v>0</v>
      </c>
      <c r="CG85" s="2">
        <v>0</v>
      </c>
      <c r="CH85" s="2">
        <v>0</v>
      </c>
      <c r="CI85" s="2">
        <v>0</v>
      </c>
      <c r="CJ85" s="2" t="s">
        <v>318</v>
      </c>
      <c r="CK85" s="2">
        <v>0</v>
      </c>
      <c r="CL85" s="2">
        <v>0</v>
      </c>
      <c r="CM85" s="2">
        <v>0</v>
      </c>
      <c r="CN85" s="2">
        <v>0</v>
      </c>
      <c r="CO85" s="2">
        <v>0</v>
      </c>
      <c r="CP85" s="2" t="s">
        <v>318</v>
      </c>
      <c r="CQ85" s="2">
        <v>0</v>
      </c>
      <c r="CR85" s="2">
        <v>0</v>
      </c>
      <c r="CS85" s="2">
        <v>0</v>
      </c>
      <c r="CT85" s="2">
        <v>0</v>
      </c>
      <c r="CU85" s="2">
        <v>0</v>
      </c>
      <c r="CV85" s="2" t="s">
        <v>318</v>
      </c>
      <c r="CW85" s="2">
        <v>0</v>
      </c>
      <c r="CX85" s="2">
        <v>0</v>
      </c>
      <c r="CY85" s="2">
        <v>0</v>
      </c>
      <c r="CZ85" s="2">
        <v>0</v>
      </c>
      <c r="DA85" s="2">
        <v>0</v>
      </c>
      <c r="DB85" s="2">
        <v>0.03</v>
      </c>
      <c r="DC85" s="2">
        <v>0</v>
      </c>
      <c r="DD85" s="2">
        <v>0</v>
      </c>
      <c r="DE85" s="2">
        <v>0</v>
      </c>
      <c r="DF85" s="2">
        <v>0</v>
      </c>
      <c r="DG85" s="2">
        <v>0</v>
      </c>
      <c r="DH85" s="2">
        <v>0</v>
      </c>
      <c r="DI85" s="2">
        <v>0</v>
      </c>
      <c r="DJ85" s="2">
        <v>0</v>
      </c>
      <c r="DK85" s="2">
        <v>0</v>
      </c>
      <c r="DL85" s="2">
        <v>0</v>
      </c>
      <c r="DM85" s="2">
        <v>0</v>
      </c>
      <c r="DN85" s="2">
        <v>0</v>
      </c>
      <c r="DO85" s="2">
        <v>0</v>
      </c>
      <c r="DP85" s="2">
        <v>0</v>
      </c>
      <c r="DQ85" s="2">
        <v>0</v>
      </c>
      <c r="DR85" s="18" t="s">
        <v>585</v>
      </c>
      <c r="DS85" s="18" t="s">
        <v>585</v>
      </c>
      <c r="DT85" s="2">
        <v>0</v>
      </c>
      <c r="DU85" s="2">
        <v>0</v>
      </c>
      <c r="DV85" s="2">
        <v>0</v>
      </c>
      <c r="DW85" s="2">
        <v>0</v>
      </c>
      <c r="DX85" s="2">
        <v>0</v>
      </c>
      <c r="DY85" s="2">
        <v>0</v>
      </c>
      <c r="DZ85" s="2">
        <v>0</v>
      </c>
      <c r="EA85" s="2">
        <v>0</v>
      </c>
      <c r="EB85" s="2">
        <v>0</v>
      </c>
      <c r="EC85" s="2">
        <v>0</v>
      </c>
      <c r="ED85" s="2">
        <v>0</v>
      </c>
      <c r="EE85" s="2">
        <v>0</v>
      </c>
      <c r="EF85" s="2">
        <v>0</v>
      </c>
      <c r="EG85" s="2">
        <v>0</v>
      </c>
      <c r="EH85" s="2" t="s">
        <v>324</v>
      </c>
      <c r="EI85" s="2">
        <v>0</v>
      </c>
      <c r="EJ85" s="2" t="s">
        <v>324</v>
      </c>
      <c r="EK85" s="2">
        <v>0</v>
      </c>
      <c r="EL85" s="2">
        <v>0</v>
      </c>
      <c r="EM85" s="2">
        <v>0</v>
      </c>
      <c r="EN85" s="2">
        <v>0</v>
      </c>
      <c r="EO85" s="2">
        <v>0</v>
      </c>
      <c r="EP85" s="2">
        <v>0</v>
      </c>
      <c r="EQ85" s="2">
        <v>0</v>
      </c>
      <c r="ER85" s="2">
        <v>0</v>
      </c>
      <c r="ES85" s="2">
        <v>0</v>
      </c>
      <c r="ET85" s="2" t="s">
        <v>324</v>
      </c>
      <c r="EU85" s="2">
        <v>0</v>
      </c>
      <c r="EV85" s="2" t="s">
        <v>324</v>
      </c>
      <c r="EW85" s="2">
        <v>0</v>
      </c>
      <c r="EX85" s="2">
        <v>0</v>
      </c>
      <c r="EY85" s="2">
        <v>0</v>
      </c>
      <c r="EZ85" s="2" t="s">
        <v>326</v>
      </c>
      <c r="FA85" s="2">
        <v>0</v>
      </c>
      <c r="FB85" s="2" t="s">
        <v>326</v>
      </c>
      <c r="FC85" s="2">
        <v>0</v>
      </c>
      <c r="FD85" s="2"/>
      <c r="FE85" s="2">
        <v>0</v>
      </c>
      <c r="FF85" s="2">
        <v>0</v>
      </c>
      <c r="FG85" s="2"/>
      <c r="FH85" s="19">
        <v>44480.627974537034</v>
      </c>
      <c r="FI85" s="2" t="s">
        <v>345</v>
      </c>
      <c r="FJ85" s="2">
        <f>SUM(DATA[[#This Row],[Number of Home support clients:]],DATA[[#This Row],[Number of supported living clients:]])</f>
        <v>0</v>
      </c>
      <c r="FK85" s="2">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0</v>
      </c>
      <c r="FL85"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17</v>
      </c>
      <c r="FM85"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22</v>
      </c>
      <c r="FN85" s="2"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85" s="2"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85"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85"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85"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85"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85" s="2"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85" s="2"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85" s="2"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85" s="2"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85"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85"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85"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85"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85"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85"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85"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85"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85"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8.5</v>
      </c>
      <c r="GG85"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11</v>
      </c>
      <c r="GH85" s="2" t="str">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
      </c>
      <c r="GI85" s="2" t="str">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
      </c>
      <c r="GJ85"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85"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85"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85"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85"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85"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85"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85"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85"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85"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85"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85"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85"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13</v>
      </c>
      <c r="GW85"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130</v>
      </c>
      <c r="GX85" s="2"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85" s="2"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85"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85"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85"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85"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85"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85"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85"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85"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85" s="2"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85" s="2"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85" s="2"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85" s="2"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85" s="2"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85" s="2"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85" s="2"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85" s="2"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85"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85"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85"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85"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85"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17</v>
      </c>
      <c r="HU85"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22</v>
      </c>
      <c r="HV85"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17</v>
      </c>
      <c r="HW85"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22</v>
      </c>
      <c r="HX85"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85"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85"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85"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85" s="2"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85" s="2"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85" s="2"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85" s="2"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85"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85"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85"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85"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85"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85"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85"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85"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85"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8.5</v>
      </c>
      <c r="IO85"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11</v>
      </c>
      <c r="IP85"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8.5</v>
      </c>
      <c r="IQ85"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11</v>
      </c>
      <c r="IR85"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85"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85"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85"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85"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85"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85"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85"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85"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85"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85"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85"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85"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13</v>
      </c>
      <c r="JE85"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130</v>
      </c>
      <c r="JF85"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13</v>
      </c>
      <c r="JG85"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130</v>
      </c>
      <c r="JH85"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85"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85"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85"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85"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85"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85"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85"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85" s="2"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85" s="2"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85" s="2"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85" s="2"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85" s="2"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85" s="2"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85" s="2"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85" s="2"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85"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85"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85"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85"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85"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0</v>
      </c>
      <c r="KC85" s="21">
        <f>SUM(DATA[[#This Row],[Care Assistant 1: Numbers employed (Full Time Equivalent)]],DATA[[#This Row],[Care Assistant 2: Numbers employed (Full Time Equivalent)]],DATA[[#This Row],[Care Assistant 3: Numbers employed (Full Time Equivalent)]],DATA[[#This Row],[Care Assistant 4: Numbers employed (Full Time Equivalent)]])</f>
        <v>0</v>
      </c>
      <c r="KD85" s="21">
        <f>SUM(DATA[[#This Row],[Administrative Officer 1: Numbers employed (Full Time Equivalent)]],DATA[[#This Row],[Administrative Officer 2: Numbers employed (Full Time Equivalent)]])</f>
        <v>0</v>
      </c>
      <c r="KE85" s="21">
        <f>SUM(DATA[[#This Row],[Other staff 1: Numbers employed (Full Time Equivalent)]],DATA[[#This Row],[Other staff 2: Numbers employed (Full Time Equivalent)]],DATA[[#This Row],[Other staff 3: Numbers employed (Full Time Equivalent)]])</f>
        <v>0</v>
      </c>
      <c r="KF85" s="21">
        <f>SUM(DATA[[#This Row],[Total FTE Management Employees]:[Total FTE Other Employees]])</f>
        <v>0</v>
      </c>
      <c r="KG85" s="21" t="str">
        <f>IF(SUM(DATA[[#This Row],[Home Support service split percentage (Expenditure):]],DATA[[#This Row],[Supported Living service split percentage (Expenditure):]])&gt;0, IF(DATA[[#This Row],[Home Support service split percentage (Expenditure):]]&gt;0.5,"Home Support","Supported Living"), "Unknown")</f>
        <v>Unknown</v>
      </c>
      <c r="KH85" s="21">
        <f>SUM(DATA[[#This Row],[Home Support: Birmingham City Council]:[Home Support: Self-funded]])</f>
        <v>0</v>
      </c>
      <c r="KI85" s="21">
        <f>SUM(DATA[[#This Row],[Supported Living: Birmingham City Council]:[Supported Living: Self-funded]])</f>
        <v>0</v>
      </c>
      <c r="KJ85"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85"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85"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85"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85" s="21" t="b">
        <f>SUM(DATA[[#This Row],[Number of hours of care charged for in last full accounting year]:[Corporate Overheads: Other  - please specify (category) 1]])&gt;0</f>
        <v>0</v>
      </c>
      <c r="KO85" s="21">
        <f>SUM(DATA[[#This Row],[Total annual expenditure: Management staff]:[Total annual expenditure: Training and development]])</f>
        <v>0</v>
      </c>
      <c r="KP85" s="21">
        <f>SUM(DATA[[#This Row],[Recruitment &amp; advertising (including DBS checks)]:[Non-Staffing Direct Cost: Other  - please specify (amount) 2]])</f>
        <v>0</v>
      </c>
      <c r="KQ85" s="21">
        <f>SUM(DATA[[#This Row],[Insurance ]:[Indirect costs: Other 2 - please specify (amount)]])</f>
        <v>0</v>
      </c>
      <c r="KR85" s="21">
        <f>SUM(DATA[[#This Row],[Central / Regional Management]],DATA[[#This Row],[Support Services (finance / HR / Payroll / legal etc.)]],DATA[[#This Row],[Corporate Overheads: Other  - please specify (amount) 1]],DATA[[#This Row],[Corporate Overheads: Other  - please specify (amount) 2]])</f>
        <v>0</v>
      </c>
      <c r="KS85"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85"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85"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85"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85"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85"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85"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85"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85"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85"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85" s="30">
        <f>IF(OR(NOT(DATA[[#This Row],[Care consumables &amp; uniforms]]&gt;0),NOT(DATA[[#This Row],[Number of hours of care charged for in last full accounting year]]&gt;0)),0,DATA[[#This Row],[Care consumables &amp; uniforms]]/DATA[[#This Row],[Number of hours of care charged for in last full accounting year]])</f>
        <v>0</v>
      </c>
      <c r="LD85" s="30">
        <f>IF(OR(NOT(DATA[[#This Row],[Electronic call monitoring]]&gt;0),NOT(DATA[[#This Row],[Number of hours of care charged for in last full accounting year]]&gt;0)),0,DATA[[#This Row],[Electronic call monitoring]]/DATA[[#This Row],[Number of hours of care charged for in last full accounting year]])</f>
        <v>0</v>
      </c>
      <c r="LE85" s="30">
        <f>IF(OR(NOT(DATA[[#This Row],[IT Equipment &amp; Telephoney]]&gt;0),NOT(DATA[[#This Row],[Number of hours of care charged for in last full accounting year]]&gt;0)),0,DATA[[#This Row],[IT Equipment &amp; Telephoney]]/DATA[[#This Row],[Number of hours of care charged for in last full accounting year]])</f>
        <v>0</v>
      </c>
      <c r="LF85"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85"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5" s="30">
        <f>IF(OR(NOT(DATA[[#This Row],[Insurance ]]&gt;0),NOT(DATA[[#This Row],[Number of hours of care charged for in last full accounting year]]&gt;0)),0,DATA[[#This Row],[Insurance ]]/DATA[[#This Row],[Number of hours of care charged for in last full accounting year]])</f>
        <v>0</v>
      </c>
      <c r="LI85"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85" s="30">
        <f>IF(OR(NOT(DATA[[#This Row],[Repairs and maintenance]]&gt;0),NOT(DATA[[#This Row],[Number of hours of care charged for in last full accounting year]]&gt;0)),0,DATA[[#This Row],[Repairs and maintenance]]/DATA[[#This Row],[Number of hours of care charged for in last full accounting year]])</f>
        <v>0</v>
      </c>
      <c r="LK85"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85" s="30">
        <f>IF(OR(NOT(DATA[[#This Row],[Registration &amp; Inspection fees ]]&gt;0),NOT(DATA[[#This Row],[Number of hours of care charged for in last full accounting year]]&gt;0)),0,DATA[[#This Row],[Registration &amp; Inspection fees ]]/DATA[[#This Row],[Number of hours of care charged for in last full accounting year]])</f>
        <v>0</v>
      </c>
      <c r="LM85" s="30">
        <f>IF(OR(NOT(DATA[[#This Row],[Subscriptions]]&gt;0),NOT(DATA[[#This Row],[Number of hours of care charged for in last full accounting year]]&gt;0)),0,DATA[[#This Row],[Subscriptions]]/DATA[[#This Row],[Number of hours of care charged for in last full accounting year]])</f>
        <v>0</v>
      </c>
      <c r="LN85" s="30">
        <f>IF(OR(NOT(DATA[[#This Row],[Cost of finance]]&gt;0),NOT(DATA[[#This Row],[Number of hours of care charged for in last full accounting year]]&gt;0)),0,DATA[[#This Row],[Cost of finance]]/DATA[[#This Row],[Number of hours of care charged for in last full accounting year]])</f>
        <v>0</v>
      </c>
      <c r="LO85" s="30">
        <f>IF(OR(NOT(DATA[[#This Row],[Other non-staff current expenses]]&gt;0),NOT(DATA[[#This Row],[Number of hours of care charged for in last full accounting year]]&gt;0)),0,DATA[[#This Row],[Other non-staff current expenses]]/DATA[[#This Row],[Number of hours of care charged for in last full accounting year]])</f>
        <v>0</v>
      </c>
      <c r="LP85"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85"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85" s="30">
        <f>IF(OR(NOT(DATA[[#This Row],[Central / Regional Management]]&gt;0),NOT(DATA[[#This Row],[Number of hours of care charged for in last full accounting year]]&gt;0)),0,DATA[[#This Row],[Central / Regional Management]]/DATA[[#This Row],[Number of hours of care charged for in last full accounting year]])</f>
        <v>0</v>
      </c>
      <c r="LS85"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85"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5"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5" s="30">
        <f>SUM(DATA[[#This Row],[Management staff HOURLY RATE]:[Corporate Overheads: Other  - please specify (amount) 2 HOURLY RATE]])</f>
        <v>0</v>
      </c>
      <c r="LW85" s="30" t="str">
        <f>IF(OR(NOT(DATA[[#This Row],[Net Operating Profit]]&gt;0),NOT(DATA[[#This Row],[Number of hours of care charged for in last full accounting year]]&gt;0)),"",DATA[[#This Row],[Net Operating Profit]]/DATA[[#This Row],[Number of hours of care charged for in last full accounting year]])</f>
        <v/>
      </c>
      <c r="LX85" s="30">
        <f>IF(OR(NOT(DATA[[#This Row],[Return on Capital employed]]&gt;0),NOT(DATA[[#This Row],[Number of hours of care charged for in last full accounting year]]&gt;0)),0,DATA[[#This Row],[Return on Capital employed]]/DATA[[#This Row],[Number of hours of care charged for in last full accounting year]])</f>
        <v>0</v>
      </c>
      <c r="LY85" s="31">
        <v>80</v>
      </c>
      <c r="LZ85" s="30" t="s">
        <v>345</v>
      </c>
      <c r="MA85" s="30" t="b">
        <f>DATA[[#This Row],[Number of Home support clients:]]&gt;0</f>
        <v>0</v>
      </c>
      <c r="MB85" s="30" t="b">
        <f>DATA[[#This Row],[Number of supported living clients:]]&gt;0</f>
        <v>0</v>
      </c>
      <c r="MC85" s="30" t="b">
        <f>DATA[[#This Row],[Total Home Support Hours]]&gt;0</f>
        <v>0</v>
      </c>
      <c r="MD85" s="30" t="b">
        <f>DATA[[#This Row],[Total Supported Living Hours]]&gt;0</f>
        <v>0</v>
      </c>
      <c r="ME85" s="30" t="b">
        <f>DATA[[#This Row],[Home Support service split percentage (Expenditure):]]&gt;0.5</f>
        <v>0</v>
      </c>
      <c r="MF85" s="30" t="b">
        <f>DATA[[#This Row],[Agency staff HOURLY RATE]]=0</f>
        <v>1</v>
      </c>
      <c r="MG85"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5" s="30" t="str">
        <f>IFERROR(IF(AVERAGE(DATA[[#This Row],[Deputy manager: Current 2021/22 Minimum hourly pay rate ADJUSTED]],DATA[[#This Row],[Deputy manager: Current 2021/22 Maximum hourly pay rate ADJUSTED]])&lt;LIVING_WAGE_22_23,DATA[[#This Row],[Deputy manager: Numbers employed (Full Time Equivalent)]],0),"")</f>
        <v/>
      </c>
      <c r="MI85" s="30" t="str">
        <f>IFERROR(IF(AVERAGE(DATA[[#This Row],[Other manager 1: Current 2021/22 Minimum hourly pay rate ADJUSTED]],DATA[[#This Row],[Other manager 1: Current 2021/22 Maximum hourly pay rate ADJUSTED]])&lt;LIVING_WAGE_22_23,DATA[[#This Row],[Other manager 1: Numbers employed (Full Time Equivalent)]],0),"")</f>
        <v/>
      </c>
      <c r="MJ85" s="30" t="str">
        <f>IFERROR(IF(AVERAGE(DATA[[#This Row],[Other manager 2: Current 2021/22 Minimum hourly pay rate ADJUSTED]],DATA[[#This Row],[Other manager 2: Current 2021/22 Maximum hourly pay rate ADJUSTED]])&lt;LIVING_WAGE_22_23,DATA[[#This Row],[Other manager 2: Numbers employed (Full Time Equivalent)]],0),"")</f>
        <v/>
      </c>
      <c r="MK85" s="30" t="str">
        <f>IFERROR(IF(AVERAGE(DATA[[#This Row],[Other manager 3: Current 2021/22 Minimum hourly pay rate ADJUSTED]],DATA[[#This Row],[Other manager 3: Current 2021/22 Maximum hourly pay rate ADJUSTED]])&lt;LIVING_WAGE_22_23,DATA[[#This Row],[Other manager 3: Numbers employed (Full Time Equivalent)]],0),"")</f>
        <v/>
      </c>
      <c r="ML85" s="30">
        <f>IFERROR(IF(AVERAGE(DATA[[#This Row],[Care Assistant 1: Current 2021/22 Minimum hourly pay rate ADJUSTED]],DATA[[#This Row],[Care Assistant 1: Current 2021/22 Maximum hourly pay rate ADJUSTED]])&lt;LIVING_WAGE_22_23,DATA[[#This Row],[Care Assistant 1: Numbers employed (Full Time Equivalent)]],0),"")</f>
        <v>0</v>
      </c>
      <c r="MM85" s="30" t="str">
        <f>IFERROR(IF(AVERAGE(DATA[[#This Row],[Care Assistant 2: Current 2021/22 Minimum hourly pay rate ADJUSTED]],DATA[[#This Row],[Care Assistant 2: Current 2021/22 Maximum hourly pay rate ADJUSTED]])&lt;LIVING_WAGE_22_23,DATA[[#This Row],[Care Assistant 2: Numbers employed (Full Time Equivalent)]],0),"")</f>
        <v/>
      </c>
      <c r="MN85" s="30" t="str">
        <f>IFERROR(IF(AVERAGE(DATA[[#This Row],[Care Assistant 3: Current 2021/22 Minimum hourly pay rate ADJUSTED]],DATA[[#This Row],[Care Assistant 3: Current 2021/22 Maximum hourly pay rate ADJUSTED]])&lt;LIVING_WAGE_22_23,DATA[[#This Row],[Care Assistant 3: Numbers employed (Full Time Equivalent)]],0),"")</f>
        <v/>
      </c>
      <c r="MO85" s="30" t="str">
        <f>IFERROR(IF(AVERAGE(DATA[[#This Row],[Care Assistant 4: Current 2021/22 Minimum hourly pay rate ADJUSTED]],DATA[[#This Row],[Care Assistant 4: Current 2021/22 Maximum hourly pay rate ADJUSTED]])&lt;LIVING_WAGE_22_23,DATA[[#This Row],[Care Assistant 4: Numbers employed (Full Time Equivalent)]],0),"")</f>
        <v/>
      </c>
      <c r="MP85"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85"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85" s="30" t="str">
        <f>IFERROR(IF(AVERAGE(DATA[[#This Row],[Other staff 1: Current 2021/22 Minimum hourly pay rate ADJUSTED]],DATA[[#This Row],[Other staff 1: Current 2021/22 Maximum hourly pay rate ADJUSTED]])&lt;LIVING_WAGE_22_23,DATA[[#This Row],[Other staff 1: Numbers employed (Full Time Equivalent)]],0),"")</f>
        <v/>
      </c>
      <c r="MS85" s="30" t="str">
        <f>IFERROR(IF(AVERAGE(DATA[[#This Row],[Other staff 2: Current 2021/22 Minimum hourly pay rate ADJUSTED]],DATA[[#This Row],[Other staff 2: Current 2021/22 Maximum hourly pay rate ADJUSTED]])&lt;LIVING_WAGE_22_23,DATA[[#This Row],[Other staff 2: Numbers employed (Full Time Equivalent)]],0),"")</f>
        <v/>
      </c>
      <c r="MT85" s="30" t="str">
        <f>IFERROR(IF(AVERAGE(DATA[[#This Row],[Other staff 3: Current 2021/22 Minimum hourly pay rate ADJUSTED]],DATA[[#This Row],[Other staff 3: Current 2021/22 Maximum hourly pay rate ADJUSTED]])&lt;LIVING_WAGE_22_23,DATA[[#This Row],[Other staff 3: Numbers employed (Full Time Equivalent)]],0),"")</f>
        <v/>
      </c>
      <c r="MU85" s="30">
        <f>SUM(DATA[[#This Row],[Registered Manager FTE earning less than NLW 23yrs 2022/23]:[Other staff 3 FTE earning less than NLW 23yrs 2022/23]])</f>
        <v>0</v>
      </c>
      <c r="MV85"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5"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85"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85"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85"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85"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85"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85"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85"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85"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85"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85"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85"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85"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85" s="30" t="b">
        <v>0</v>
      </c>
      <c r="NK85" s="30" t="b">
        <v>1</v>
      </c>
      <c r="NL85" s="30" t="s">
        <v>972</v>
      </c>
      <c r="NM85" s="30">
        <f>SUM(DATA[[#This Row],[Management staff HOURLY RATE]:[Training and development HOURLY RATE]])</f>
        <v>0</v>
      </c>
      <c r="NN85" s="30">
        <f>SUM(DATA[[#This Row],[Recruitment &amp; advertising (including DBS checks) HOURLY RATE]:[Non-Staffing Direct Cost: Other  - please specify (amount) 2 HOURLY RATE]])</f>
        <v>0</v>
      </c>
      <c r="NO85" s="30">
        <f>SUM(DATA[[#This Row],[Insurance  HOURLY RATE]:[Indirect costs: Other  - please specify (amount) 2 HOURLY RATE]])</f>
        <v>0</v>
      </c>
      <c r="NP85" s="30">
        <f>SUM(DATA[[#This Row],[Central / Regional Management HOURLY RATE]:[Corporate Overheads: Other  - please specify (amount) 2 HOURLY RATE]])</f>
        <v>0</v>
      </c>
      <c r="NQ85"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5" s="30" t="str">
        <f>IFERROR(IF(AVERAGE(DATA[[#This Row],[Deputy manager: Current 2021/22 Minimum hourly pay rate ADJUSTED]],DATA[[#This Row],[Deputy manager: Current 2021/22 Maximum hourly pay rate ADJUSTED]])&lt;REAL_LIVING_WAGE_22_23,DATA[[#This Row],[Deputy manager: Numbers employed (Full Time Equivalent)]],0),"")</f>
        <v/>
      </c>
      <c r="NS85" s="30" t="str">
        <f>IFERROR(IF(AVERAGE(DATA[[#This Row],[Other manager 1: Current 2021/22 Minimum hourly pay rate ADJUSTED]],DATA[[#This Row],[Other manager 1: Current 2021/22 Maximum hourly pay rate ADJUSTED]])&lt;REAL_LIVING_WAGE_22_23,DATA[[#This Row],[Other manager 1: Numbers employed (Full Time Equivalent)]],0),"")</f>
        <v/>
      </c>
      <c r="NT85" s="30" t="str">
        <f>IFERROR(IF(AVERAGE(DATA[[#This Row],[Other manager 2: Current 2021/22 Minimum hourly pay rate ADJUSTED]],DATA[[#This Row],[Other manager 2: Current 2021/22 Maximum hourly pay rate ADJUSTED]])&lt;REAL_LIVING_WAGE_22_23,DATA[[#This Row],[Other manager 2: Numbers employed (Full Time Equivalent)]],0),"")</f>
        <v/>
      </c>
      <c r="NU85" s="30" t="str">
        <f>IFERROR(IF(AVERAGE(DATA[[#This Row],[Other manager 3: Current 2021/22 Minimum hourly pay rate ADJUSTED]],DATA[[#This Row],[Other manager 3: Current 2021/22 Maximum hourly pay rate ADJUSTED]])&lt;REAL_LIVING_WAGE_22_23,DATA[[#This Row],[Other manager 3: Numbers employed (Full Time Equivalent)]],0),"")</f>
        <v/>
      </c>
      <c r="NV85" s="30">
        <f>IFERROR(IF(AVERAGE(DATA[[#This Row],[Care Assistant 1: Current 2021/22 Minimum hourly pay rate ADJUSTED]],DATA[[#This Row],[Care Assistant 1: Current 2021/22 Maximum hourly pay rate ADJUSTED]])&lt;REAL_LIVING_WAGE_22_23,DATA[[#This Row],[Care Assistant 1: Numbers employed (Full Time Equivalent)]],0),"")</f>
        <v>0</v>
      </c>
      <c r="NW85"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85"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85"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85"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85"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85" s="30" t="str">
        <f>IFERROR(IF(AVERAGE(DATA[[#This Row],[Other staff 1: Current 2021/22 Minimum hourly pay rate ADJUSTED]],DATA[[#This Row],[Other staff 1: Current 2021/22 Maximum hourly pay rate ADJUSTED]])&lt;REAL_LIVING_WAGE_22_23,DATA[[#This Row],[Other staff 1: Numbers employed (Full Time Equivalent)]],0),"")</f>
        <v/>
      </c>
      <c r="OC85" s="30" t="str">
        <f>IFERROR(IF(AVERAGE(DATA[[#This Row],[Other staff 2: Current 2021/22 Minimum hourly pay rate ADJUSTED]],DATA[[#This Row],[Other staff 2: Current 2021/22 Maximum hourly pay rate ADJUSTED]])&lt;REAL_LIVING_WAGE_22_23,DATA[[#This Row],[Other staff 2: Numbers employed (Full Time Equivalent)]],0),"")</f>
        <v/>
      </c>
      <c r="OD85" s="30" t="str">
        <f>IFERROR(IF(AVERAGE(DATA[[#This Row],[Other staff 3: Current 2021/22 Minimum hourly pay rate ADJUSTED]],DATA[[#This Row],[Other staff 3: Current 2021/22 Maximum hourly pay rate ADJUSTED]])&lt;REAL_LIVING_WAGE_22_23,DATA[[#This Row],[Other staff 3: Numbers employed (Full Time Equivalent)]],0),"")</f>
        <v/>
      </c>
      <c r="OE85" s="30">
        <f>SUM(DATA[[#This Row],[Registered Manager FTE earning less than RLW 23yrs 2022/23]:[Other staff 3 FTE earning less than RLW 23yrs 2022/23]])</f>
        <v>0</v>
      </c>
      <c r="OF85"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5"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85"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85"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85"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85"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85"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85"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85"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85"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85"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85"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85"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85"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85" s="30" t="str">
        <f>IFERROR(IF(DATA[[#This Row],[Registered manager: Numbers employed (Full Time Equivalent)]]=0,"",DATA[[#This Row],[Registered manager: Current 2021/22 Minimum hourly pay rate ADJUSTED 2]]*DATA[[#This Row],[Registered manager: Numbers employed (Full Time Equivalent)]]),"")</f>
        <v/>
      </c>
      <c r="OU85" s="30" t="str">
        <f>IFERROR(IF(DATA[[#This Row],[Registered manager: Numbers employed (Full Time Equivalent)]]=0,"",DATA[[#This Row],[Registered manager: Current 2021/22 Maximum hourly pay rate ADJUSTED 2]]*DATA[[#This Row],[Registered manager: Numbers employed (Full Time Equivalent)]]),"")</f>
        <v/>
      </c>
      <c r="OV85" s="30" t="str">
        <f>IFERROR(IF(DATA[[#This Row],[Registered manager: Numbers employed (Full Time Equivalent)]]=0,"",DATA[[#This Row],[Registered manager: Previous 2020/21 Minimum hourly pay rate ADJUSTED 2]]*DATA[[#This Row],[Registered manager: Numbers employed (Full Time Equivalent)]]),"")</f>
        <v/>
      </c>
      <c r="OW85" s="30" t="str">
        <f>IFERROR(IF(DATA[[#This Row],[Registered manager: Numbers employed (Full Time Equivalent)]]=0,"",DATA[[#This Row],[Registered manager: Previous 2020/21 Maximum hourly pay rate ADJUSTED 2]]*DATA[[#This Row],[Registered manager: Numbers employed (Full Time Equivalent)]]),"")</f>
        <v/>
      </c>
      <c r="OX85" s="30" t="str">
        <f>IFERROR(IF(DATA[[#This Row],[Deputy manager: Numbers employed (Full Time Equivalent)]]=0,"",DATA[[#This Row],[Deputy manager: Current 2021/22 Minimum hourly pay rate ADJUSTED 2]]*DATA[[#This Row],[Deputy manager: Numbers employed (Full Time Equivalent)]]),"")</f>
        <v/>
      </c>
      <c r="OY85" s="30" t="str">
        <f>IFERROR(IF(DATA[[#This Row],[Deputy manager: Numbers employed (Full Time Equivalent)]]=0,"",DATA[[#This Row],[Deputy manager: Current 2021/22 Maximum hourly pay rate ADJUSTED 2]]*DATA[[#This Row],[Deputy manager: Numbers employed (Full Time Equivalent)]]),"")</f>
        <v/>
      </c>
      <c r="OZ85" s="30" t="str">
        <f>IFERROR(IF(DATA[[#This Row],[Deputy manager: Numbers employed (Full Time Equivalent)]]=0,"",DATA[[#This Row],[Deputy manager: Previous 2020/21 Minimum hourly pay rate ADJUSTED 2]]*DATA[[#This Row],[Deputy manager: Numbers employed (Full Time Equivalent)]]),"")</f>
        <v/>
      </c>
      <c r="PA85" s="30" t="str">
        <f>IFERROR(IF(DATA[[#This Row],[Deputy manager: Numbers employed (Full Time Equivalent)]]=0,"",DATA[[#This Row],[Deputy manager: Previous 2020/21 Maximum hourly pay rate ADJUSTED 2]]*DATA[[#This Row],[Deputy manager: Numbers employed (Full Time Equivalent)]]),"")</f>
        <v/>
      </c>
      <c r="PB85" s="30" t="str">
        <f>IFERROR(IF(DATA[[#This Row],[Other manager 1: Numbers employed (Full Time Equivalent)]]=0,"",DATA[[#This Row],[Other manager 1: Current 2021/22 Minimum hourly pay rate ADJUSTED 2]]*DATA[[#This Row],[Other manager 1: Numbers employed (Full Time Equivalent)]]),"")</f>
        <v/>
      </c>
      <c r="PC85" s="30" t="str">
        <f>IFERROR(IF(DATA[[#This Row],[Other manager 1: Numbers employed (Full Time Equivalent)]]=0,"",DATA[[#This Row],[Other manager 1: Current 2021/22 Maximum hourly pay rate ADJUSTED 2]]*DATA[[#This Row],[Other manager 1: Numbers employed (Full Time Equivalent)]]),"")</f>
        <v/>
      </c>
      <c r="PD85" s="30" t="str">
        <f>IFERROR(IF(DATA[[#This Row],[Other manager 1: Numbers employed (Full Time Equivalent)]]=0,"",DATA[[#This Row],[Other manager 1: Previous 2020/21 Minimum hourly pay rate ADJUSTED 2]]*DATA[[#This Row],[Other manager 1: Numbers employed (Full Time Equivalent)]]),"")</f>
        <v/>
      </c>
      <c r="PE85" s="30" t="str">
        <f>IFERROR(IF(DATA[[#This Row],[Other manager 1: Numbers employed (Full Time Equivalent)]]=0,"",DATA[[#This Row],[Other manager 1: Previous 2020/21 Maximum hourly pay rate ADJUSTED 2]]*DATA[[#This Row],[Other manager 1: Numbers employed (Full Time Equivalent)]]),"")</f>
        <v/>
      </c>
      <c r="PF85" s="30" t="str">
        <f>IFERROR(IF(DATA[[#This Row],[Other manager 2: Numbers employed (Full Time Equivalent)]]=0,"",DATA[[#This Row],[Other manager 2: Current 2021/22 Minimum hourly pay rate ADJUSTED 2]]*DATA[[#This Row],[Other manager 2: Numbers employed (Full Time Equivalent)]]),"")</f>
        <v/>
      </c>
      <c r="PG85" s="30" t="str">
        <f>IFERROR(IF(DATA[[#This Row],[Other manager 2: Numbers employed (Full Time Equivalent)]]=0,"",DATA[[#This Row],[Other manager 2: Current 2021/22 Maximum hourly pay rate ADJUSTED 2]]*DATA[[#This Row],[Other manager 2: Numbers employed (Full Time Equivalent)]]),"")</f>
        <v/>
      </c>
      <c r="PH85" s="30" t="str">
        <f>IFERROR(IF(DATA[[#This Row],[Other manager 2: Numbers employed (Full Time Equivalent)]]=0,"",DATA[[#This Row],[Other manager 2: Previous 2020/21 Minimum hourly pay rate ADJUSTED 2]]*DATA[[#This Row],[Other manager 2: Numbers employed (Full Time Equivalent)]]),"")</f>
        <v/>
      </c>
      <c r="PI85" s="30" t="str">
        <f>IFERROR(IF(DATA[[#This Row],[Other manager 2: Numbers employed (Full Time Equivalent)]]=0,"",DATA[[#This Row],[Other manager 2: Previous 2020/21 Maximum hourly pay rate ADJUSTED 2]]*DATA[[#This Row],[Other manager 2: Numbers employed (Full Time Equivalent)]]),"")</f>
        <v/>
      </c>
      <c r="PJ85" s="30" t="str">
        <f>IFERROR(IF(DATA[[#This Row],[Other manager 3: Numbers employed (Full Time Equivalent)]]=0,"",DATA[[#This Row],[Other manager 3: Current 2021/22 Minimum hourly pay rate ADJUSTED 2]]*DATA[[#This Row],[Other manager 3: Numbers employed (Full Time Equivalent)]]),"")</f>
        <v/>
      </c>
      <c r="PK85" s="30" t="str">
        <f>IFERROR(IF(DATA[[#This Row],[Other manager 3: Numbers employed (Full Time Equivalent)]]=0,"",DATA[[#This Row],[Other manager 3: Current 2021/22 Maximum hourly pay rate ADJUSTED 2]]*DATA[[#This Row],[Other manager 3: Numbers employed (Full Time Equivalent)]]),"")</f>
        <v/>
      </c>
      <c r="PL85" s="30" t="str">
        <f>IFERROR(IF(DATA[[#This Row],[Other manager 3: Numbers employed (Full Time Equivalent)]]=0,"",DATA[[#This Row],[Other manager 3: Previous 2020/21 Minimum hourly pay rate ADJUSTED 2]]*DATA[[#This Row],[Other manager 3: Numbers employed (Full Time Equivalent)]]),"")</f>
        <v/>
      </c>
      <c r="PM85" s="30" t="str">
        <f>IFERROR(IF(DATA[[#This Row],[Other manager 3: Numbers employed (Full Time Equivalent)]]=0,"",DATA[[#This Row],[Other manager 3: Previous 2020/21 Maximum hourly pay rate ADJUSTED 2]]*DATA[[#This Row],[Other manager 3: Numbers employed (Full Time Equivalent)]]),"")</f>
        <v/>
      </c>
      <c r="PN85" s="30" t="str">
        <f>IFERROR(IF(DATA[[#This Row],[Care Assistant 1: Numbers employed (Full Time Equivalent)]]=0,"",DATA[[#This Row],[Care Assistant 1: Current 2021/22 Minimum hourly pay rate ADJUSTED 2]]*DATA[[#This Row],[Care Assistant 1: Numbers employed (Full Time Equivalent)]]),"")</f>
        <v/>
      </c>
      <c r="PO85" s="30" t="str">
        <f>IFERROR(IF(DATA[[#This Row],[Care Assistant 1: Numbers employed (Full Time Equivalent)]]=0,"",DATA[[#This Row],[Care Assistant 1: Current 2021/22 Maximum hourly pay rate ADJUSTED 2]]*DATA[[#This Row],[Care Assistant 1: Numbers employed (Full Time Equivalent)]]),"")</f>
        <v/>
      </c>
      <c r="PP85" s="30" t="str">
        <f>IFERROR(IF(DATA[[#This Row],[Care Assistant 1: Numbers employed (Full Time Equivalent)]]=0,"",DATA[[#This Row],[Care Assistant 1: Previous 2020/21 Minimum hourly pay rate ADJUSTED 2]]*DATA[[#This Row],[Care Assistant 1: Numbers employed (Full Time Equivalent)]]),"")</f>
        <v/>
      </c>
      <c r="PQ85" s="30" t="str">
        <f>IFERROR(IF(DATA[[#This Row],[Care Assistant 1: Numbers employed (Full Time Equivalent)]]=0,"",DATA[[#This Row],[Care Assistant 1: Previous 2020/21 Maximum hourly pay rate ADJUSTED 2]]*DATA[[#This Row],[Care Assistant 1: Numbers employed (Full Time Equivalent)]]),"")</f>
        <v/>
      </c>
      <c r="PR85" s="30" t="str">
        <f>IFERROR(IF(DATA[[#This Row],[Care Assistant 2: Numbers employed (Full Time Equivalent)]]=0,"",DATA[[#This Row],[Care Assistant 2: Current 2021/22 Minimum hourly pay rate ADJUSTED 2]]*DATA[[#This Row],[Care Assistant 2: Numbers employed (Full Time Equivalent)]]),"")</f>
        <v/>
      </c>
      <c r="PS85" s="30" t="str">
        <f>IFERROR(IF(DATA[[#This Row],[Care Assistant 2: Numbers employed (Full Time Equivalent)]]=0,"",DATA[[#This Row],[Care Assistant 2: Current 2021/22 Maximum hourly pay rate ADJUSTED 2]]*DATA[[#This Row],[Care Assistant 2: Numbers employed (Full Time Equivalent)]]),"")</f>
        <v/>
      </c>
      <c r="PT85" s="30" t="str">
        <f>IFERROR(IF(DATA[[#This Row],[Care Assistant 2: Numbers employed (Full Time Equivalent)]]=0,"",DATA[[#This Row],[Care Assistant 2: Previous 2020/21 Minimum hourly pay rate ADJUSTED 2]]*DATA[[#This Row],[Care Assistant 2: Numbers employed (Full Time Equivalent)]]),"")</f>
        <v/>
      </c>
      <c r="PU85" s="30" t="str">
        <f>IFERROR(IF(DATA[[#This Row],[Care Assistant 2: Numbers employed (Full Time Equivalent)]]=0,"",DATA[[#This Row],[Care Assistant 2: Previous 2020/21 Maximum hourly pay rate ADJUSTED 2]]*DATA[[#This Row],[Care Assistant 2: Numbers employed (Full Time Equivalent)]]),"")</f>
        <v/>
      </c>
      <c r="PV85" s="30" t="str">
        <f>IFERROR(IF(DATA[[#This Row],[Care Assistant 3: Numbers employed (Full Time Equivalent)]]=0,"",DATA[[#This Row],[Care Assistant 3: Current 2021/22 Minimum hourly pay rate ADJUSTED 2]]*DATA[[#This Row],[Care Assistant 3: Numbers employed (Full Time Equivalent)]]),"")</f>
        <v/>
      </c>
      <c r="PW85" s="30" t="str">
        <f>IFERROR(IF(DATA[[#This Row],[Care Assistant 3: Numbers employed (Full Time Equivalent)]]=0,"",DATA[[#This Row],[Care Assistant 3: Current 2021/22 Maximum hourly pay rate ADJUSTED 2]]*DATA[[#This Row],[Care Assistant 3: Numbers employed (Full Time Equivalent)]]),"")</f>
        <v/>
      </c>
      <c r="PX85" s="30" t="str">
        <f>IFERROR(IF(DATA[[#This Row],[Care Assistant 3: Numbers employed (Full Time Equivalent)]]=0,"",DATA[[#This Row],[Care Assistant 3: Previous 2020/21 Minimum hourly pay rate ADJUSTED 2]]*DATA[[#This Row],[Care Assistant 3: Numbers employed (Full Time Equivalent)]]),"")</f>
        <v/>
      </c>
      <c r="PY85" s="30" t="str">
        <f>IFERROR(IF(DATA[[#This Row],[Care Assistant 3: Numbers employed (Full Time Equivalent)]]=0,"",DATA[[#This Row],[Care Assistant 3: Previous 2020/21 Maximum hourly pay rate ADJUSTED 2]]*DATA[[#This Row],[Care Assistant 3: Numbers employed (Full Time Equivalent)]]),"")</f>
        <v/>
      </c>
      <c r="PZ85" s="30" t="str">
        <f>IFERROR(IF(DATA[[#This Row],[Care Assistant 4: Numbers employed (Full Time Equivalent)]]=0,"",DATA[[#This Row],[Care Assistant 4: Current 2021/22 Minimum hourly pay rate ADJUSTED 2]]*DATA[[#This Row],[Care Assistant 4: Numbers employed (Full Time Equivalent)]]),"")</f>
        <v/>
      </c>
      <c r="QA85" s="30" t="str">
        <f>IFERROR(IF(DATA[[#This Row],[Care Assistant 4: Numbers employed (Full Time Equivalent)]]=0,"",DATA[[#This Row],[Care Assistant 4: Current 2021/22 Maximum hourly pay rate ADJUSTED 2]]*DATA[[#This Row],[Care Assistant 4: Numbers employed (Full Time Equivalent)]]),"")</f>
        <v/>
      </c>
      <c r="QB85" s="30" t="str">
        <f>IFERROR(IF(DATA[[#This Row],[Care Assistant 4: Numbers employed (Full Time Equivalent)]]=0,"",DATA[[#This Row],[Care Assistant 4: Previous 2020/21 Minimum hourly pay rate ADJUSTED 2]]*DATA[[#This Row],[Care Assistant 4: Numbers employed (Full Time Equivalent)]]),"")</f>
        <v/>
      </c>
      <c r="QC85" s="30" t="str">
        <f>IFERROR(IF(DATA[[#This Row],[Care Assistant 4: Numbers employed (Full Time Equivalent)]]=0,"",DATA[[#This Row],[Care Assistant 4: Previous 2020/21 Maximum hourly pay rate ADJUSTED 2]]*DATA[[#This Row],[Care Assistant 4: Numbers employed (Full Time Equivalent)]]),"")</f>
        <v/>
      </c>
      <c r="QD85" s="30" t="str">
        <f>IFERROR(IF(DATA[[#This Row],[Administrative Officer 1: Numbers employed (Full Time Equivalent)]]=0,"",DATA[[#This Row],[Administrative Officer 1: Current 2021/22 Minimum hourly pay rate ADJUSTED 2]]*DATA[[#This Row],[Administrative Officer 1: Numbers employed (Full Time Equivalent)]]),"")</f>
        <v/>
      </c>
      <c r="QE85" s="30" t="str">
        <f>IFERROR(IF(DATA[[#This Row],[Administrative Officer 1: Numbers employed (Full Time Equivalent)]]=0,"",DATA[[#This Row],[Administrative Officer 1: Current 2021/22 Maximum hourly pay rate ADJUSTED 2]]*DATA[[#This Row],[Administrative Officer 1: Numbers employed (Full Time Equivalent)]]),"")</f>
        <v/>
      </c>
      <c r="QF85" s="30" t="str">
        <f>IFERROR(IF(DATA[[#This Row],[Administrative Officer 1: Numbers employed (Full Time Equivalent)]]=0,"",DATA[[#This Row],[Administrative Officer 1: Previous 2020/21 Minimum hourly pay rate ADJUSTED 2]]*DATA[[#This Row],[Administrative Officer 1: Numbers employed (Full Time Equivalent)]]),"")</f>
        <v/>
      </c>
      <c r="QG85" s="30" t="str">
        <f>IFERROR(IF(DATA[[#This Row],[Administrative Officer 1: Numbers employed (Full Time Equivalent)]]=0,"",DATA[[#This Row],[Administrative Officer 1: Previous 2020/21 Maximum hourly pay rate ADJUSTED 2]]*DATA[[#This Row],[Administrative Officer 1: Numbers employed (Full Time Equivalent)]]),"")</f>
        <v/>
      </c>
      <c r="QH85" s="30" t="str">
        <f>IFERROR(IF(DATA[[#This Row],[Administrative Officer 2: Numbers employed (Full Time Equivalent)]]=0,"",DATA[[#This Row],[Administrative Officer 2: Current 2021/22 Minimum hourly pay rate ADJUSTED 2]]*DATA[[#This Row],[Administrative Officer 2: Numbers employed (Full Time Equivalent)]]),"")</f>
        <v/>
      </c>
      <c r="QI85" s="30" t="str">
        <f>IFERROR(IF(DATA[[#This Row],[Administrative Officer 2: Numbers employed (Full Time Equivalent)]]=0,"",DATA[[#This Row],[Administrative Officer 2: Current 2021/22 Maximum hourly pay rate ADJUSTED 2]]*DATA[[#This Row],[Administrative Officer 2: Numbers employed (Full Time Equivalent)]]),"")</f>
        <v/>
      </c>
      <c r="QJ85" s="30" t="str">
        <f>IFERROR(IF(DATA[[#This Row],[Administrative Officer 2: Numbers employed (Full Time Equivalent)]]=0,"",DATA[[#This Row],[Administrative Officer 2: Previous 2020/21 Minimum hourly pay rate ADJUSTED 2]]*DATA[[#This Row],[Administrative Officer 2: Numbers employed (Full Time Equivalent)]]),"")</f>
        <v/>
      </c>
      <c r="QK85" s="30" t="str">
        <f>IFERROR(IF(DATA[[#This Row],[Administrative Officer 2: Numbers employed (Full Time Equivalent)]]=0,"",DATA[[#This Row],[Administrative Officer 2: Previous 2020/21 Maximum hourly pay rate ADJUSTED 2]]*DATA[[#This Row],[Administrative Officer 2: Numbers employed (Full Time Equivalent)]]),"")</f>
        <v/>
      </c>
      <c r="QL85" s="30" t="str">
        <f>IFERROR(IF(DATA[[#This Row],[Administrative Officer 3: Numbers employed (Full Time Equivalent)]]=0,"",DATA[[#This Row],[Administrative Officer 3: Current 2021/22 Minimum hourly pay rate ADJUSTED 2]]*DATA[[#This Row],[Administrative Officer 3: Numbers employed (Full Time Equivalent)]]),"")</f>
        <v/>
      </c>
      <c r="QM85" s="30" t="str">
        <f>IFERROR(IF(DATA[[#This Row],[Administrative Officer 3: Numbers employed (Full Time Equivalent)]]=0,"",DATA[[#This Row],[Administrative Officer 3: Current 2021/22 Maximum hourly pay rate ADJUSTED 2]]*DATA[[#This Row],[Administrative Officer 3: Numbers employed (Full Time Equivalent)]]),"")</f>
        <v/>
      </c>
      <c r="QN85" s="30" t="str">
        <f>IFERROR(IF(DATA[[#This Row],[Administrative Officer 3: Numbers employed (Full Time Equivalent)]]=0,"",DATA[[#This Row],[Administrative Officer 3: Previous 2020/21 Minimum hourly pay rate ADJUSTED 2]]*DATA[[#This Row],[Administrative Officer 3: Numbers employed (Full Time Equivalent)]]),"")</f>
        <v/>
      </c>
      <c r="QO85" s="30" t="str">
        <f>IFERROR(IF(DATA[[#This Row],[Administrative Officer 3: Numbers employed (Full Time Equivalent)]]=0,"",DATA[[#This Row],[Administrative Officer 3: Previous 2020/21 Maximum hourly pay rate ADJUSTED 2]]*DATA[[#This Row],[Administrative Officer 3: Numbers employed (Full Time Equivalent)]]),"")</f>
        <v/>
      </c>
      <c r="QP85" s="28" t="str">
        <f>IFERROR(IF(DATA[[#This Row],[Other staff 1: Numbers employed (Full Time Equivalent)]]=0,"",DATA[[#This Row],[Other staff 1: Current 2021/22 Minimum hourly pay rate ADJUSTED 2]]*DATA[[#This Row],[Other staff 1: Numbers employed (Full Time Equivalent)]]),"")</f>
        <v/>
      </c>
      <c r="QQ85" s="28" t="str">
        <f>IFERROR(IF(DATA[[#This Row],[Other staff 1: Numbers employed (Full Time Equivalent)]]=0,"",DATA[[#This Row],[Other staff 1: Current 2021/22 Maximum hourly pay rate ADJUSTED 2]]*DATA[[#This Row],[Other staff 1: Numbers employed (Full Time Equivalent)]]),"")</f>
        <v/>
      </c>
      <c r="QR85" s="28" t="str">
        <f>IFERROR(IF(DATA[[#This Row],[Other staff 1: Numbers employed (Full Time Equivalent)]]=0,"",DATA[[#This Row],[Other staff 1: Previous 2020/21 Minimum hourly pay rate ADJUSTED 2]]*DATA[[#This Row],[Other staff 1: Numbers employed (Full Time Equivalent)]]),"")</f>
        <v/>
      </c>
      <c r="QS85" s="28" t="str">
        <f>IFERROR(IF(DATA[[#This Row],[Other staff 1: Numbers employed (Full Time Equivalent)]]=0,"",DATA[[#This Row],[Other staff 1: Previous 2020/21 Maximum hourly pay rate ADJUSTED 2]]*DATA[[#This Row],[Other staff 1: Numbers employed (Full Time Equivalent)]]),"")</f>
        <v/>
      </c>
      <c r="QT85" s="28" t="str">
        <f>IFERROR(IF(DATA[[#This Row],[Other staff 2: Numbers employed (Full Time Equivalent)]]=0,"",DATA[[#This Row],[Other staff 2: Current 2021/22 Minimum hourly pay rate ADJUSTED 2]]*DATA[[#This Row],[Other staff 2: Numbers employed (Full Time Equivalent)]]),"")</f>
        <v/>
      </c>
      <c r="QU85" s="28" t="str">
        <f>IFERROR(IF(DATA[[#This Row],[Other staff 2: Numbers employed (Full Time Equivalent)]]=0,"",DATA[[#This Row],[Other staff 2: Current 2021/22 Maximum hourly pay rate ADJUSTED 2]]*DATA[[#This Row],[Other staff 2: Numbers employed (Full Time Equivalent)]]),"")</f>
        <v/>
      </c>
      <c r="QV85" s="28" t="str">
        <f>IFERROR(IF(DATA[[#This Row],[Other staff 2: Numbers employed (Full Time Equivalent)]]=0,"",DATA[[#This Row],[Other staff 2: Previous 2020/21 Minimum hourly pay rate ADJUSTED 2]]*DATA[[#This Row],[Other staff 2: Numbers employed (Full Time Equivalent)]]),"")</f>
        <v/>
      </c>
      <c r="QW85" s="28" t="str">
        <f>IFERROR(IF(DATA[[#This Row],[Other staff 2: Numbers employed (Full Time Equivalent)]]=0,"",DATA[[#This Row],[Other staff 2: Previous 2020/21 Maximum hourly pay rate ADJUSTED 2]]*DATA[[#This Row],[Other staff 2: Numbers employed (Full Time Equivalent)]]),"")</f>
        <v/>
      </c>
      <c r="QX85" s="28" t="str">
        <f>IFERROR(IF(DATA[[#This Row],[Other staff 3: Numbers employed (Full Time Equivalent)]]=0,"",DATA[[#This Row],[Other staff 3: Current 2021/22 Minimum hourly pay rate ADJUSTED 2]]*DATA[[#This Row],[Other staff 3: Numbers employed (Full Time Equivalent)]]),"")</f>
        <v/>
      </c>
      <c r="QY85" s="28" t="str">
        <f>IFERROR(IF(DATA[[#This Row],[Other staff 3: Numbers employed (Full Time Equivalent)]]=0,"",DATA[[#This Row],[Other staff 3: Current 2021/22 Maximum hourly pay rate ADJUSTED 2]]*DATA[[#This Row],[Other staff 3: Numbers employed (Full Time Equivalent)]]),"")</f>
        <v/>
      </c>
      <c r="QZ85" s="28" t="str">
        <f>IFERROR(IF(DATA[[#This Row],[Other staff 3: Numbers employed (Full Time Equivalent)]]=0,"",DATA[[#This Row],[Other staff 3: Previous 2020/21 Minimum hourly pay rate ADJUSTED 2]]*DATA[[#This Row],[Other staff 3: Numbers employed (Full Time Equivalent)]]),"")</f>
        <v/>
      </c>
      <c r="RA85" s="28" t="str">
        <f>IFERROR(IF(DATA[[#This Row],[Other staff 3: Numbers employed (Full Time Equivalent)]]=0,"",DATA[[#This Row],[Other staff 3: Previous 2020/21 Maximum hourly pay rate ADJUSTED 2]]*DATA[[#This Row],[Other staff 3: Numbers employed (Full Time Equivalent)]]),"")</f>
        <v/>
      </c>
      <c r="RB85"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0</v>
      </c>
      <c r="RC85"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85"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85"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85"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85"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0</v>
      </c>
      <c r="RH85"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85"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85"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85"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85"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85"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85"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85"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85"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86" spans="3:484" x14ac:dyDescent="0.25">
      <c r="G86" s="2">
        <v>80</v>
      </c>
      <c r="H86" s="2" t="s">
        <v>365</v>
      </c>
      <c r="I86" s="2">
        <v>22</v>
      </c>
      <c r="K86" s="2">
        <v>1</v>
      </c>
      <c r="L86" s="2" t="s">
        <v>323</v>
      </c>
      <c r="M86" s="2" t="s">
        <v>323</v>
      </c>
      <c r="R86" s="2">
        <v>19.62</v>
      </c>
      <c r="S86" s="2">
        <v>19.62</v>
      </c>
      <c r="T86" s="2">
        <v>19.329999999999998</v>
      </c>
      <c r="U86" s="2">
        <v>19.329999999999998</v>
      </c>
      <c r="V86" s="2">
        <v>1</v>
      </c>
      <c r="W86" s="2">
        <v>0</v>
      </c>
      <c r="X86" s="2">
        <v>0</v>
      </c>
      <c r="Y86" s="2">
        <v>0</v>
      </c>
      <c r="Z86" s="2">
        <v>0</v>
      </c>
      <c r="AA86" s="2">
        <v>0</v>
      </c>
      <c r="AB86" s="2" t="s">
        <v>641</v>
      </c>
      <c r="AC86" s="2">
        <v>9.7100000000000009</v>
      </c>
      <c r="AD86" s="2">
        <v>9.7100000000000009</v>
      </c>
      <c r="AE86" s="2">
        <v>9.57</v>
      </c>
      <c r="AF86" s="2">
        <v>9.57</v>
      </c>
      <c r="AG86" s="2">
        <v>1</v>
      </c>
      <c r="AH86" s="2" t="s">
        <v>315</v>
      </c>
      <c r="AI86" s="2">
        <v>0</v>
      </c>
      <c r="AJ86" s="2">
        <v>0</v>
      </c>
      <c r="AK86" s="2">
        <v>0</v>
      </c>
      <c r="AL86" s="2">
        <v>0</v>
      </c>
      <c r="AM86" s="2">
        <v>0</v>
      </c>
      <c r="AN86" s="2" t="s">
        <v>315</v>
      </c>
      <c r="AO86" s="2">
        <v>0</v>
      </c>
      <c r="AP86" s="2">
        <v>0</v>
      </c>
      <c r="AQ86" s="2">
        <v>0</v>
      </c>
      <c r="AR86" s="2">
        <v>0</v>
      </c>
      <c r="AS86" s="2">
        <v>0</v>
      </c>
      <c r="AT86" s="2" t="s">
        <v>408</v>
      </c>
      <c r="AU86" s="2">
        <v>9.11</v>
      </c>
      <c r="AV86" s="2">
        <v>9.3000000000000007</v>
      </c>
      <c r="AW86" s="2">
        <v>8.92</v>
      </c>
      <c r="AX86" s="2">
        <v>9.51</v>
      </c>
      <c r="AY86" s="2">
        <v>8</v>
      </c>
      <c r="AZ86" s="2" t="s">
        <v>316</v>
      </c>
      <c r="BA86" s="2">
        <v>0</v>
      </c>
      <c r="BB86" s="2">
        <v>0</v>
      </c>
      <c r="BC86" s="2">
        <v>0</v>
      </c>
      <c r="BD86" s="2">
        <v>0</v>
      </c>
      <c r="BE86" s="2">
        <v>0</v>
      </c>
      <c r="BF86" s="2" t="s">
        <v>316</v>
      </c>
      <c r="BG86" s="2">
        <v>0</v>
      </c>
      <c r="BH86" s="2">
        <v>0</v>
      </c>
      <c r="BI86" s="2">
        <v>0</v>
      </c>
      <c r="BJ86" s="2">
        <v>0</v>
      </c>
      <c r="BK86" s="2">
        <v>0</v>
      </c>
      <c r="BL86" s="2" t="s">
        <v>316</v>
      </c>
      <c r="BM86" s="2">
        <v>0</v>
      </c>
      <c r="BN86" s="2">
        <v>0</v>
      </c>
      <c r="BO86" s="2">
        <v>0</v>
      </c>
      <c r="BP86" s="2">
        <v>0</v>
      </c>
      <c r="BQ86" s="2">
        <v>0</v>
      </c>
      <c r="BR86" s="2" t="s">
        <v>372</v>
      </c>
      <c r="BS86" s="2">
        <v>11.19</v>
      </c>
      <c r="BT86" s="2">
        <v>11.19</v>
      </c>
      <c r="BU86" s="2">
        <v>10.96</v>
      </c>
      <c r="BV86" s="2">
        <v>10.96</v>
      </c>
      <c r="BW86" s="2">
        <v>0.6</v>
      </c>
      <c r="BX86" s="2" t="s">
        <v>317</v>
      </c>
      <c r="BY86" s="2">
        <v>0</v>
      </c>
      <c r="BZ86" s="2">
        <v>0</v>
      </c>
      <c r="CA86" s="2">
        <v>0</v>
      </c>
      <c r="CB86" s="2">
        <v>0</v>
      </c>
      <c r="CC86" s="2">
        <v>0</v>
      </c>
      <c r="CD86" s="2" t="s">
        <v>317</v>
      </c>
      <c r="CE86" s="2">
        <v>0</v>
      </c>
      <c r="CF86" s="2">
        <v>0</v>
      </c>
      <c r="CG86" s="2">
        <v>0</v>
      </c>
      <c r="CH86" s="2">
        <v>0</v>
      </c>
      <c r="CI86" s="2">
        <v>0</v>
      </c>
      <c r="CJ86" s="2" t="s">
        <v>642</v>
      </c>
      <c r="CK86" s="2">
        <v>8.82</v>
      </c>
      <c r="CL86" s="2">
        <v>8.82</v>
      </c>
      <c r="CM86" s="2">
        <v>8.69</v>
      </c>
      <c r="CN86" s="2">
        <v>8.69</v>
      </c>
      <c r="CO86" s="2">
        <v>0.43</v>
      </c>
      <c r="CP86" s="2" t="s">
        <v>643</v>
      </c>
      <c r="CQ86" s="2">
        <v>8.82</v>
      </c>
      <c r="CR86" s="2">
        <v>9.02</v>
      </c>
      <c r="CS86" s="2">
        <v>8.69</v>
      </c>
      <c r="CT86" s="2">
        <v>8.89</v>
      </c>
      <c r="CU86" s="2">
        <v>0</v>
      </c>
      <c r="CV86" s="2" t="s">
        <v>318</v>
      </c>
      <c r="CW86" s="2">
        <v>0</v>
      </c>
      <c r="CX86" s="2">
        <v>0</v>
      </c>
      <c r="CY86" s="2">
        <v>0</v>
      </c>
      <c r="CZ86" s="2">
        <v>0</v>
      </c>
      <c r="DA86" s="2">
        <v>0</v>
      </c>
      <c r="DB86" s="2">
        <v>0.13</v>
      </c>
      <c r="DC86" s="2">
        <v>0</v>
      </c>
      <c r="DD86" s="2">
        <v>0</v>
      </c>
      <c r="DE86" s="2">
        <v>0</v>
      </c>
      <c r="DF86" s="2">
        <v>0</v>
      </c>
      <c r="DG86" s="2">
        <v>0</v>
      </c>
      <c r="DH86" s="2">
        <v>0</v>
      </c>
      <c r="DI86" s="2">
        <v>230</v>
      </c>
      <c r="DJ86" s="2">
        <v>0</v>
      </c>
      <c r="DK86" s="2">
        <v>0</v>
      </c>
      <c r="DL86" s="2">
        <v>0</v>
      </c>
      <c r="DM86" s="2">
        <v>0</v>
      </c>
      <c r="DN86" s="2">
        <v>81.5</v>
      </c>
      <c r="DO86" s="2">
        <v>0</v>
      </c>
      <c r="DP86" s="2">
        <v>15.58</v>
      </c>
      <c r="DQ86" s="2">
        <v>0</v>
      </c>
      <c r="DR86" s="18">
        <v>43922</v>
      </c>
      <c r="DS86" s="18">
        <v>44286</v>
      </c>
      <c r="DT86" s="2">
        <v>16179.75</v>
      </c>
      <c r="DU86" s="2">
        <v>65152.58</v>
      </c>
      <c r="DV86" s="2">
        <v>256306.63</v>
      </c>
      <c r="DW86" s="2">
        <v>12700.15</v>
      </c>
      <c r="DX86" s="2">
        <v>25589.31</v>
      </c>
      <c r="DY86" s="2">
        <v>3173.83</v>
      </c>
      <c r="DZ86" s="2">
        <v>903.69</v>
      </c>
      <c r="EA86" s="2">
        <v>0</v>
      </c>
      <c r="EB86" s="2">
        <v>6303.75</v>
      </c>
      <c r="EC86" s="2">
        <v>4202.5</v>
      </c>
      <c r="ED86" s="2">
        <v>200</v>
      </c>
      <c r="EE86" s="2">
        <v>12166.18</v>
      </c>
      <c r="EF86" s="2">
        <v>0</v>
      </c>
      <c r="EG86" s="2">
        <v>3474.5</v>
      </c>
      <c r="EH86" s="2" t="s">
        <v>324</v>
      </c>
      <c r="EI86" s="2">
        <v>0</v>
      </c>
      <c r="EJ86" s="2" t="s">
        <v>324</v>
      </c>
      <c r="EK86" s="2">
        <v>0</v>
      </c>
      <c r="EL86" s="2">
        <v>3310.63</v>
      </c>
      <c r="EM86" s="2">
        <v>80959.679999999993</v>
      </c>
      <c r="EN86" s="2">
        <v>112129.93</v>
      </c>
      <c r="EO86" s="2">
        <v>0</v>
      </c>
      <c r="EP86" s="2">
        <v>1454.94</v>
      </c>
      <c r="EQ86" s="2">
        <v>0</v>
      </c>
      <c r="ER86" s="2">
        <v>48243.078500000003</v>
      </c>
      <c r="ES86" s="2">
        <v>2736.24</v>
      </c>
      <c r="ET86" s="2" t="s">
        <v>644</v>
      </c>
      <c r="EU86" s="2">
        <v>7837.31</v>
      </c>
      <c r="EV86" s="2" t="s">
        <v>645</v>
      </c>
      <c r="EW86" s="2">
        <v>51729.64</v>
      </c>
      <c r="EX86" s="2">
        <v>34297.464</v>
      </c>
      <c r="EY86" s="2">
        <v>22864.975999999999</v>
      </c>
      <c r="EZ86" s="2" t="s">
        <v>326</v>
      </c>
      <c r="FA86" s="2">
        <v>0</v>
      </c>
      <c r="FB86" s="2" t="s">
        <v>326</v>
      </c>
      <c r="FC86" s="2">
        <v>0</v>
      </c>
      <c r="FD86" s="2"/>
      <c r="FE86" s="2">
        <v>0</v>
      </c>
      <c r="FF86" s="2">
        <v>0</v>
      </c>
      <c r="FG86" s="2"/>
      <c r="FH86" s="19">
        <v>44480.627997685187</v>
      </c>
      <c r="FI86" s="2" t="s">
        <v>345</v>
      </c>
      <c r="FJ86" s="2">
        <f>SUM(DATA[[#This Row],[Number of Home support clients:]],DATA[[#This Row],[Number of supported living clients:]])</f>
        <v>22</v>
      </c>
      <c r="FK86" s="2"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21-30</v>
      </c>
      <c r="FL86" s="2">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19.62</v>
      </c>
      <c r="FM86" s="2">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19.62</v>
      </c>
      <c r="FN86" s="2">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19.329999999999998</v>
      </c>
      <c r="FO86" s="2">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19.329999999999998</v>
      </c>
      <c r="FP86" s="2" t="str">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
      </c>
      <c r="FQ86" s="2"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86" s="2"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86" s="2"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86" s="2">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9.7100000000000009</v>
      </c>
      <c r="FU86" s="2">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9.7100000000000009</v>
      </c>
      <c r="FV86" s="2">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9.57</v>
      </c>
      <c r="FW86" s="2">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9.57</v>
      </c>
      <c r="FX86" s="2"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86" s="2"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86" s="2"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86" s="2"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86" s="2"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86" s="2"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86" s="2"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86" s="2"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86" s="2">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9.11</v>
      </c>
      <c r="GG86" s="2">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9.3000000000000007</v>
      </c>
      <c r="GH86" s="2">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8.92</v>
      </c>
      <c r="GI86" s="2">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9.51</v>
      </c>
      <c r="GJ86" s="2" t="str">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
      </c>
      <c r="GK86" s="2" t="str">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
      </c>
      <c r="GL86" s="2"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86" s="2"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86" s="2"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86" s="2"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86" s="2"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86" s="2"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86" s="2"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86" s="2"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86" s="2"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86" s="2"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86" s="2">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11.19</v>
      </c>
      <c r="GW86" s="2">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11.19</v>
      </c>
      <c r="GX86" s="2">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10.96</v>
      </c>
      <c r="GY86" s="2">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10.96</v>
      </c>
      <c r="GZ86" s="2"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86" s="2"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86" s="2"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86" s="2"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86" s="2"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86" s="2"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86" s="2"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86" s="2"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86" s="2">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8.82</v>
      </c>
      <c r="HI86" s="2">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8.82</v>
      </c>
      <c r="HJ86" s="2">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8.69</v>
      </c>
      <c r="HK86" s="2">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8.69</v>
      </c>
      <c r="HL86" s="2">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8.82</v>
      </c>
      <c r="HM86" s="2">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9.02</v>
      </c>
      <c r="HN86" s="2">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8.69</v>
      </c>
      <c r="HO86" s="2">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8.89</v>
      </c>
      <c r="HP86" s="2"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86" s="2"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86" s="2"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86" s="2"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86" s="2">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19.62</v>
      </c>
      <c r="HU86" s="2">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19.62</v>
      </c>
      <c r="HV86" s="2">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19.329999999999998</v>
      </c>
      <c r="HW86" s="2">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19.329999999999998</v>
      </c>
      <c r="HX86" s="2" t="str">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
      </c>
      <c r="HY86" s="2"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86" s="2" t="str">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
      </c>
      <c r="IA86" s="2"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86" s="2">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9.7100000000000009</v>
      </c>
      <c r="IC86" s="2">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9.7100000000000009</v>
      </c>
      <c r="ID86" s="2">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9.57</v>
      </c>
      <c r="IE86" s="2">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9.57</v>
      </c>
      <c r="IF86" s="2"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86" s="2"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86" s="2"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86" s="2"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86" s="2"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86" s="2"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86" s="2"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86" s="2"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86" s="2">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9.11</v>
      </c>
      <c r="IO86" s="2">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9.3000000000000007</v>
      </c>
      <c r="IP86" s="2">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8.92</v>
      </c>
      <c r="IQ86" s="2">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9.51</v>
      </c>
      <c r="IR86" s="2" t="str">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
      </c>
      <c r="IS86" s="2" t="str">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
      </c>
      <c r="IT86" s="2" t="str">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
      </c>
      <c r="IU86" s="2" t="str">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
      </c>
      <c r="IV86" s="2"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86" s="2"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86" s="2"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86" s="2"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86" s="2"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86" s="2"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86" s="2"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86" s="2"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86" s="2">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11.19</v>
      </c>
      <c r="JE86" s="2">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11.19</v>
      </c>
      <c r="JF86" s="2">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10.96</v>
      </c>
      <c r="JG86" s="2">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10.96</v>
      </c>
      <c r="JH86" s="2"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86" s="2"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86" s="2"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86" s="2"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86" s="2"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86" s="2"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86" s="2"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86" s="2"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86" s="2">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8.82</v>
      </c>
      <c r="JQ86" s="2">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8.82</v>
      </c>
      <c r="JR86" s="2">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8.69</v>
      </c>
      <c r="JS86" s="2">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8.69</v>
      </c>
      <c r="JT86" s="2">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8.82</v>
      </c>
      <c r="JU86" s="2">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9.02</v>
      </c>
      <c r="JV86" s="2">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8.69</v>
      </c>
      <c r="JW86" s="2">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8.89</v>
      </c>
      <c r="JX86" s="2"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86" s="2"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86" s="2"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86" s="2"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86"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86" s="21">
        <f>SUM(DATA[[#This Row],[Care Assistant 1: Numbers employed (Full Time Equivalent)]],DATA[[#This Row],[Care Assistant 2: Numbers employed (Full Time Equivalent)]],DATA[[#This Row],[Care Assistant 3: Numbers employed (Full Time Equivalent)]],DATA[[#This Row],[Care Assistant 4: Numbers employed (Full Time Equivalent)]])</f>
        <v>8</v>
      </c>
      <c r="KD86" s="21">
        <f>SUM(DATA[[#This Row],[Administrative Officer 1: Numbers employed (Full Time Equivalent)]],DATA[[#This Row],[Administrative Officer 2: Numbers employed (Full Time Equivalent)]])</f>
        <v>0.6</v>
      </c>
      <c r="KE86" s="21">
        <f>SUM(DATA[[#This Row],[Other staff 1: Numbers employed (Full Time Equivalent)]],DATA[[#This Row],[Other staff 2: Numbers employed (Full Time Equivalent)]],DATA[[#This Row],[Other staff 3: Numbers employed (Full Time Equivalent)]])</f>
        <v>0.43</v>
      </c>
      <c r="KF86" s="21">
        <f>SUM(DATA[[#This Row],[Total FTE Management Employees]:[Total FTE Other Employees]])</f>
        <v>11.03</v>
      </c>
      <c r="KG86" s="21" t="str">
        <f>IF(SUM(DATA[[#This Row],[Home Support service split percentage (Expenditure):]],DATA[[#This Row],[Supported Living service split percentage (Expenditure):]])&gt;0, IF(DATA[[#This Row],[Home Support service split percentage (Expenditure):]]&gt;0.5,"Home Support","Supported Living"), "Unknown")</f>
        <v>Supported Living</v>
      </c>
      <c r="KH86" s="21">
        <f>SUM(DATA[[#This Row],[Home Support: Birmingham City Council]:[Home Support: Self-funded]])</f>
        <v>0</v>
      </c>
      <c r="KI86" s="21">
        <f>SUM(DATA[[#This Row],[Supported Living: Birmingham City Council]:[Supported Living: Self-funded]])</f>
        <v>311.5</v>
      </c>
      <c r="KJ86" s="21" t="e">
        <f>SUM((DATA[[#This Row],[Registered manager: Previous 2020/21 Minimum hourly pay rate ADJUSTED]]*DATA[[#This Row],[Registered manager: Numbers employed (Full Time Equivalent)]]),(DATA[[#This Row],[Deputy manager: Previous 2020/21 Minimum hourly pay rate ADJUSTED]]*DATA[[#This Row],[Deputy manager: Numbers employed (Full Time Equivalent)]]),(DATA[[#This Row],[Other manager 1: Previous 2020/21 Minimum hourly pay rate ADJUSTED]]*DATA[[#This Row],[Other manager 1: Numbers employed (Full Time Equivalent)]]),(DATA[[#This Row],[Other manager 2: Previous 2020/21 Minimum hourly pay rate ADJUSTED]]*DATA[[#This Row],[Other manager 2: Numbers employed (Full Time Equivalent)]]),(DATA[[#This Row],[Other manager 3: Previous 2020/21 Minimum hourly pay rate ADJUSTED]]*DATA[[#This Row],[Other manager 3: Numbers employed (Full Time Equivalent)]]))</f>
        <v>#VALUE!</v>
      </c>
      <c r="KK86" s="21" t="e">
        <f>SUM((DATA[[#This Row],[Registered manager: Previous 2020/21 Maximum hourly pay rate ADJUSTED]]*DATA[[#This Row],[Registered manager: Numbers employed (Full Time Equivalent)]]),(DATA[[#This Row],[Deputy manager: Previous 2020/21 Maximum hourly pay rate ADJUSTED]]*DATA[[#This Row],[Deputy manager: Numbers employed (Full Time Equivalent)]]),(DATA[[#This Row],[Other manager 1: Previous 2020/21 Maximum hourly pay rate ADJUSTED]]*DATA[[#This Row],[Other manager 1: Numbers employed (Full Time Equivalent)]]),(DATA[[#This Row],[Other manager 2: Previous 2020/21 Maximum hourly pay rate ADJUSTED]]*DATA[[#This Row],[Other manager 2: Numbers employed (Full Time Equivalent)]]),(DATA[[#This Row],[Other manager 3: Previous 2020/21 Maximum hourly pay rate ADJUSTED]]*DATA[[#This Row],[Other manager 3: Numbers employed (Full Time Equivalent)]]))</f>
        <v>#VALUE!</v>
      </c>
      <c r="KL86" s="21" t="e">
        <f>SUM((DATA[[#This Row],[Registered manager: Current 2021/22 Minimum hourly pay rate ADJUSTED]]*DATA[[#This Row],[Registered manager: Numbers employed (Full Time Equivalent)]]),(DATA[[#This Row],[Deputy manager: Current 2021/22 Minimum hourly pay rate ADJUSTED]]*DATA[[#This Row],[Deputy manager: Numbers employed (Full Time Equivalent)]]),(DATA[[#This Row],[Other manager 1: Current 2021/22 Minimum hourly pay rate ADJUSTED]]*DATA[[#This Row],[Other manager 1: Numbers employed (Full Time Equivalent)]]),(DATA[[#This Row],[Other manager 2: Current 2021/22 Minimum hourly pay rate ADJUSTED]]*DATA[[#This Row],[Other manager 2: Numbers employed (Full Time Equivalent)]]),(DATA[[#This Row],[Other manager 3: Current 2021/22 Minimum hourly pay rate ADJUSTED]]*DATA[[#This Row],[Other manager 3: Numbers employed (Full Time Equivalent)]]))</f>
        <v>#VALUE!</v>
      </c>
      <c r="KM86" s="21" t="e">
        <f>SUM((DATA[[#This Row],[Registered manager: Current 2021/22 Maximum hourly pay rate ADJUSTED]]*DATA[[#This Row],[Registered manager: Numbers employed (Full Time Equivalent)]]),(DATA[[#This Row],[Deputy manager: Current 2021/22 Maximum hourly pay rate ADJUSTED]]*DATA[[#This Row],[Deputy manager: Numbers employed (Full Time Equivalent)]]),(DATA[[#This Row],[Other manager 1: Current 2021/22 Maximum hourly pay rate ADJUSTED]]*DATA[[#This Row],[Other manager 1: Numbers employed (Full Time Equivalent)]]),(DATA[[#This Row],[Other manager 2: Current 2021/22 Maximum hourly pay rate ADJUSTED]]*DATA[[#This Row],[Other manager 2: Numbers employed (Full Time Equivalent)]]),(DATA[[#This Row],[Other manager 3: Current 2021/22 Maximum hourly pay rate ADJUSTED]]*DATA[[#This Row],[Other manager 3: Numbers employed (Full Time Equivalent)]]))</f>
        <v>#VALUE!</v>
      </c>
      <c r="KN86" s="21" t="b">
        <f>SUM(DATA[[#This Row],[Number of hours of care charged for in last full accounting year]:[Corporate Overheads: Other  - please specify (category) 1]])&gt;0</f>
        <v>1</v>
      </c>
      <c r="KO86" s="21">
        <f>SUM(DATA[[#This Row],[Total annual expenditure: Management staff]:[Total annual expenditure: Training and development]])</f>
        <v>370129.94000000006</v>
      </c>
      <c r="KP86" s="21">
        <f>SUM(DATA[[#This Row],[Recruitment &amp; advertising (including DBS checks)]:[Non-Staffing Direct Cost: Other  - please specify (amount) 2]])</f>
        <v>20043.18</v>
      </c>
      <c r="KQ86" s="21">
        <f>SUM(DATA[[#This Row],[Insurance ]:[Indirect costs: Other 2 - please specify (amount)]])</f>
        <v>308401.4485</v>
      </c>
      <c r="KR86" s="21">
        <f>SUM(DATA[[#This Row],[Central / Regional Management]],DATA[[#This Row],[Support Services (finance / HR / Payroll / legal etc.)]],DATA[[#This Row],[Corporate Overheads: Other  - please specify (amount) 1]],DATA[[#This Row],[Corporate Overheads: Other  - please specify (amount) 2]])</f>
        <v>57162.44</v>
      </c>
      <c r="KS86"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4.0267976946491757</v>
      </c>
      <c r="KT86"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15.841198411594741</v>
      </c>
      <c r="KU86"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0.78494105285928395</v>
      </c>
      <c r="KV86" s="30">
        <f>IF(OR(NOT(DATA[[#This Row],[Total annual expenditure: Other staff]]&gt;0),NOT(DATA[[#This Row],[Number of hours of care charged for in last full accounting year]]&gt;0)),0,DATA[[#This Row],[Total annual expenditure: Other staff]]/DATA[[#This Row],[Number of hours of care charged for in last full accounting year]])</f>
        <v>1.581563992027071</v>
      </c>
      <c r="KW86" s="30">
        <f>IF(OR(NOT(DATA[[#This Row],[Total annual expenditure: Agency staff]]&gt;0),NOT(DATA[[#This Row],[Number of hours of care charged for in last full accounting year]]&gt;0)),0,DATA[[#This Row],[Total annual expenditure: Agency staff]]/DATA[[#This Row],[Number of hours of care charged for in last full accounting year]])</f>
        <v>0.19616063288987778</v>
      </c>
      <c r="KX86" s="30">
        <f>IF(OR(NOT(DATA[[#This Row],[Total annual expenditure: Travel Cost]]&gt;0),NOT(DATA[[#This Row],[Number of hours of care charged for in last full accounting year]]&gt;0)),0,DATA[[#This Row],[Total annual expenditure: Travel Cost]]/DATA[[#This Row],[Number of hours of care charged for in last full accounting year]])</f>
        <v>5.585314977054652E-2</v>
      </c>
      <c r="KY86"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86"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0.38960737959486397</v>
      </c>
      <c r="LA86"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0.25973825306324261</v>
      </c>
      <c r="LB86"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1.2361130425377401E-2</v>
      </c>
      <c r="LC86" s="30">
        <f>IF(OR(NOT(DATA[[#This Row],[Care consumables &amp; uniforms]]&gt;0),NOT(DATA[[#This Row],[Number of hours of care charged for in last full accounting year]]&gt;0)),0,DATA[[#This Row],[Care consumables &amp; uniforms]]/DATA[[#This Row],[Number of hours of care charged for in last full accounting year]])</f>
        <v>0.75193868879309012</v>
      </c>
      <c r="LD86" s="30">
        <f>IF(OR(NOT(DATA[[#This Row],[Electronic call monitoring]]&gt;0),NOT(DATA[[#This Row],[Number of hours of care charged for in last full accounting year]]&gt;0)),0,DATA[[#This Row],[Electronic call monitoring]]/DATA[[#This Row],[Number of hours of care charged for in last full accounting year]])</f>
        <v>0</v>
      </c>
      <c r="LE86" s="30">
        <f>IF(OR(NOT(DATA[[#This Row],[IT Equipment &amp; Telephoney]]&gt;0),NOT(DATA[[#This Row],[Number of hours of care charged for in last full accounting year]]&gt;0)),0,DATA[[#This Row],[IT Equipment &amp; Telephoney]]/DATA[[#This Row],[Number of hours of care charged for in last full accounting year]])</f>
        <v>0.2147437383148689</v>
      </c>
      <c r="LF86"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86"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6" s="30">
        <f>IF(OR(NOT(DATA[[#This Row],[Insurance ]]&gt;0),NOT(DATA[[#This Row],[Number of hours of care charged for in last full accounting year]]&gt;0)),0,DATA[[#This Row],[Insurance ]]/DATA[[#This Row],[Number of hours of care charged for in last full accounting year]])</f>
        <v>0.20461564610083594</v>
      </c>
      <c r="LI86"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5.0037658183840907</v>
      </c>
      <c r="LJ86" s="30">
        <f>IF(OR(NOT(DATA[[#This Row],[Repairs and maintenance]]&gt;0),NOT(DATA[[#This Row],[Number of hours of care charged for in last full accounting year]]&gt;0)),0,DATA[[#This Row],[Repairs and maintenance]]/DATA[[#This Row],[Number of hours of care charged for in last full accounting year]])</f>
        <v>6.9302634465921908</v>
      </c>
      <c r="LK86"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86" s="30">
        <f>IF(OR(NOT(DATA[[#This Row],[Registration &amp; Inspection fees ]]&gt;0),NOT(DATA[[#This Row],[Number of hours of care charged for in last full accounting year]]&gt;0)),0,DATA[[#This Row],[Registration &amp; Inspection fees ]]/DATA[[#This Row],[Number of hours of care charged for in last full accounting year]])</f>
        <v>8.9923515505492976E-2</v>
      </c>
      <c r="LM86" s="30">
        <f>IF(OR(NOT(DATA[[#This Row],[Subscriptions]]&gt;0),NOT(DATA[[#This Row],[Number of hours of care charged for in last full accounting year]]&gt;0)),0,DATA[[#This Row],[Subscriptions]]/DATA[[#This Row],[Number of hours of care charged for in last full accounting year]])</f>
        <v>0</v>
      </c>
      <c r="LN86" s="30">
        <f>IF(OR(NOT(DATA[[#This Row],[Cost of finance]]&gt;0),NOT(DATA[[#This Row],[Number of hours of care charged for in last full accounting year]]&gt;0)),0,DATA[[#This Row],[Cost of finance]]/DATA[[#This Row],[Number of hours of care charged for in last full accounting year]])</f>
        <v>2.9816949273011017</v>
      </c>
      <c r="LO86" s="30">
        <f>IF(OR(NOT(DATA[[#This Row],[Other non-staff current expenses]]&gt;0),NOT(DATA[[#This Row],[Number of hours of care charged for in last full accounting year]]&gt;0)),0,DATA[[#This Row],[Other non-staff current expenses]]/DATA[[#This Row],[Number of hours of care charged for in last full accounting year]])</f>
        <v>0.16911509757567328</v>
      </c>
      <c r="LP86"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0.48439005547057279</v>
      </c>
      <c r="LQ86"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3.197184134489099</v>
      </c>
      <c r="LR86" s="30">
        <f>IF(OR(NOT(DATA[[#This Row],[Central / Regional Management]]&gt;0),NOT(DATA[[#This Row],[Number of hours of care charged for in last full accounting year]]&gt;0)),0,DATA[[#This Row],[Central / Regional Management]]/DATA[[#This Row],[Number of hours of care charged for in last full accounting year]])</f>
        <v>2.1197771288184306</v>
      </c>
      <c r="LS86"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1.4131847525456203</v>
      </c>
      <c r="LT86"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6"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6" s="30">
        <f>SUM(DATA[[#This Row],[Management staff HOURLY RATE]:[Corporate Overheads: Other  - please specify (amount) 2 HOURLY RATE]])</f>
        <v>46.708818646765238</v>
      </c>
      <c r="LW86" s="30" t="str">
        <f>IF(OR(NOT(DATA[[#This Row],[Net Operating Profit]]&gt;0),NOT(DATA[[#This Row],[Number of hours of care charged for in last full accounting year]]&gt;0)),"",DATA[[#This Row],[Net Operating Profit]]/DATA[[#This Row],[Number of hours of care charged for in last full accounting year]])</f>
        <v/>
      </c>
      <c r="LX86" s="30">
        <f>IF(OR(NOT(DATA[[#This Row],[Return on Capital employed]]&gt;0),NOT(DATA[[#This Row],[Number of hours of care charged for in last full accounting year]]&gt;0)),0,DATA[[#This Row],[Return on Capital employed]]/DATA[[#This Row],[Number of hours of care charged for in last full accounting year]])</f>
        <v>0</v>
      </c>
      <c r="LY86" s="31">
        <v>81</v>
      </c>
      <c r="LZ86" s="30" t="s">
        <v>345</v>
      </c>
      <c r="MA86" s="30" t="b">
        <f>DATA[[#This Row],[Number of Home support clients:]]&gt;0</f>
        <v>1</v>
      </c>
      <c r="MB86" s="30" t="b">
        <f>DATA[[#This Row],[Number of supported living clients:]]&gt;0</f>
        <v>1</v>
      </c>
      <c r="MC86" s="30" t="b">
        <f>DATA[[#This Row],[Total Home Support Hours]]&gt;0</f>
        <v>0</v>
      </c>
      <c r="MD86" s="30" t="b">
        <f>DATA[[#This Row],[Total Supported Living Hours]]&gt;0</f>
        <v>1</v>
      </c>
      <c r="ME86" s="30" t="b">
        <f>DATA[[#This Row],[Home Support service split percentage (Expenditure):]]&gt;0.5</f>
        <v>0</v>
      </c>
      <c r="MF86" s="30" t="b">
        <f>DATA[[#This Row],[Agency staff HOURLY RATE]]=0</f>
        <v>0</v>
      </c>
      <c r="MG86"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6" s="30" t="str">
        <f>IFERROR(IF(AVERAGE(DATA[[#This Row],[Deputy manager: Current 2021/22 Minimum hourly pay rate ADJUSTED]],DATA[[#This Row],[Deputy manager: Current 2021/22 Maximum hourly pay rate ADJUSTED]])&lt;LIVING_WAGE_22_23,DATA[[#This Row],[Deputy manager: Numbers employed (Full Time Equivalent)]],0),"")</f>
        <v/>
      </c>
      <c r="MI86" s="30">
        <f>IFERROR(IF(AVERAGE(DATA[[#This Row],[Other manager 1: Current 2021/22 Minimum hourly pay rate ADJUSTED]],DATA[[#This Row],[Other manager 1: Current 2021/22 Maximum hourly pay rate ADJUSTED]])&lt;LIVING_WAGE_22_23,DATA[[#This Row],[Other manager 1: Numbers employed (Full Time Equivalent)]],0),"")</f>
        <v>0</v>
      </c>
      <c r="MJ86" s="30" t="str">
        <f>IFERROR(IF(AVERAGE(DATA[[#This Row],[Other manager 2: Current 2021/22 Minimum hourly pay rate ADJUSTED]],DATA[[#This Row],[Other manager 2: Current 2021/22 Maximum hourly pay rate ADJUSTED]])&lt;LIVING_WAGE_22_23,DATA[[#This Row],[Other manager 2: Numbers employed (Full Time Equivalent)]],0),"")</f>
        <v/>
      </c>
      <c r="MK86" s="30" t="str">
        <f>IFERROR(IF(AVERAGE(DATA[[#This Row],[Other manager 3: Current 2021/22 Minimum hourly pay rate ADJUSTED]],DATA[[#This Row],[Other manager 3: Current 2021/22 Maximum hourly pay rate ADJUSTED]])&lt;LIVING_WAGE_22_23,DATA[[#This Row],[Other manager 3: Numbers employed (Full Time Equivalent)]],0),"")</f>
        <v/>
      </c>
      <c r="ML86" s="30">
        <f>IFERROR(IF(AVERAGE(DATA[[#This Row],[Care Assistant 1: Current 2021/22 Minimum hourly pay rate ADJUSTED]],DATA[[#This Row],[Care Assistant 1: Current 2021/22 Maximum hourly pay rate ADJUSTED]])&lt;LIVING_WAGE_22_23,DATA[[#This Row],[Care Assistant 1: Numbers employed (Full Time Equivalent)]],0),"")</f>
        <v>8</v>
      </c>
      <c r="MM86" s="30" t="str">
        <f>IFERROR(IF(AVERAGE(DATA[[#This Row],[Care Assistant 2: Current 2021/22 Minimum hourly pay rate ADJUSTED]],DATA[[#This Row],[Care Assistant 2: Current 2021/22 Maximum hourly pay rate ADJUSTED]])&lt;LIVING_WAGE_22_23,DATA[[#This Row],[Care Assistant 2: Numbers employed (Full Time Equivalent)]],0),"")</f>
        <v/>
      </c>
      <c r="MN86" s="30" t="str">
        <f>IFERROR(IF(AVERAGE(DATA[[#This Row],[Care Assistant 3: Current 2021/22 Minimum hourly pay rate ADJUSTED]],DATA[[#This Row],[Care Assistant 3: Current 2021/22 Maximum hourly pay rate ADJUSTED]])&lt;LIVING_WAGE_22_23,DATA[[#This Row],[Care Assistant 3: Numbers employed (Full Time Equivalent)]],0),"")</f>
        <v/>
      </c>
      <c r="MO86" s="30" t="str">
        <f>IFERROR(IF(AVERAGE(DATA[[#This Row],[Care Assistant 4: Current 2021/22 Minimum hourly pay rate ADJUSTED]],DATA[[#This Row],[Care Assistant 4: Current 2021/22 Maximum hourly pay rate ADJUSTED]])&lt;LIVING_WAGE_22_23,DATA[[#This Row],[Care Assistant 4: Numbers employed (Full Time Equivalent)]],0),"")</f>
        <v/>
      </c>
      <c r="MP86"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86"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86" s="30">
        <f>IFERROR(IF(AVERAGE(DATA[[#This Row],[Other staff 1: Current 2021/22 Minimum hourly pay rate ADJUSTED]],DATA[[#This Row],[Other staff 1: Current 2021/22 Maximum hourly pay rate ADJUSTED]])&lt;LIVING_WAGE_22_23,DATA[[#This Row],[Other staff 1: Numbers employed (Full Time Equivalent)]],0),"")</f>
        <v>0.43</v>
      </c>
      <c r="MS86" s="30">
        <f>IFERROR(IF(AVERAGE(DATA[[#This Row],[Other staff 2: Current 2021/22 Minimum hourly pay rate ADJUSTED]],DATA[[#This Row],[Other staff 2: Current 2021/22 Maximum hourly pay rate ADJUSTED]])&lt;LIVING_WAGE_22_23,DATA[[#This Row],[Other staff 2: Numbers employed (Full Time Equivalent)]],0),"")</f>
        <v>0</v>
      </c>
      <c r="MT86" s="30" t="str">
        <f>IFERROR(IF(AVERAGE(DATA[[#This Row],[Other staff 3: Current 2021/22 Minimum hourly pay rate ADJUSTED]],DATA[[#This Row],[Other staff 3: Current 2021/22 Maximum hourly pay rate ADJUSTED]])&lt;LIVING_WAGE_22_23,DATA[[#This Row],[Other staff 3: Numbers employed (Full Time Equivalent)]],0),"")</f>
        <v/>
      </c>
      <c r="MU86" s="30">
        <f>SUM(DATA[[#This Row],[Registered Manager FTE earning less than NLW 23yrs 2022/23]:[Other staff 3 FTE earning less than NLW 23yrs 2022/23]])</f>
        <v>8.43</v>
      </c>
      <c r="MV86"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6" s="30" t="str">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
      </c>
      <c r="MX86"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86"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86"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86"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2.3599999999999994</v>
      </c>
      <c r="NB86" s="30" t="str">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
      </c>
      <c r="NC86"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86"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86"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86"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86"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0.29239999999999988</v>
      </c>
      <c r="NH86"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0</v>
      </c>
      <c r="NI86"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86" s="30" t="b">
        <v>0</v>
      </c>
      <c r="NK86" s="30" t="b">
        <v>1</v>
      </c>
      <c r="NL86" s="30" t="s">
        <v>972</v>
      </c>
      <c r="NM86" s="30">
        <f>SUM(DATA[[#This Row],[Management staff HOURLY RATE]:[Training and development HOURLY RATE]])</f>
        <v>22.876122313385558</v>
      </c>
      <c r="NN86" s="30">
        <f>SUM(DATA[[#This Row],[Recruitment &amp; advertising (including DBS checks) HOURLY RATE]:[Non-Staffing Direct Cost: Other  - please specify (amount) 2 HOURLY RATE]])</f>
        <v>1.2387818105965791</v>
      </c>
      <c r="NO86" s="30">
        <f>SUM(DATA[[#This Row],[Insurance  HOURLY RATE]:[Indirect costs: Other  - please specify (amount) 2 HOURLY RATE]])</f>
        <v>19.060952641419057</v>
      </c>
      <c r="NP86" s="30">
        <f>SUM(DATA[[#This Row],[Central / Regional Management HOURLY RATE]:[Corporate Overheads: Other  - please specify (amount) 2 HOURLY RATE]])</f>
        <v>3.5329618813640509</v>
      </c>
      <c r="NQ86"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6" s="30" t="str">
        <f>IFERROR(IF(AVERAGE(DATA[[#This Row],[Deputy manager: Current 2021/22 Minimum hourly pay rate ADJUSTED]],DATA[[#This Row],[Deputy manager: Current 2021/22 Maximum hourly pay rate ADJUSTED]])&lt;REAL_LIVING_WAGE_22_23,DATA[[#This Row],[Deputy manager: Numbers employed (Full Time Equivalent)]],0),"")</f>
        <v/>
      </c>
      <c r="NS86" s="30">
        <f>IFERROR(IF(AVERAGE(DATA[[#This Row],[Other manager 1: Current 2021/22 Minimum hourly pay rate ADJUSTED]],DATA[[#This Row],[Other manager 1: Current 2021/22 Maximum hourly pay rate ADJUSTED]])&lt;REAL_LIVING_WAGE_22_23,DATA[[#This Row],[Other manager 1: Numbers employed (Full Time Equivalent)]],0),"")</f>
        <v>1</v>
      </c>
      <c r="NT86" s="30" t="str">
        <f>IFERROR(IF(AVERAGE(DATA[[#This Row],[Other manager 2: Current 2021/22 Minimum hourly pay rate ADJUSTED]],DATA[[#This Row],[Other manager 2: Current 2021/22 Maximum hourly pay rate ADJUSTED]])&lt;REAL_LIVING_WAGE_22_23,DATA[[#This Row],[Other manager 2: Numbers employed (Full Time Equivalent)]],0),"")</f>
        <v/>
      </c>
      <c r="NU86" s="30" t="str">
        <f>IFERROR(IF(AVERAGE(DATA[[#This Row],[Other manager 3: Current 2021/22 Minimum hourly pay rate ADJUSTED]],DATA[[#This Row],[Other manager 3: Current 2021/22 Maximum hourly pay rate ADJUSTED]])&lt;REAL_LIVING_WAGE_22_23,DATA[[#This Row],[Other manager 3: Numbers employed (Full Time Equivalent)]],0),"")</f>
        <v/>
      </c>
      <c r="NV86" s="30">
        <f>IFERROR(IF(AVERAGE(DATA[[#This Row],[Care Assistant 1: Current 2021/22 Minimum hourly pay rate ADJUSTED]],DATA[[#This Row],[Care Assistant 1: Current 2021/22 Maximum hourly pay rate ADJUSTED]])&lt;REAL_LIVING_WAGE_22_23,DATA[[#This Row],[Care Assistant 1: Numbers employed (Full Time Equivalent)]],0),"")</f>
        <v>8</v>
      </c>
      <c r="NW86" s="30" t="str">
        <f>IFERROR(IF(AVERAGE(DATA[[#This Row],[Care Assistant 2: Current 2021/22 Minimum hourly pay rate ADJUSTED]],DATA[[#This Row],[Care Assistant 2: Current 2021/22 Maximum hourly pay rate ADJUSTED]])&lt;REAL_LIVING_WAGE_22_23,DATA[[#This Row],[Care Assistant 2: Numbers employed (Full Time Equivalent)]],0),"")</f>
        <v/>
      </c>
      <c r="NX86"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86"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86"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86"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86" s="30">
        <f>IFERROR(IF(AVERAGE(DATA[[#This Row],[Other staff 1: Current 2021/22 Minimum hourly pay rate ADJUSTED]],DATA[[#This Row],[Other staff 1: Current 2021/22 Maximum hourly pay rate ADJUSTED]])&lt;REAL_LIVING_WAGE_22_23,DATA[[#This Row],[Other staff 1: Numbers employed (Full Time Equivalent)]],0),"")</f>
        <v>0.43</v>
      </c>
      <c r="OC86" s="30">
        <f>IFERROR(IF(AVERAGE(DATA[[#This Row],[Other staff 2: Current 2021/22 Minimum hourly pay rate ADJUSTED]],DATA[[#This Row],[Other staff 2: Current 2021/22 Maximum hourly pay rate ADJUSTED]])&lt;REAL_LIVING_WAGE_22_23,DATA[[#This Row],[Other staff 2: Numbers employed (Full Time Equivalent)]],0),"")</f>
        <v>0</v>
      </c>
      <c r="OD86" s="30" t="str">
        <f>IFERROR(IF(AVERAGE(DATA[[#This Row],[Other staff 3: Current 2021/22 Minimum hourly pay rate ADJUSTED]],DATA[[#This Row],[Other staff 3: Current 2021/22 Maximum hourly pay rate ADJUSTED]])&lt;REAL_LIVING_WAGE_22_23,DATA[[#This Row],[Other staff 3: Numbers employed (Full Time Equivalent)]],0),"")</f>
        <v/>
      </c>
      <c r="OE86" s="30">
        <f>SUM(DATA[[#This Row],[Registered Manager FTE earning less than RLW 23yrs 2022/23]:[Other staff 3 FTE earning less than RLW 23yrs 2022/23]])</f>
        <v>9.43</v>
      </c>
      <c r="OF86"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6" s="30" t="str">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
      </c>
      <c r="OH86"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0.1899999999999995</v>
      </c>
      <c r="OI86"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86"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86"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5.5600000000000023</v>
      </c>
      <c r="OL86" s="30" t="str">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
      </c>
      <c r="OM86"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86"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86"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86"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86"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0.46440000000000003</v>
      </c>
      <c r="OR86"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0</v>
      </c>
      <c r="OS86"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86" s="30">
        <f>IFERROR(IF(DATA[[#This Row],[Registered manager: Numbers employed (Full Time Equivalent)]]=0,"",DATA[[#This Row],[Registered manager: Current 2021/22 Minimum hourly pay rate ADJUSTED 2]]*DATA[[#This Row],[Registered manager: Numbers employed (Full Time Equivalent)]]),"")</f>
        <v>19.62</v>
      </c>
      <c r="OU86" s="30">
        <f>IFERROR(IF(DATA[[#This Row],[Registered manager: Numbers employed (Full Time Equivalent)]]=0,"",DATA[[#This Row],[Registered manager: Current 2021/22 Maximum hourly pay rate ADJUSTED 2]]*DATA[[#This Row],[Registered manager: Numbers employed (Full Time Equivalent)]]),"")</f>
        <v>19.62</v>
      </c>
      <c r="OV86" s="30">
        <f>IFERROR(IF(DATA[[#This Row],[Registered manager: Numbers employed (Full Time Equivalent)]]=0,"",DATA[[#This Row],[Registered manager: Previous 2020/21 Minimum hourly pay rate ADJUSTED 2]]*DATA[[#This Row],[Registered manager: Numbers employed (Full Time Equivalent)]]),"")</f>
        <v>19.329999999999998</v>
      </c>
      <c r="OW86" s="30">
        <f>IFERROR(IF(DATA[[#This Row],[Registered manager: Numbers employed (Full Time Equivalent)]]=0,"",DATA[[#This Row],[Registered manager: Previous 2020/21 Maximum hourly pay rate ADJUSTED 2]]*DATA[[#This Row],[Registered manager: Numbers employed (Full Time Equivalent)]]),"")</f>
        <v>19.329999999999998</v>
      </c>
      <c r="OX86" s="30" t="str">
        <f>IFERROR(IF(DATA[[#This Row],[Deputy manager: Numbers employed (Full Time Equivalent)]]=0,"",DATA[[#This Row],[Deputy manager: Current 2021/22 Minimum hourly pay rate ADJUSTED 2]]*DATA[[#This Row],[Deputy manager: Numbers employed (Full Time Equivalent)]]),"")</f>
        <v/>
      </c>
      <c r="OY86" s="30" t="str">
        <f>IFERROR(IF(DATA[[#This Row],[Deputy manager: Numbers employed (Full Time Equivalent)]]=0,"",DATA[[#This Row],[Deputy manager: Current 2021/22 Maximum hourly pay rate ADJUSTED 2]]*DATA[[#This Row],[Deputy manager: Numbers employed (Full Time Equivalent)]]),"")</f>
        <v/>
      </c>
      <c r="OZ86" s="30" t="str">
        <f>IFERROR(IF(DATA[[#This Row],[Deputy manager: Numbers employed (Full Time Equivalent)]]=0,"",DATA[[#This Row],[Deputy manager: Previous 2020/21 Minimum hourly pay rate ADJUSTED 2]]*DATA[[#This Row],[Deputy manager: Numbers employed (Full Time Equivalent)]]),"")</f>
        <v/>
      </c>
      <c r="PA86" s="30" t="str">
        <f>IFERROR(IF(DATA[[#This Row],[Deputy manager: Numbers employed (Full Time Equivalent)]]=0,"",DATA[[#This Row],[Deputy manager: Previous 2020/21 Maximum hourly pay rate ADJUSTED 2]]*DATA[[#This Row],[Deputy manager: Numbers employed (Full Time Equivalent)]]),"")</f>
        <v/>
      </c>
      <c r="PB86" s="30">
        <f>IFERROR(IF(DATA[[#This Row],[Other manager 1: Numbers employed (Full Time Equivalent)]]=0,"",DATA[[#This Row],[Other manager 1: Current 2021/22 Minimum hourly pay rate ADJUSTED 2]]*DATA[[#This Row],[Other manager 1: Numbers employed (Full Time Equivalent)]]),"")</f>
        <v>9.7100000000000009</v>
      </c>
      <c r="PC86" s="30">
        <f>IFERROR(IF(DATA[[#This Row],[Other manager 1: Numbers employed (Full Time Equivalent)]]=0,"",DATA[[#This Row],[Other manager 1: Current 2021/22 Maximum hourly pay rate ADJUSTED 2]]*DATA[[#This Row],[Other manager 1: Numbers employed (Full Time Equivalent)]]),"")</f>
        <v>9.7100000000000009</v>
      </c>
      <c r="PD86" s="30">
        <f>IFERROR(IF(DATA[[#This Row],[Other manager 1: Numbers employed (Full Time Equivalent)]]=0,"",DATA[[#This Row],[Other manager 1: Previous 2020/21 Minimum hourly pay rate ADJUSTED 2]]*DATA[[#This Row],[Other manager 1: Numbers employed (Full Time Equivalent)]]),"")</f>
        <v>9.57</v>
      </c>
      <c r="PE86" s="30">
        <f>IFERROR(IF(DATA[[#This Row],[Other manager 1: Numbers employed (Full Time Equivalent)]]=0,"",DATA[[#This Row],[Other manager 1: Previous 2020/21 Maximum hourly pay rate ADJUSTED 2]]*DATA[[#This Row],[Other manager 1: Numbers employed (Full Time Equivalent)]]),"")</f>
        <v>9.57</v>
      </c>
      <c r="PF86" s="30" t="str">
        <f>IFERROR(IF(DATA[[#This Row],[Other manager 2: Numbers employed (Full Time Equivalent)]]=0,"",DATA[[#This Row],[Other manager 2: Current 2021/22 Minimum hourly pay rate ADJUSTED 2]]*DATA[[#This Row],[Other manager 2: Numbers employed (Full Time Equivalent)]]),"")</f>
        <v/>
      </c>
      <c r="PG86" s="30" t="str">
        <f>IFERROR(IF(DATA[[#This Row],[Other manager 2: Numbers employed (Full Time Equivalent)]]=0,"",DATA[[#This Row],[Other manager 2: Current 2021/22 Maximum hourly pay rate ADJUSTED 2]]*DATA[[#This Row],[Other manager 2: Numbers employed (Full Time Equivalent)]]),"")</f>
        <v/>
      </c>
      <c r="PH86" s="30" t="str">
        <f>IFERROR(IF(DATA[[#This Row],[Other manager 2: Numbers employed (Full Time Equivalent)]]=0,"",DATA[[#This Row],[Other manager 2: Previous 2020/21 Minimum hourly pay rate ADJUSTED 2]]*DATA[[#This Row],[Other manager 2: Numbers employed (Full Time Equivalent)]]),"")</f>
        <v/>
      </c>
      <c r="PI86" s="30" t="str">
        <f>IFERROR(IF(DATA[[#This Row],[Other manager 2: Numbers employed (Full Time Equivalent)]]=0,"",DATA[[#This Row],[Other manager 2: Previous 2020/21 Maximum hourly pay rate ADJUSTED 2]]*DATA[[#This Row],[Other manager 2: Numbers employed (Full Time Equivalent)]]),"")</f>
        <v/>
      </c>
      <c r="PJ86" s="30" t="str">
        <f>IFERROR(IF(DATA[[#This Row],[Other manager 3: Numbers employed (Full Time Equivalent)]]=0,"",DATA[[#This Row],[Other manager 3: Current 2021/22 Minimum hourly pay rate ADJUSTED 2]]*DATA[[#This Row],[Other manager 3: Numbers employed (Full Time Equivalent)]]),"")</f>
        <v/>
      </c>
      <c r="PK86" s="30" t="str">
        <f>IFERROR(IF(DATA[[#This Row],[Other manager 3: Numbers employed (Full Time Equivalent)]]=0,"",DATA[[#This Row],[Other manager 3: Current 2021/22 Maximum hourly pay rate ADJUSTED 2]]*DATA[[#This Row],[Other manager 3: Numbers employed (Full Time Equivalent)]]),"")</f>
        <v/>
      </c>
      <c r="PL86" s="30" t="str">
        <f>IFERROR(IF(DATA[[#This Row],[Other manager 3: Numbers employed (Full Time Equivalent)]]=0,"",DATA[[#This Row],[Other manager 3: Previous 2020/21 Minimum hourly pay rate ADJUSTED 2]]*DATA[[#This Row],[Other manager 3: Numbers employed (Full Time Equivalent)]]),"")</f>
        <v/>
      </c>
      <c r="PM86" s="30" t="str">
        <f>IFERROR(IF(DATA[[#This Row],[Other manager 3: Numbers employed (Full Time Equivalent)]]=0,"",DATA[[#This Row],[Other manager 3: Previous 2020/21 Maximum hourly pay rate ADJUSTED 2]]*DATA[[#This Row],[Other manager 3: Numbers employed (Full Time Equivalent)]]),"")</f>
        <v/>
      </c>
      <c r="PN86" s="30">
        <f>IFERROR(IF(DATA[[#This Row],[Care Assistant 1: Numbers employed (Full Time Equivalent)]]=0,"",DATA[[#This Row],[Care Assistant 1: Current 2021/22 Minimum hourly pay rate ADJUSTED 2]]*DATA[[#This Row],[Care Assistant 1: Numbers employed (Full Time Equivalent)]]),"")</f>
        <v>72.88</v>
      </c>
      <c r="PO86" s="30">
        <f>IFERROR(IF(DATA[[#This Row],[Care Assistant 1: Numbers employed (Full Time Equivalent)]]=0,"",DATA[[#This Row],[Care Assistant 1: Current 2021/22 Maximum hourly pay rate ADJUSTED 2]]*DATA[[#This Row],[Care Assistant 1: Numbers employed (Full Time Equivalent)]]),"")</f>
        <v>74.400000000000006</v>
      </c>
      <c r="PP86" s="30">
        <f>IFERROR(IF(DATA[[#This Row],[Care Assistant 1: Numbers employed (Full Time Equivalent)]]=0,"",DATA[[#This Row],[Care Assistant 1: Previous 2020/21 Minimum hourly pay rate ADJUSTED 2]]*DATA[[#This Row],[Care Assistant 1: Numbers employed (Full Time Equivalent)]]),"")</f>
        <v>71.36</v>
      </c>
      <c r="PQ86" s="30">
        <f>IFERROR(IF(DATA[[#This Row],[Care Assistant 1: Numbers employed (Full Time Equivalent)]]=0,"",DATA[[#This Row],[Care Assistant 1: Previous 2020/21 Maximum hourly pay rate ADJUSTED 2]]*DATA[[#This Row],[Care Assistant 1: Numbers employed (Full Time Equivalent)]]),"")</f>
        <v>76.08</v>
      </c>
      <c r="PR86" s="30" t="str">
        <f>IFERROR(IF(DATA[[#This Row],[Care Assistant 2: Numbers employed (Full Time Equivalent)]]=0,"",DATA[[#This Row],[Care Assistant 2: Current 2021/22 Minimum hourly pay rate ADJUSTED 2]]*DATA[[#This Row],[Care Assistant 2: Numbers employed (Full Time Equivalent)]]),"")</f>
        <v/>
      </c>
      <c r="PS86" s="30" t="str">
        <f>IFERROR(IF(DATA[[#This Row],[Care Assistant 2: Numbers employed (Full Time Equivalent)]]=0,"",DATA[[#This Row],[Care Assistant 2: Current 2021/22 Maximum hourly pay rate ADJUSTED 2]]*DATA[[#This Row],[Care Assistant 2: Numbers employed (Full Time Equivalent)]]),"")</f>
        <v/>
      </c>
      <c r="PT86" s="30" t="str">
        <f>IFERROR(IF(DATA[[#This Row],[Care Assistant 2: Numbers employed (Full Time Equivalent)]]=0,"",DATA[[#This Row],[Care Assistant 2: Previous 2020/21 Minimum hourly pay rate ADJUSTED 2]]*DATA[[#This Row],[Care Assistant 2: Numbers employed (Full Time Equivalent)]]),"")</f>
        <v/>
      </c>
      <c r="PU86" s="30" t="str">
        <f>IFERROR(IF(DATA[[#This Row],[Care Assistant 2: Numbers employed (Full Time Equivalent)]]=0,"",DATA[[#This Row],[Care Assistant 2: Previous 2020/21 Maximum hourly pay rate ADJUSTED 2]]*DATA[[#This Row],[Care Assistant 2: Numbers employed (Full Time Equivalent)]]),"")</f>
        <v/>
      </c>
      <c r="PV86" s="30" t="str">
        <f>IFERROR(IF(DATA[[#This Row],[Care Assistant 3: Numbers employed (Full Time Equivalent)]]=0,"",DATA[[#This Row],[Care Assistant 3: Current 2021/22 Minimum hourly pay rate ADJUSTED 2]]*DATA[[#This Row],[Care Assistant 3: Numbers employed (Full Time Equivalent)]]),"")</f>
        <v/>
      </c>
      <c r="PW86" s="30" t="str">
        <f>IFERROR(IF(DATA[[#This Row],[Care Assistant 3: Numbers employed (Full Time Equivalent)]]=0,"",DATA[[#This Row],[Care Assistant 3: Current 2021/22 Maximum hourly pay rate ADJUSTED 2]]*DATA[[#This Row],[Care Assistant 3: Numbers employed (Full Time Equivalent)]]),"")</f>
        <v/>
      </c>
      <c r="PX86" s="30" t="str">
        <f>IFERROR(IF(DATA[[#This Row],[Care Assistant 3: Numbers employed (Full Time Equivalent)]]=0,"",DATA[[#This Row],[Care Assistant 3: Previous 2020/21 Minimum hourly pay rate ADJUSTED 2]]*DATA[[#This Row],[Care Assistant 3: Numbers employed (Full Time Equivalent)]]),"")</f>
        <v/>
      </c>
      <c r="PY86" s="30" t="str">
        <f>IFERROR(IF(DATA[[#This Row],[Care Assistant 3: Numbers employed (Full Time Equivalent)]]=0,"",DATA[[#This Row],[Care Assistant 3: Previous 2020/21 Maximum hourly pay rate ADJUSTED 2]]*DATA[[#This Row],[Care Assistant 3: Numbers employed (Full Time Equivalent)]]),"")</f>
        <v/>
      </c>
      <c r="PZ86" s="30" t="str">
        <f>IFERROR(IF(DATA[[#This Row],[Care Assistant 4: Numbers employed (Full Time Equivalent)]]=0,"",DATA[[#This Row],[Care Assistant 4: Current 2021/22 Minimum hourly pay rate ADJUSTED 2]]*DATA[[#This Row],[Care Assistant 4: Numbers employed (Full Time Equivalent)]]),"")</f>
        <v/>
      </c>
      <c r="QA86" s="30" t="str">
        <f>IFERROR(IF(DATA[[#This Row],[Care Assistant 4: Numbers employed (Full Time Equivalent)]]=0,"",DATA[[#This Row],[Care Assistant 4: Current 2021/22 Maximum hourly pay rate ADJUSTED 2]]*DATA[[#This Row],[Care Assistant 4: Numbers employed (Full Time Equivalent)]]),"")</f>
        <v/>
      </c>
      <c r="QB86" s="30" t="str">
        <f>IFERROR(IF(DATA[[#This Row],[Care Assistant 4: Numbers employed (Full Time Equivalent)]]=0,"",DATA[[#This Row],[Care Assistant 4: Previous 2020/21 Minimum hourly pay rate ADJUSTED 2]]*DATA[[#This Row],[Care Assistant 4: Numbers employed (Full Time Equivalent)]]),"")</f>
        <v/>
      </c>
      <c r="QC86" s="30" t="str">
        <f>IFERROR(IF(DATA[[#This Row],[Care Assistant 4: Numbers employed (Full Time Equivalent)]]=0,"",DATA[[#This Row],[Care Assistant 4: Previous 2020/21 Maximum hourly pay rate ADJUSTED 2]]*DATA[[#This Row],[Care Assistant 4: Numbers employed (Full Time Equivalent)]]),"")</f>
        <v/>
      </c>
      <c r="QD86" s="30">
        <f>IFERROR(IF(DATA[[#This Row],[Administrative Officer 1: Numbers employed (Full Time Equivalent)]]=0,"",DATA[[#This Row],[Administrative Officer 1: Current 2021/22 Minimum hourly pay rate ADJUSTED 2]]*DATA[[#This Row],[Administrative Officer 1: Numbers employed (Full Time Equivalent)]]),"")</f>
        <v>6.7139999999999995</v>
      </c>
      <c r="QE86" s="30">
        <f>IFERROR(IF(DATA[[#This Row],[Administrative Officer 1: Numbers employed (Full Time Equivalent)]]=0,"",DATA[[#This Row],[Administrative Officer 1: Current 2021/22 Maximum hourly pay rate ADJUSTED 2]]*DATA[[#This Row],[Administrative Officer 1: Numbers employed (Full Time Equivalent)]]),"")</f>
        <v>6.7139999999999995</v>
      </c>
      <c r="QF86" s="30">
        <f>IFERROR(IF(DATA[[#This Row],[Administrative Officer 1: Numbers employed (Full Time Equivalent)]]=0,"",DATA[[#This Row],[Administrative Officer 1: Previous 2020/21 Minimum hourly pay rate ADJUSTED 2]]*DATA[[#This Row],[Administrative Officer 1: Numbers employed (Full Time Equivalent)]]),"")</f>
        <v>6.5760000000000005</v>
      </c>
      <c r="QG86" s="30">
        <f>IFERROR(IF(DATA[[#This Row],[Administrative Officer 1: Numbers employed (Full Time Equivalent)]]=0,"",DATA[[#This Row],[Administrative Officer 1: Previous 2020/21 Maximum hourly pay rate ADJUSTED 2]]*DATA[[#This Row],[Administrative Officer 1: Numbers employed (Full Time Equivalent)]]),"")</f>
        <v>6.5760000000000005</v>
      </c>
      <c r="QH86" s="30" t="str">
        <f>IFERROR(IF(DATA[[#This Row],[Administrative Officer 2: Numbers employed (Full Time Equivalent)]]=0,"",DATA[[#This Row],[Administrative Officer 2: Current 2021/22 Minimum hourly pay rate ADJUSTED 2]]*DATA[[#This Row],[Administrative Officer 2: Numbers employed (Full Time Equivalent)]]),"")</f>
        <v/>
      </c>
      <c r="QI86" s="30" t="str">
        <f>IFERROR(IF(DATA[[#This Row],[Administrative Officer 2: Numbers employed (Full Time Equivalent)]]=0,"",DATA[[#This Row],[Administrative Officer 2: Current 2021/22 Maximum hourly pay rate ADJUSTED 2]]*DATA[[#This Row],[Administrative Officer 2: Numbers employed (Full Time Equivalent)]]),"")</f>
        <v/>
      </c>
      <c r="QJ86" s="30" t="str">
        <f>IFERROR(IF(DATA[[#This Row],[Administrative Officer 2: Numbers employed (Full Time Equivalent)]]=0,"",DATA[[#This Row],[Administrative Officer 2: Previous 2020/21 Minimum hourly pay rate ADJUSTED 2]]*DATA[[#This Row],[Administrative Officer 2: Numbers employed (Full Time Equivalent)]]),"")</f>
        <v/>
      </c>
      <c r="QK86" s="30" t="str">
        <f>IFERROR(IF(DATA[[#This Row],[Administrative Officer 2: Numbers employed (Full Time Equivalent)]]=0,"",DATA[[#This Row],[Administrative Officer 2: Previous 2020/21 Maximum hourly pay rate ADJUSTED 2]]*DATA[[#This Row],[Administrative Officer 2: Numbers employed (Full Time Equivalent)]]),"")</f>
        <v/>
      </c>
      <c r="QL86" s="30" t="str">
        <f>IFERROR(IF(DATA[[#This Row],[Administrative Officer 3: Numbers employed (Full Time Equivalent)]]=0,"",DATA[[#This Row],[Administrative Officer 3: Current 2021/22 Minimum hourly pay rate ADJUSTED 2]]*DATA[[#This Row],[Administrative Officer 3: Numbers employed (Full Time Equivalent)]]),"")</f>
        <v/>
      </c>
      <c r="QM86" s="30" t="str">
        <f>IFERROR(IF(DATA[[#This Row],[Administrative Officer 3: Numbers employed (Full Time Equivalent)]]=0,"",DATA[[#This Row],[Administrative Officer 3: Current 2021/22 Maximum hourly pay rate ADJUSTED 2]]*DATA[[#This Row],[Administrative Officer 3: Numbers employed (Full Time Equivalent)]]),"")</f>
        <v/>
      </c>
      <c r="QN86" s="30" t="str">
        <f>IFERROR(IF(DATA[[#This Row],[Administrative Officer 3: Numbers employed (Full Time Equivalent)]]=0,"",DATA[[#This Row],[Administrative Officer 3: Previous 2020/21 Minimum hourly pay rate ADJUSTED 2]]*DATA[[#This Row],[Administrative Officer 3: Numbers employed (Full Time Equivalent)]]),"")</f>
        <v/>
      </c>
      <c r="QO86" s="30" t="str">
        <f>IFERROR(IF(DATA[[#This Row],[Administrative Officer 3: Numbers employed (Full Time Equivalent)]]=0,"",DATA[[#This Row],[Administrative Officer 3: Previous 2020/21 Maximum hourly pay rate ADJUSTED 2]]*DATA[[#This Row],[Administrative Officer 3: Numbers employed (Full Time Equivalent)]]),"")</f>
        <v/>
      </c>
      <c r="QP86" s="28">
        <f>IFERROR(IF(DATA[[#This Row],[Other staff 1: Numbers employed (Full Time Equivalent)]]=0,"",DATA[[#This Row],[Other staff 1: Current 2021/22 Minimum hourly pay rate ADJUSTED 2]]*DATA[[#This Row],[Other staff 1: Numbers employed (Full Time Equivalent)]]),"")</f>
        <v>3.7926000000000002</v>
      </c>
      <c r="QQ86" s="28">
        <f>IFERROR(IF(DATA[[#This Row],[Other staff 1: Numbers employed (Full Time Equivalent)]]=0,"",DATA[[#This Row],[Other staff 1: Current 2021/22 Maximum hourly pay rate ADJUSTED 2]]*DATA[[#This Row],[Other staff 1: Numbers employed (Full Time Equivalent)]]),"")</f>
        <v>3.7926000000000002</v>
      </c>
      <c r="QR86" s="28">
        <f>IFERROR(IF(DATA[[#This Row],[Other staff 1: Numbers employed (Full Time Equivalent)]]=0,"",DATA[[#This Row],[Other staff 1: Previous 2020/21 Minimum hourly pay rate ADJUSTED 2]]*DATA[[#This Row],[Other staff 1: Numbers employed (Full Time Equivalent)]]),"")</f>
        <v>3.7366999999999999</v>
      </c>
      <c r="QS86" s="28">
        <f>IFERROR(IF(DATA[[#This Row],[Other staff 1: Numbers employed (Full Time Equivalent)]]=0,"",DATA[[#This Row],[Other staff 1: Previous 2020/21 Maximum hourly pay rate ADJUSTED 2]]*DATA[[#This Row],[Other staff 1: Numbers employed (Full Time Equivalent)]]),"")</f>
        <v>3.7366999999999999</v>
      </c>
      <c r="QT86" s="28" t="str">
        <f>IFERROR(IF(DATA[[#This Row],[Other staff 2: Numbers employed (Full Time Equivalent)]]=0,"",DATA[[#This Row],[Other staff 2: Current 2021/22 Minimum hourly pay rate ADJUSTED 2]]*DATA[[#This Row],[Other staff 2: Numbers employed (Full Time Equivalent)]]),"")</f>
        <v/>
      </c>
      <c r="QU86" s="28" t="str">
        <f>IFERROR(IF(DATA[[#This Row],[Other staff 2: Numbers employed (Full Time Equivalent)]]=0,"",DATA[[#This Row],[Other staff 2: Current 2021/22 Maximum hourly pay rate ADJUSTED 2]]*DATA[[#This Row],[Other staff 2: Numbers employed (Full Time Equivalent)]]),"")</f>
        <v/>
      </c>
      <c r="QV86" s="28" t="str">
        <f>IFERROR(IF(DATA[[#This Row],[Other staff 2: Numbers employed (Full Time Equivalent)]]=0,"",DATA[[#This Row],[Other staff 2: Previous 2020/21 Minimum hourly pay rate ADJUSTED 2]]*DATA[[#This Row],[Other staff 2: Numbers employed (Full Time Equivalent)]]),"")</f>
        <v/>
      </c>
      <c r="QW86" s="28" t="str">
        <f>IFERROR(IF(DATA[[#This Row],[Other staff 2: Numbers employed (Full Time Equivalent)]]=0,"",DATA[[#This Row],[Other staff 2: Previous 2020/21 Maximum hourly pay rate ADJUSTED 2]]*DATA[[#This Row],[Other staff 2: Numbers employed (Full Time Equivalent)]]),"")</f>
        <v/>
      </c>
      <c r="QX86" s="28" t="str">
        <f>IFERROR(IF(DATA[[#This Row],[Other staff 3: Numbers employed (Full Time Equivalent)]]=0,"",DATA[[#This Row],[Other staff 3: Current 2021/22 Minimum hourly pay rate ADJUSTED 2]]*DATA[[#This Row],[Other staff 3: Numbers employed (Full Time Equivalent)]]),"")</f>
        <v/>
      </c>
      <c r="QY86" s="28" t="str">
        <f>IFERROR(IF(DATA[[#This Row],[Other staff 3: Numbers employed (Full Time Equivalent)]]=0,"",DATA[[#This Row],[Other staff 3: Current 2021/22 Maximum hourly pay rate ADJUSTED 2]]*DATA[[#This Row],[Other staff 3: Numbers employed (Full Time Equivalent)]]),"")</f>
        <v/>
      </c>
      <c r="QZ86" s="28" t="str">
        <f>IFERROR(IF(DATA[[#This Row],[Other staff 3: Numbers employed (Full Time Equivalent)]]=0,"",DATA[[#This Row],[Other staff 3: Previous 2020/21 Minimum hourly pay rate ADJUSTED 2]]*DATA[[#This Row],[Other staff 3: Numbers employed (Full Time Equivalent)]]),"")</f>
        <v/>
      </c>
      <c r="RA86" s="28" t="str">
        <f>IFERROR(IF(DATA[[#This Row],[Other staff 3: Numbers employed (Full Time Equivalent)]]=0,"",DATA[[#This Row],[Other staff 3: Previous 2020/21 Maximum hourly pay rate ADJUSTED 2]]*DATA[[#This Row],[Other staff 3: Numbers employed (Full Time Equivalent)]]),"")</f>
        <v/>
      </c>
      <c r="RB86"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86"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86"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1</v>
      </c>
      <c r="RE86"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86"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86"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8</v>
      </c>
      <c r="RH86"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0</v>
      </c>
      <c r="RI86"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86"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86"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0.6</v>
      </c>
      <c r="RL86"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86"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86"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0.43</v>
      </c>
      <c r="RO86"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86"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row r="87" spans="3:484" x14ac:dyDescent="0.25">
      <c r="G87" s="2">
        <v>81</v>
      </c>
      <c r="H87" s="2">
        <v>0</v>
      </c>
      <c r="I87" s="2">
        <v>2</v>
      </c>
      <c r="J87" s="2">
        <v>0</v>
      </c>
      <c r="K87" s="2">
        <v>1</v>
      </c>
      <c r="L87" s="2" t="s">
        <v>328</v>
      </c>
      <c r="M87" s="2" t="s">
        <v>240</v>
      </c>
      <c r="P87" s="21"/>
      <c r="R87" s="2">
        <v>21.98</v>
      </c>
      <c r="S87" s="2">
        <v>21.98</v>
      </c>
      <c r="T87" s="2">
        <v>21.71</v>
      </c>
      <c r="U87" s="2">
        <v>21.71</v>
      </c>
      <c r="V87" s="2">
        <v>1</v>
      </c>
      <c r="W87" s="2">
        <v>15.85</v>
      </c>
      <c r="X87" s="2">
        <v>15.85</v>
      </c>
      <c r="Y87" s="2">
        <v>0</v>
      </c>
      <c r="Z87" s="2">
        <v>0</v>
      </c>
      <c r="AA87" s="2">
        <v>1</v>
      </c>
      <c r="AB87" s="2" t="s">
        <v>315</v>
      </c>
      <c r="AC87" s="2">
        <v>0</v>
      </c>
      <c r="AD87" s="2">
        <v>0</v>
      </c>
      <c r="AE87" s="2">
        <v>0</v>
      </c>
      <c r="AF87" s="2">
        <v>0</v>
      </c>
      <c r="AG87" s="2">
        <v>0</v>
      </c>
      <c r="AH87" s="2" t="s">
        <v>315</v>
      </c>
      <c r="AI87" s="2">
        <v>0</v>
      </c>
      <c r="AJ87" s="2">
        <v>0</v>
      </c>
      <c r="AK87" s="2">
        <v>0</v>
      </c>
      <c r="AL87" s="2">
        <v>0</v>
      </c>
      <c r="AM87" s="2">
        <v>0</v>
      </c>
      <c r="AN87" s="2" t="s">
        <v>315</v>
      </c>
      <c r="AO87" s="2">
        <v>0</v>
      </c>
      <c r="AP87" s="2">
        <v>0</v>
      </c>
      <c r="AQ87" s="2">
        <v>0</v>
      </c>
      <c r="AR87" s="2">
        <v>0</v>
      </c>
      <c r="AS87" s="2">
        <v>0</v>
      </c>
      <c r="AT87" s="2" t="s">
        <v>799</v>
      </c>
      <c r="AU87" s="2">
        <v>9.99</v>
      </c>
      <c r="AV87" s="2">
        <v>10.87</v>
      </c>
      <c r="AW87" s="2">
        <v>9.7200000000000006</v>
      </c>
      <c r="AX87" s="2">
        <v>10.74</v>
      </c>
      <c r="AY87" s="2">
        <v>12</v>
      </c>
      <c r="AZ87" s="2" t="s">
        <v>800</v>
      </c>
      <c r="BA87" s="2">
        <v>12.79</v>
      </c>
      <c r="BB87" s="2">
        <v>12.79</v>
      </c>
      <c r="BC87" s="2">
        <v>0</v>
      </c>
      <c r="BD87" s="2">
        <v>0</v>
      </c>
      <c r="BE87" s="2">
        <v>2</v>
      </c>
      <c r="BF87" s="2" t="s">
        <v>316</v>
      </c>
      <c r="BG87" s="2">
        <v>0</v>
      </c>
      <c r="BH87" s="2">
        <v>0</v>
      </c>
      <c r="BI87" s="2">
        <v>0</v>
      </c>
      <c r="BJ87" s="2">
        <v>0</v>
      </c>
      <c r="BK87" s="2">
        <v>0</v>
      </c>
      <c r="BL87" s="2" t="s">
        <v>316</v>
      </c>
      <c r="BM87" s="2">
        <v>0</v>
      </c>
      <c r="BN87" s="2">
        <v>0</v>
      </c>
      <c r="BO87" s="2">
        <v>0</v>
      </c>
      <c r="BP87" s="2">
        <v>0</v>
      </c>
      <c r="BQ87" s="2">
        <v>0</v>
      </c>
      <c r="BR87" s="2" t="s">
        <v>317</v>
      </c>
      <c r="BS87" s="2">
        <v>0</v>
      </c>
      <c r="BT87" s="2">
        <v>0</v>
      </c>
      <c r="BU87" s="2">
        <v>0</v>
      </c>
      <c r="BV87" s="2">
        <v>0</v>
      </c>
      <c r="BW87" s="2">
        <v>0</v>
      </c>
      <c r="BX87" s="2" t="s">
        <v>317</v>
      </c>
      <c r="BY87" s="2">
        <v>0</v>
      </c>
      <c r="BZ87" s="2">
        <v>0</v>
      </c>
      <c r="CA87" s="2">
        <v>0</v>
      </c>
      <c r="CB87" s="2">
        <v>0</v>
      </c>
      <c r="CC87" s="2">
        <v>0</v>
      </c>
      <c r="CD87" s="2" t="s">
        <v>317</v>
      </c>
      <c r="CE87" s="2">
        <v>0</v>
      </c>
      <c r="CF87" s="2">
        <v>0</v>
      </c>
      <c r="CG87" s="2">
        <v>0</v>
      </c>
      <c r="CH87" s="2">
        <v>0</v>
      </c>
      <c r="CI87" s="2">
        <v>0</v>
      </c>
      <c r="CJ87" s="2" t="s">
        <v>801</v>
      </c>
      <c r="CK87" s="2">
        <v>23.53</v>
      </c>
      <c r="CL87" s="2">
        <v>23.53</v>
      </c>
      <c r="CM87" s="2">
        <v>23.53</v>
      </c>
      <c r="CN87" s="2">
        <v>23.53</v>
      </c>
      <c r="CO87" s="2">
        <v>1</v>
      </c>
      <c r="CP87" s="2" t="s">
        <v>802</v>
      </c>
      <c r="CQ87" s="2">
        <v>28.13</v>
      </c>
      <c r="CR87" s="2">
        <v>28.13</v>
      </c>
      <c r="CS87" s="2">
        <v>0</v>
      </c>
      <c r="CT87" s="2">
        <v>0</v>
      </c>
      <c r="CU87" s="2">
        <v>1</v>
      </c>
      <c r="CV87" s="2" t="s">
        <v>803</v>
      </c>
      <c r="CW87" s="2">
        <v>26.59</v>
      </c>
      <c r="CX87" s="2">
        <v>26.59</v>
      </c>
      <c r="CY87" s="2">
        <v>26.59</v>
      </c>
      <c r="CZ87" s="2">
        <v>26.59</v>
      </c>
      <c r="DA87" s="2">
        <v>1</v>
      </c>
      <c r="DB87" s="2"/>
      <c r="DC87" s="2">
        <v>0</v>
      </c>
      <c r="DD87" s="2">
        <v>0</v>
      </c>
      <c r="DE87" s="2">
        <v>0</v>
      </c>
      <c r="DF87" s="2">
        <v>0</v>
      </c>
      <c r="DG87" s="2">
        <v>0</v>
      </c>
      <c r="DH87" s="2">
        <v>0</v>
      </c>
      <c r="DI87" s="2"/>
      <c r="DJ87" s="2">
        <v>0</v>
      </c>
      <c r="DK87" s="2">
        <v>203</v>
      </c>
      <c r="DL87" s="2">
        <v>336</v>
      </c>
      <c r="DM87" s="2">
        <v>0</v>
      </c>
      <c r="DN87" s="2">
        <v>0</v>
      </c>
      <c r="DO87" s="2">
        <v>22.28</v>
      </c>
      <c r="DP87" s="2">
        <v>0</v>
      </c>
      <c r="DQ87" s="2">
        <v>22.62</v>
      </c>
      <c r="DR87" s="18">
        <v>43922</v>
      </c>
      <c r="DS87" s="18">
        <v>44256</v>
      </c>
      <c r="DT87" s="18">
        <v>0</v>
      </c>
      <c r="DU87" s="2">
        <v>111431</v>
      </c>
      <c r="DV87" s="2">
        <v>119743</v>
      </c>
      <c r="DW87" s="2">
        <v>30</v>
      </c>
      <c r="DX87" s="2">
        <v>0</v>
      </c>
      <c r="DY87" s="2">
        <v>17332</v>
      </c>
      <c r="DZ87" s="2">
        <v>1807</v>
      </c>
      <c r="EA87" s="2">
        <v>1807</v>
      </c>
      <c r="EB87" s="2">
        <v>18654</v>
      </c>
      <c r="EC87" s="2">
        <v>0</v>
      </c>
      <c r="ED87" s="2">
        <v>0</v>
      </c>
      <c r="EE87" s="2">
        <v>1381</v>
      </c>
      <c r="EF87" s="2">
        <v>0</v>
      </c>
      <c r="EG87" s="2">
        <v>196</v>
      </c>
      <c r="EH87" s="2" t="s">
        <v>804</v>
      </c>
      <c r="EI87" s="2"/>
      <c r="EJ87" s="2" t="s">
        <v>324</v>
      </c>
      <c r="EK87" s="2">
        <v>0</v>
      </c>
      <c r="EL87" s="2">
        <v>196</v>
      </c>
      <c r="EM87" s="2">
        <v>0</v>
      </c>
      <c r="EN87" s="2">
        <v>0</v>
      </c>
      <c r="EO87" s="2">
        <v>0</v>
      </c>
      <c r="EP87" s="2">
        <v>57.5</v>
      </c>
      <c r="EQ87" s="2">
        <v>188</v>
      </c>
      <c r="ER87" s="2">
        <v>0</v>
      </c>
      <c r="ES87" s="2">
        <v>0</v>
      </c>
      <c r="ET87" s="2" t="s">
        <v>324</v>
      </c>
      <c r="EU87" s="2">
        <v>0</v>
      </c>
      <c r="EV87" s="2" t="s">
        <v>324</v>
      </c>
      <c r="EW87" s="2">
        <v>0</v>
      </c>
      <c r="EX87" s="2">
        <v>0</v>
      </c>
      <c r="EY87" s="2">
        <v>0</v>
      </c>
      <c r="EZ87" s="2" t="s">
        <v>326</v>
      </c>
      <c r="FA87" s="2">
        <v>0</v>
      </c>
      <c r="FB87" s="2" t="s">
        <v>326</v>
      </c>
      <c r="FC87" s="2">
        <v>0</v>
      </c>
      <c r="FD87" s="2"/>
      <c r="FE87" s="2">
        <v>0</v>
      </c>
      <c r="FF87" s="2">
        <v>0</v>
      </c>
      <c r="FG87" s="2"/>
      <c r="FH87" s="19">
        <v>44496.493113425924</v>
      </c>
      <c r="FI87" s="2" t="s">
        <v>345</v>
      </c>
      <c r="FJ87" s="2">
        <f>SUM(DATA[[#This Row],[Number of Home support clients:]],DATA[[#This Row],[Number of supported living clients:]])</f>
        <v>2</v>
      </c>
      <c r="FK87" s="21"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87" s="21">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21.98</v>
      </c>
      <c r="FM87" s="21">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21.98</v>
      </c>
      <c r="FN87" s="21">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21.71</v>
      </c>
      <c r="FO87" s="21">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21.71</v>
      </c>
      <c r="FP87" s="21">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15.85</v>
      </c>
      <c r="FQ87" s="21">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15.85</v>
      </c>
      <c r="FR87" s="21"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87" s="21"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87" s="21" t="str">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
      </c>
      <c r="FU87" s="21" t="str">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
      </c>
      <c r="FV87" s="21" t="str">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
      </c>
      <c r="FW87" s="21" t="str">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
      </c>
      <c r="FX87" s="21"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87" s="21"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87" s="21"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87" s="21"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87" s="21"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87" s="21"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87" s="21"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87" s="21"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87" s="21">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9.99</v>
      </c>
      <c r="GG87" s="21">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10.87</v>
      </c>
      <c r="GH87" s="21">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9.7200000000000006</v>
      </c>
      <c r="GI87" s="21">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10.74</v>
      </c>
      <c r="GJ87" s="21">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12.79</v>
      </c>
      <c r="GK87" s="21">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12.79</v>
      </c>
      <c r="GL87" s="21" t="str">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
      </c>
      <c r="GM87" s="21" t="str">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
      </c>
      <c r="GN87" s="21" t="str">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
      </c>
      <c r="GO87" s="21" t="str">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
      </c>
      <c r="GP87" s="21" t="str">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
      </c>
      <c r="GQ87" s="21" t="str">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
      </c>
      <c r="GR87" s="21" t="str">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
      </c>
      <c r="GS87" s="21" t="str">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
      </c>
      <c r="GT87" s="21" t="str">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
      </c>
      <c r="GU87" s="21" t="str">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
      </c>
      <c r="GV87" s="21" t="str">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
      </c>
      <c r="GW87" s="21" t="str">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
      </c>
      <c r="GX87" s="21" t="str">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
      </c>
      <c r="GY87" s="21" t="str">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
      </c>
      <c r="GZ87" s="21"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87" s="21"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87" s="21"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87" s="21"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87" s="21"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87" s="21"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87" s="21"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87" s="21"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87" s="21">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23.53</v>
      </c>
      <c r="HI87" s="21">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23.53</v>
      </c>
      <c r="HJ87" s="21">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23.53</v>
      </c>
      <c r="HK87" s="21">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23.53</v>
      </c>
      <c r="HL87" s="21">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28.13</v>
      </c>
      <c r="HM87" s="21">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28.13</v>
      </c>
      <c r="HN87" s="21"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87" s="21"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87" s="21">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26.59</v>
      </c>
      <c r="HQ87" s="21">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26.59</v>
      </c>
      <c r="HR87" s="21">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26.59</v>
      </c>
      <c r="HS87" s="21">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26.59</v>
      </c>
      <c r="HT87" s="21">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21.98</v>
      </c>
      <c r="HU87" s="21">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21.98</v>
      </c>
      <c r="HV87" s="21">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21.71</v>
      </c>
      <c r="HW87" s="21">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21.71</v>
      </c>
      <c r="HX87" s="21">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15.85</v>
      </c>
      <c r="HY87" s="21">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15.85</v>
      </c>
      <c r="HZ87" s="21">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15.85</v>
      </c>
      <c r="IA87" s="21">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15.85</v>
      </c>
      <c r="IB87" s="21" t="str">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
      </c>
      <c r="IC87" s="21" t="str">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
      </c>
      <c r="ID87" s="21" t="str">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
      </c>
      <c r="IE87" s="21" t="str">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
      </c>
      <c r="IF87" s="21"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87" s="21"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87" s="21"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87" s="21"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87" s="21"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87" s="21"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87" s="21"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87" s="21"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87" s="21">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9.99</v>
      </c>
      <c r="IO87" s="21">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10.87</v>
      </c>
      <c r="IP87" s="21">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9.7200000000000006</v>
      </c>
      <c r="IQ87" s="21">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10.74</v>
      </c>
      <c r="IR87" s="21">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12.79</v>
      </c>
      <c r="IS87" s="21">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12.79</v>
      </c>
      <c r="IT87" s="21">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12.79</v>
      </c>
      <c r="IU87" s="21">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12.79</v>
      </c>
      <c r="IV87" s="21" t="str">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
      </c>
      <c r="IW87" s="21" t="str">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
      </c>
      <c r="IX87" s="21" t="str">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
      </c>
      <c r="IY87" s="21" t="str">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
      </c>
      <c r="IZ87" s="21" t="str">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
      </c>
      <c r="JA87" s="21" t="str">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
      </c>
      <c r="JB87" s="21" t="str">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
      </c>
      <c r="JC87" s="21" t="str">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
      </c>
      <c r="JD87" s="21" t="str">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
      </c>
      <c r="JE87" s="21" t="str">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
      </c>
      <c r="JF87" s="21" t="str">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
      </c>
      <c r="JG87" s="21" t="str">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
      </c>
      <c r="JH87" s="21"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87" s="21"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87" s="21"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87" s="21"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87" s="21"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87" s="21"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87" s="21"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87" s="21"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87" s="21">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23.53</v>
      </c>
      <c r="JQ87" s="21">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23.53</v>
      </c>
      <c r="JR87" s="21">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23.53</v>
      </c>
      <c r="JS87" s="21">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23.53</v>
      </c>
      <c r="JT87" s="21">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28.13</v>
      </c>
      <c r="JU87" s="21">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28.13</v>
      </c>
      <c r="JV87" s="21">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28.13</v>
      </c>
      <c r="JW87" s="21">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28.13</v>
      </c>
      <c r="JX87" s="21">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26.59</v>
      </c>
      <c r="JY87" s="21">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26.59</v>
      </c>
      <c r="JZ87" s="21">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26.59</v>
      </c>
      <c r="KA87" s="21">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26.59</v>
      </c>
      <c r="KB87"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2</v>
      </c>
      <c r="KC87" s="21">
        <f>SUM(DATA[[#This Row],[Care Assistant 1: Numbers employed (Full Time Equivalent)]],DATA[[#This Row],[Care Assistant 2: Numbers employed (Full Time Equivalent)]],DATA[[#This Row],[Care Assistant 3: Numbers employed (Full Time Equivalent)]],DATA[[#This Row],[Care Assistant 4: Numbers employed (Full Time Equivalent)]])</f>
        <v>14</v>
      </c>
      <c r="KD87" s="21">
        <f>SUM(DATA[[#This Row],[Administrative Officer 1: Numbers employed (Full Time Equivalent)]],DATA[[#This Row],[Administrative Officer 2: Numbers employed (Full Time Equivalent)]])</f>
        <v>0</v>
      </c>
      <c r="KE87" s="21">
        <f>SUM(DATA[[#This Row],[Other staff 1: Numbers employed (Full Time Equivalent)]],DATA[[#This Row],[Other staff 2: Numbers employed (Full Time Equivalent)]],DATA[[#This Row],[Other staff 3: Numbers employed (Full Time Equivalent)]])</f>
        <v>3</v>
      </c>
      <c r="KF87" s="21">
        <f>SUM(DATA[[#This Row],[Total FTE Management Employees]:[Total FTE Other Employees]])</f>
        <v>19</v>
      </c>
      <c r="KG87" s="21" t="str">
        <f>IF(SUM(DATA[[#This Row],[Home Support service split percentage (Expenditure):]],DATA[[#This Row],[Supported Living service split percentage (Expenditure):]])&gt;0, IF(DATA[[#This Row],[Home Support service split percentage (Expenditure):]]&gt;0.5,"Home Support","Supported Living"), "Unknown")</f>
        <v>Supported Living</v>
      </c>
      <c r="KH87" s="21">
        <f>SUM(DATA[[#This Row],[Home Support: Birmingham City Council]:[Home Support: Self-funded]])</f>
        <v>0</v>
      </c>
      <c r="KI87" s="21">
        <f>SUM(DATA[[#This Row],[Supported Living: Birmingham City Council]:[Supported Living: Self-funded]])</f>
        <v>539</v>
      </c>
      <c r="KJ87" s="21">
        <f>SUM((DATA[[#This Row],[Registered manager: Previous 2020/21 Minimum hourly pay rate]]*DATA[[#This Row],[Registered manager: Numbers employed (Full Time Equivalent)]]),(DATA[[#This Row],[Deputy manager: Previous 2020/21 Minimum hourly pay rate]]*DATA[[#This Row],[Deputy manager: Numbers employed (Full Time Equivalent)]]),(DATA[[#This Row],[Other manager 1: Previous 2020/21 Minimum hourly pay rate]]*DATA[[#This Row],[Other manager 1: Numbers employed (Full Time Equivalent)]]),(DATA[[#This Row],[Other manager 2: Previous 2020/21 Minimum hourly pay rate]]*DATA[[#This Row],[Other manager 2: Numbers employed (Full Time Equivalent)]]),(DATA[[#This Row],[Other manager 3: Previous 2020/21 Minimum hourly pay rate]]*DATA[[#This Row],[Other manager 3: Numbers employed (Full Time Equivalent)]]))</f>
        <v>21.71</v>
      </c>
      <c r="KK87" s="21">
        <f>SUM((DATA[[#This Row],[Registered manager: Previous 2020/21 Minimum hourly pay rate]]*DATA[[#This Row],[Registered manager: Numbers employed (Full Time Equivalent)]]),(DATA[[#This Row],[Deputy manager: Previous 2020/21 Minimum hourly pay rate]]*DATA[[#This Row],[Deputy manager: Numbers employed (Full Time Equivalent)]]),(DATA[[#This Row],[Other manager 1: Previous 2020/21 Minimum hourly pay rate]]*DATA[[#This Row],[Other manager 1: Numbers employed (Full Time Equivalent)]]),(DATA[[#This Row],[Other manager 2: Previous 2020/21 Minimum hourly pay rate]]*DATA[[#This Row],[Other manager 2: Numbers employed (Full Time Equivalent)]]),(DATA[[#This Row],[Other manager 3: Previous 2020/21 Minimum hourly pay rate]]*DATA[[#This Row],[Other manager 3: Numbers employed (Full Time Equivalent)]]))</f>
        <v>21.71</v>
      </c>
      <c r="KL87" s="21">
        <f>SUM((DATA[[#This Row],[Registered manager: Previous 2020/21 Minimum hourly pay rate]]*DATA[[#This Row],[Registered manager: Numbers employed (Full Time Equivalent)]]),(DATA[[#This Row],[Deputy manager: Previous 2020/21 Minimum hourly pay rate]]*DATA[[#This Row],[Deputy manager: Numbers employed (Full Time Equivalent)]]),(DATA[[#This Row],[Other manager 1: Previous 2020/21 Minimum hourly pay rate]]*DATA[[#This Row],[Other manager 1: Numbers employed (Full Time Equivalent)]]),(DATA[[#This Row],[Other manager 2: Previous 2020/21 Minimum hourly pay rate]]*DATA[[#This Row],[Other manager 2: Numbers employed (Full Time Equivalent)]]),(DATA[[#This Row],[Other manager 3: Previous 2020/21 Minimum hourly pay rate]]*DATA[[#This Row],[Other manager 3: Numbers employed (Full Time Equivalent)]]))</f>
        <v>21.71</v>
      </c>
      <c r="KM87" s="21">
        <f>SUM((DATA[[#This Row],[Registered manager: Current 2021/22 Minimum hourly pay rate]]*DATA[[#This Row],[Registered manager: Numbers employed (Full Time Equivalent)]]),(DATA[[#This Row],[Deputy manager: Current 2021/22 Minimum hourly pay rate]]*DATA[[#This Row],[Deputy manager: Numbers employed (Full Time Equivalent)]]),(DATA[[#This Row],[Other manager 1: Current 2021/22 Minimum hourly pay rate]]*DATA[[#This Row],[Other manager 1: Numbers employed (Full Time Equivalent)]]),(DATA[[#This Row],[Other manager 2: Current 2021/22 Minimum hourly pay rate]]*DATA[[#This Row],[Other manager 2: Numbers employed (Full Time Equivalent)]]),(DATA[[#This Row],[Other manager 3: Current 2021/22 Minimum hourly pay rate]]*DATA[[#This Row],[Other manager 3: Numbers employed (Full Time Equivalent)]]))</f>
        <v>37.83</v>
      </c>
      <c r="KN87" s="21" t="b">
        <f>SUM(DATA[[#This Row],[Number of hours of care charged for in last full accounting year]:[Corporate Overheads: Other  - please specify (category) 1]])&gt;0</f>
        <v>1</v>
      </c>
      <c r="KO87" s="21">
        <f>SUM(DATA[[#This Row],[Total annual expenditure: Management staff]:[Total annual expenditure: Training and development]])</f>
        <v>270804</v>
      </c>
      <c r="KP87" s="21">
        <f>SUM(DATA[[#This Row],[Recruitment &amp; advertising (including DBS checks)]:[Non-Staffing Direct Cost: Other  - please specify (amount) 2]])</f>
        <v>1577</v>
      </c>
      <c r="KQ87" s="21">
        <f>SUM(DATA[[#This Row],[Insurance ]:[Indirect costs: Other 2 - please specify (amount)]])</f>
        <v>441.5</v>
      </c>
      <c r="KR87" s="21">
        <f>SUM(DATA[[#This Row],[Central / Regional Management]],DATA[[#This Row],[Support Services (finance / HR / Payroll / legal etc.)]],DATA[[#This Row],[Corporate Overheads: Other  - please specify (amount) 1]],DATA[[#This Row],[Corporate Overheads: Other  - please specify (amount) 2]])</f>
        <v>0</v>
      </c>
      <c r="KS87"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87"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87"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87"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87"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87"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87"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87"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87"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87"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87" s="30">
        <f>IF(OR(NOT(DATA[[#This Row],[Care consumables &amp; uniforms]]&gt;0),NOT(DATA[[#This Row],[Number of hours of care charged for in last full accounting year]]&gt;0)),0,DATA[[#This Row],[Care consumables &amp; uniforms]]/DATA[[#This Row],[Number of hours of care charged for in last full accounting year]])</f>
        <v>0</v>
      </c>
      <c r="LD87" s="30">
        <f>IF(OR(NOT(DATA[[#This Row],[Electronic call monitoring]]&gt;0),NOT(DATA[[#This Row],[Number of hours of care charged for in last full accounting year]]&gt;0)),0,DATA[[#This Row],[Electronic call monitoring]]/DATA[[#This Row],[Number of hours of care charged for in last full accounting year]])</f>
        <v>0</v>
      </c>
      <c r="LE87" s="30">
        <f>IF(OR(NOT(DATA[[#This Row],[IT Equipment &amp; Telephoney]]&gt;0),NOT(DATA[[#This Row],[Number of hours of care charged for in last full accounting year]]&gt;0)),0,DATA[[#This Row],[IT Equipment &amp; Telephoney]]/DATA[[#This Row],[Number of hours of care charged for in last full accounting year]])</f>
        <v>0</v>
      </c>
      <c r="LF87"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87"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7" s="30">
        <f>IF(OR(NOT(DATA[[#This Row],[Insurance ]]&gt;0),NOT(DATA[[#This Row],[Number of hours of care charged for in last full accounting year]]&gt;0)),0,DATA[[#This Row],[Insurance ]]/DATA[[#This Row],[Number of hours of care charged for in last full accounting year]])</f>
        <v>0</v>
      </c>
      <c r="LI87"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v>
      </c>
      <c r="LJ87" s="30">
        <f>IF(OR(NOT(DATA[[#This Row],[Repairs and maintenance]]&gt;0),NOT(DATA[[#This Row],[Number of hours of care charged for in last full accounting year]]&gt;0)),0,DATA[[#This Row],[Repairs and maintenance]]/DATA[[#This Row],[Number of hours of care charged for in last full accounting year]])</f>
        <v>0</v>
      </c>
      <c r="LK87"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0</v>
      </c>
      <c r="LL87" s="30">
        <f>IF(OR(NOT(DATA[[#This Row],[Registration &amp; Inspection fees ]]&gt;0),NOT(DATA[[#This Row],[Number of hours of care charged for in last full accounting year]]&gt;0)),0,DATA[[#This Row],[Registration &amp; Inspection fees ]]/DATA[[#This Row],[Number of hours of care charged for in last full accounting year]])</f>
        <v>0</v>
      </c>
      <c r="LM87" s="30">
        <f>IF(OR(NOT(DATA[[#This Row],[Subscriptions]]&gt;0),NOT(DATA[[#This Row],[Number of hours of care charged for in last full accounting year]]&gt;0)),0,DATA[[#This Row],[Subscriptions]]/DATA[[#This Row],[Number of hours of care charged for in last full accounting year]])</f>
        <v>0</v>
      </c>
      <c r="LN87" s="30">
        <f>IF(OR(NOT(DATA[[#This Row],[Cost of finance]]&gt;0),NOT(DATA[[#This Row],[Number of hours of care charged for in last full accounting year]]&gt;0)),0,DATA[[#This Row],[Cost of finance]]/DATA[[#This Row],[Number of hours of care charged for in last full accounting year]])</f>
        <v>0</v>
      </c>
      <c r="LO87" s="30">
        <f>IF(OR(NOT(DATA[[#This Row],[Other non-staff current expenses]]&gt;0),NOT(DATA[[#This Row],[Number of hours of care charged for in last full accounting year]]&gt;0)),0,DATA[[#This Row],[Other non-staff current expenses]]/DATA[[#This Row],[Number of hours of care charged for in last full accounting year]])</f>
        <v>0</v>
      </c>
      <c r="LP87"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87"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87" s="30">
        <f>IF(OR(NOT(DATA[[#This Row],[Central / Regional Management]]&gt;0),NOT(DATA[[#This Row],[Number of hours of care charged for in last full accounting year]]&gt;0)),0,DATA[[#This Row],[Central / Regional Management]]/DATA[[#This Row],[Number of hours of care charged for in last full accounting year]])</f>
        <v>0</v>
      </c>
      <c r="LS87"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v>
      </c>
      <c r="LT87"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7"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7" s="30">
        <f>SUM(DATA[[#This Row],[Management staff HOURLY RATE]:[Corporate Overheads: Other  - please specify (amount) 2 HOURLY RATE]])</f>
        <v>0</v>
      </c>
      <c r="LW87" s="30" t="str">
        <f>IF(OR(NOT(DATA[[#This Row],[Net Operating Profit]]&gt;0),NOT(DATA[[#This Row],[Number of hours of care charged for in last full accounting year]]&gt;0)),"",DATA[[#This Row],[Net Operating Profit]]/DATA[[#This Row],[Number of hours of care charged for in last full accounting year]])</f>
        <v/>
      </c>
      <c r="LX87" s="30">
        <f>IF(OR(NOT(DATA[[#This Row],[Return on Capital employed]]&gt;0),NOT(DATA[[#This Row],[Number of hours of care charged for in last full accounting year]]&gt;0)),0,DATA[[#This Row],[Return on Capital employed]]/DATA[[#This Row],[Number of hours of care charged for in last full accounting year]])</f>
        <v>0</v>
      </c>
      <c r="LY87" s="31">
        <v>83</v>
      </c>
      <c r="LZ87" s="30" t="s">
        <v>345</v>
      </c>
      <c r="MA87" s="30" t="b">
        <f>DATA[[#This Row],[Number of Home support clients:]]&gt;0</f>
        <v>0</v>
      </c>
      <c r="MB87" s="30" t="b">
        <f>DATA[[#This Row],[Number of supported living clients:]]&gt;0</f>
        <v>1</v>
      </c>
      <c r="MC87" s="30" t="b">
        <f>DATA[[#This Row],[Total Home Support Hours]]&gt;0</f>
        <v>0</v>
      </c>
      <c r="MD87" s="30" t="b">
        <f>DATA[[#This Row],[Total Supported Living Hours]]&gt;0</f>
        <v>1</v>
      </c>
      <c r="ME87" s="30" t="b">
        <f>DATA[[#This Row],[Home Support service split percentage (Expenditure):]]&gt;0.5</f>
        <v>0</v>
      </c>
      <c r="MF87" s="30" t="b">
        <f>DATA[[#This Row],[Agency staff HOURLY RATE]]=0</f>
        <v>1</v>
      </c>
      <c r="MG87"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7" s="30">
        <f>IFERROR(IF(AVERAGE(DATA[[#This Row],[Deputy manager: Current 2021/22 Minimum hourly pay rate ADJUSTED]],DATA[[#This Row],[Deputy manager: Current 2021/22 Maximum hourly pay rate ADJUSTED]])&lt;LIVING_WAGE_22_23,DATA[[#This Row],[Deputy manager: Numbers employed (Full Time Equivalent)]],0),"")</f>
        <v>0</v>
      </c>
      <c r="MI87" s="30" t="str">
        <f>IFERROR(IF(AVERAGE(DATA[[#This Row],[Other manager 1: Current 2021/22 Minimum hourly pay rate ADJUSTED]],DATA[[#This Row],[Other manager 1: Current 2021/22 Maximum hourly pay rate ADJUSTED]])&lt;LIVING_WAGE_22_23,DATA[[#This Row],[Other manager 1: Numbers employed (Full Time Equivalent)]],0),"")</f>
        <v/>
      </c>
      <c r="MJ87" s="30" t="str">
        <f>IFERROR(IF(AVERAGE(DATA[[#This Row],[Other manager 2: Current 2021/22 Minimum hourly pay rate ADJUSTED]],DATA[[#This Row],[Other manager 2: Current 2021/22 Maximum hourly pay rate ADJUSTED]])&lt;LIVING_WAGE_22_23,DATA[[#This Row],[Other manager 2: Numbers employed (Full Time Equivalent)]],0),"")</f>
        <v/>
      </c>
      <c r="MK87" s="30" t="str">
        <f>IFERROR(IF(AVERAGE(DATA[[#This Row],[Other manager 3: Current 2021/22 Minimum hourly pay rate ADJUSTED]],DATA[[#This Row],[Other manager 3: Current 2021/22 Maximum hourly pay rate ADJUSTED]])&lt;LIVING_WAGE_22_23,DATA[[#This Row],[Other manager 3: Numbers employed (Full Time Equivalent)]],0),"")</f>
        <v/>
      </c>
      <c r="ML87" s="30">
        <f>IFERROR(IF(AVERAGE(DATA[[#This Row],[Care Assistant 1: Current 2021/22 Minimum hourly pay rate ADJUSTED]],DATA[[#This Row],[Care Assistant 1: Current 2021/22 Maximum hourly pay rate ADJUSTED]])&lt;LIVING_WAGE_22_23,DATA[[#This Row],[Care Assistant 1: Numbers employed (Full Time Equivalent)]],0),"")</f>
        <v>0</v>
      </c>
      <c r="MM87" s="30">
        <f>IFERROR(IF(AVERAGE(DATA[[#This Row],[Care Assistant 2: Current 2021/22 Minimum hourly pay rate ADJUSTED]],DATA[[#This Row],[Care Assistant 2: Current 2021/22 Maximum hourly pay rate ADJUSTED]])&lt;LIVING_WAGE_22_23,DATA[[#This Row],[Care Assistant 2: Numbers employed (Full Time Equivalent)]],0),"")</f>
        <v>0</v>
      </c>
      <c r="MN87" s="30" t="str">
        <f>IFERROR(IF(AVERAGE(DATA[[#This Row],[Care Assistant 3: Current 2021/22 Minimum hourly pay rate ADJUSTED]],DATA[[#This Row],[Care Assistant 3: Current 2021/22 Maximum hourly pay rate ADJUSTED]])&lt;LIVING_WAGE_22_23,DATA[[#This Row],[Care Assistant 3: Numbers employed (Full Time Equivalent)]],0),"")</f>
        <v/>
      </c>
      <c r="MO87" s="30" t="str">
        <f>IFERROR(IF(AVERAGE(DATA[[#This Row],[Care Assistant 4: Current 2021/22 Minimum hourly pay rate ADJUSTED]],DATA[[#This Row],[Care Assistant 4: Current 2021/22 Maximum hourly pay rate ADJUSTED]])&lt;LIVING_WAGE_22_23,DATA[[#This Row],[Care Assistant 4: Numbers employed (Full Time Equivalent)]],0),"")</f>
        <v/>
      </c>
      <c r="MP87" s="30" t="str">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
      </c>
      <c r="MQ87"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87" s="30">
        <f>IFERROR(IF(AVERAGE(DATA[[#This Row],[Other staff 1: Current 2021/22 Minimum hourly pay rate ADJUSTED]],DATA[[#This Row],[Other staff 1: Current 2021/22 Maximum hourly pay rate ADJUSTED]])&lt;LIVING_WAGE_22_23,DATA[[#This Row],[Other staff 1: Numbers employed (Full Time Equivalent)]],0),"")</f>
        <v>0</v>
      </c>
      <c r="MS87" s="30">
        <f>IFERROR(IF(AVERAGE(DATA[[#This Row],[Other staff 2: Current 2021/22 Minimum hourly pay rate ADJUSTED]],DATA[[#This Row],[Other staff 2: Current 2021/22 Maximum hourly pay rate ADJUSTED]])&lt;LIVING_WAGE_22_23,DATA[[#This Row],[Other staff 2: Numbers employed (Full Time Equivalent)]],0),"")</f>
        <v>0</v>
      </c>
      <c r="MT87" s="30">
        <f>IFERROR(IF(AVERAGE(DATA[[#This Row],[Other staff 3: Current 2021/22 Minimum hourly pay rate ADJUSTED]],DATA[[#This Row],[Other staff 3: Current 2021/22 Maximum hourly pay rate ADJUSTED]])&lt;LIVING_WAGE_22_23,DATA[[#This Row],[Other staff 3: Numbers employed (Full Time Equivalent)]],0),"")</f>
        <v>0</v>
      </c>
      <c r="MU87" s="30">
        <f>SUM(DATA[[#This Row],[Registered Manager FTE earning less than NLW 23yrs 2022/23]:[Other staff 3 FTE earning less than NLW 23yrs 2022/23]])</f>
        <v>0</v>
      </c>
      <c r="MV87"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7"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87" s="30" t="str">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
      </c>
      <c r="MY87"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87"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87"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v>
      </c>
      <c r="NB87"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v>
      </c>
      <c r="NC87" s="30" t="str">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
      </c>
      <c r="ND87" s="30" t="str">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
      </c>
      <c r="NE87" s="30" t="str">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
      </c>
      <c r="NF87"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87" s="30">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0</v>
      </c>
      <c r="NH87" s="30">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0</v>
      </c>
      <c r="NI87" s="30">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0</v>
      </c>
      <c r="NJ87" s="30" t="b">
        <v>1</v>
      </c>
      <c r="NK87" s="30" t="b">
        <v>1</v>
      </c>
      <c r="NL87" s="30" t="s">
        <v>505</v>
      </c>
      <c r="NM87" s="30">
        <f>SUM(DATA[[#This Row],[Management staff HOURLY RATE]:[Training and development HOURLY RATE]])</f>
        <v>0</v>
      </c>
      <c r="NN87" s="30">
        <f>SUM(DATA[[#This Row],[Recruitment &amp; advertising (including DBS checks) HOURLY RATE]:[Non-Staffing Direct Cost: Other  - please specify (amount) 2 HOURLY RATE]])</f>
        <v>0</v>
      </c>
      <c r="NO87" s="30">
        <f>SUM(DATA[[#This Row],[Insurance  HOURLY RATE]:[Indirect costs: Other  - please specify (amount) 2 HOURLY RATE]])</f>
        <v>0</v>
      </c>
      <c r="NP87" s="30">
        <f>SUM(DATA[[#This Row],[Central / Regional Management HOURLY RATE]:[Corporate Overheads: Other  - please specify (amount) 2 HOURLY RATE]])</f>
        <v>0</v>
      </c>
      <c r="NQ87"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7" s="30">
        <f>IFERROR(IF(AVERAGE(DATA[[#This Row],[Deputy manager: Current 2021/22 Minimum hourly pay rate ADJUSTED]],DATA[[#This Row],[Deputy manager: Current 2021/22 Maximum hourly pay rate ADJUSTED]])&lt;REAL_LIVING_WAGE_22_23,DATA[[#This Row],[Deputy manager: Numbers employed (Full Time Equivalent)]],0),"")</f>
        <v>0</v>
      </c>
      <c r="NS87" s="30" t="str">
        <f>IFERROR(IF(AVERAGE(DATA[[#This Row],[Other manager 1: Current 2021/22 Minimum hourly pay rate ADJUSTED]],DATA[[#This Row],[Other manager 1: Current 2021/22 Maximum hourly pay rate ADJUSTED]])&lt;REAL_LIVING_WAGE_22_23,DATA[[#This Row],[Other manager 1: Numbers employed (Full Time Equivalent)]],0),"")</f>
        <v/>
      </c>
      <c r="NT87" s="30" t="str">
        <f>IFERROR(IF(AVERAGE(DATA[[#This Row],[Other manager 2: Current 2021/22 Minimum hourly pay rate ADJUSTED]],DATA[[#This Row],[Other manager 2: Current 2021/22 Maximum hourly pay rate ADJUSTED]])&lt;REAL_LIVING_WAGE_22_23,DATA[[#This Row],[Other manager 2: Numbers employed (Full Time Equivalent)]],0),"")</f>
        <v/>
      </c>
      <c r="NU87" s="30" t="str">
        <f>IFERROR(IF(AVERAGE(DATA[[#This Row],[Other manager 3: Current 2021/22 Minimum hourly pay rate ADJUSTED]],DATA[[#This Row],[Other manager 3: Current 2021/22 Maximum hourly pay rate ADJUSTED]])&lt;REAL_LIVING_WAGE_22_23,DATA[[#This Row],[Other manager 3: Numbers employed (Full Time Equivalent)]],0),"")</f>
        <v/>
      </c>
      <c r="NV87" s="30">
        <f>IFERROR(IF(AVERAGE(DATA[[#This Row],[Care Assistant 1: Current 2021/22 Minimum hourly pay rate ADJUSTED]],DATA[[#This Row],[Care Assistant 1: Current 2021/22 Maximum hourly pay rate ADJUSTED]])&lt;REAL_LIVING_WAGE_22_23,DATA[[#This Row],[Care Assistant 1: Numbers employed (Full Time Equivalent)]],0),"")</f>
        <v>0</v>
      </c>
      <c r="NW87" s="30">
        <f>IFERROR(IF(AVERAGE(DATA[[#This Row],[Care Assistant 2: Current 2021/22 Minimum hourly pay rate ADJUSTED]],DATA[[#This Row],[Care Assistant 2: Current 2021/22 Maximum hourly pay rate ADJUSTED]])&lt;REAL_LIVING_WAGE_22_23,DATA[[#This Row],[Care Assistant 2: Numbers employed (Full Time Equivalent)]],0),"")</f>
        <v>0</v>
      </c>
      <c r="NX87" s="30" t="str">
        <f>IFERROR(IF(AVERAGE(DATA[[#This Row],[Care Assistant 3: Current 2021/22 Minimum hourly pay rate ADJUSTED]],DATA[[#This Row],[Care Assistant 3: Current 2021/22 Maximum hourly pay rate ADJUSTED]])&lt;REAL_LIVING_WAGE_22_23,DATA[[#This Row],[Care Assistant 3: Numbers employed (Full Time Equivalent)]],0),"")</f>
        <v/>
      </c>
      <c r="NY87" s="30" t="str">
        <f>IFERROR(IF(AVERAGE(DATA[[#This Row],[Care Assistant 4: Current 2021/22 Minimum hourly pay rate ADJUSTED]],DATA[[#This Row],[Care Assistant 4: Current 2021/22 Maximum hourly pay rate ADJUSTED]])&lt;REAL_LIVING_WAGE_22_23,DATA[[#This Row],[Care Assistant 4: Numbers employed (Full Time Equivalent)]],0),"")</f>
        <v/>
      </c>
      <c r="NZ87" s="30" t="str">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
      </c>
      <c r="OA87"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87" s="30">
        <f>IFERROR(IF(AVERAGE(DATA[[#This Row],[Other staff 1: Current 2021/22 Minimum hourly pay rate ADJUSTED]],DATA[[#This Row],[Other staff 1: Current 2021/22 Maximum hourly pay rate ADJUSTED]])&lt;REAL_LIVING_WAGE_22_23,DATA[[#This Row],[Other staff 1: Numbers employed (Full Time Equivalent)]],0),"")</f>
        <v>0</v>
      </c>
      <c r="OC87" s="30">
        <f>IFERROR(IF(AVERAGE(DATA[[#This Row],[Other staff 2: Current 2021/22 Minimum hourly pay rate ADJUSTED]],DATA[[#This Row],[Other staff 2: Current 2021/22 Maximum hourly pay rate ADJUSTED]])&lt;REAL_LIVING_WAGE_22_23,DATA[[#This Row],[Other staff 2: Numbers employed (Full Time Equivalent)]],0),"")</f>
        <v>0</v>
      </c>
      <c r="OD87" s="30">
        <f>IFERROR(IF(AVERAGE(DATA[[#This Row],[Other staff 3: Current 2021/22 Minimum hourly pay rate ADJUSTED]],DATA[[#This Row],[Other staff 3: Current 2021/22 Maximum hourly pay rate ADJUSTED]])&lt;REAL_LIVING_WAGE_22_23,DATA[[#This Row],[Other staff 3: Numbers employed (Full Time Equivalent)]],0),"")</f>
        <v>0</v>
      </c>
      <c r="OE87" s="30">
        <f>SUM(DATA[[#This Row],[Registered Manager FTE earning less than RLW 23yrs 2022/23]:[Other staff 3 FTE earning less than RLW 23yrs 2022/23]])</f>
        <v>0</v>
      </c>
      <c r="OF87"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7"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87" s="30" t="str">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
      </c>
      <c r="OI87"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87"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87"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v>
      </c>
      <c r="OL87"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v>
      </c>
      <c r="OM87" s="30" t="str">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
      </c>
      <c r="ON87" s="30" t="str">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
      </c>
      <c r="OO87" s="30" t="str">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
      </c>
      <c r="OP87"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87" s="30">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0</v>
      </c>
      <c r="OR87" s="30">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0</v>
      </c>
      <c r="OS87" s="30">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0</v>
      </c>
      <c r="OT87" s="30">
        <f>IFERROR(IF(DATA[[#This Row],[Registered manager: Numbers employed (Full Time Equivalent)]]=0,"",DATA[[#This Row],[Registered manager: Current 2021/22 Minimum hourly pay rate ADJUSTED 2]]*DATA[[#This Row],[Registered manager: Numbers employed (Full Time Equivalent)]]),"")</f>
        <v>21.98</v>
      </c>
      <c r="OU87" s="30">
        <f>IFERROR(IF(DATA[[#This Row],[Registered manager: Numbers employed (Full Time Equivalent)]]=0,"",DATA[[#This Row],[Registered manager: Current 2021/22 Maximum hourly pay rate ADJUSTED 2]]*DATA[[#This Row],[Registered manager: Numbers employed (Full Time Equivalent)]]),"")</f>
        <v>21.98</v>
      </c>
      <c r="OV87" s="30">
        <f>IFERROR(IF(DATA[[#This Row],[Registered manager: Numbers employed (Full Time Equivalent)]]=0,"",DATA[[#This Row],[Registered manager: Previous 2020/21 Minimum hourly pay rate ADJUSTED 2]]*DATA[[#This Row],[Registered manager: Numbers employed (Full Time Equivalent)]]),"")</f>
        <v>21.71</v>
      </c>
      <c r="OW87" s="30">
        <f>IFERROR(IF(DATA[[#This Row],[Registered manager: Numbers employed (Full Time Equivalent)]]=0,"",DATA[[#This Row],[Registered manager: Previous 2020/21 Maximum hourly pay rate ADJUSTED 2]]*DATA[[#This Row],[Registered manager: Numbers employed (Full Time Equivalent)]]),"")</f>
        <v>21.71</v>
      </c>
      <c r="OX87" s="30">
        <f>IFERROR(IF(DATA[[#This Row],[Deputy manager: Numbers employed (Full Time Equivalent)]]=0,"",DATA[[#This Row],[Deputy manager: Current 2021/22 Minimum hourly pay rate ADJUSTED 2]]*DATA[[#This Row],[Deputy manager: Numbers employed (Full Time Equivalent)]]),"")</f>
        <v>15.85</v>
      </c>
      <c r="OY87" s="30">
        <f>IFERROR(IF(DATA[[#This Row],[Deputy manager: Numbers employed (Full Time Equivalent)]]=0,"",DATA[[#This Row],[Deputy manager: Current 2021/22 Maximum hourly pay rate ADJUSTED 2]]*DATA[[#This Row],[Deputy manager: Numbers employed (Full Time Equivalent)]]),"")</f>
        <v>15.85</v>
      </c>
      <c r="OZ87" s="30">
        <f>IFERROR(IF(DATA[[#This Row],[Deputy manager: Numbers employed (Full Time Equivalent)]]=0,"",DATA[[#This Row],[Deputy manager: Previous 2020/21 Minimum hourly pay rate ADJUSTED 2]]*DATA[[#This Row],[Deputy manager: Numbers employed (Full Time Equivalent)]]),"")</f>
        <v>15.85</v>
      </c>
      <c r="PA87" s="30">
        <f>IFERROR(IF(DATA[[#This Row],[Deputy manager: Numbers employed (Full Time Equivalent)]]=0,"",DATA[[#This Row],[Deputy manager: Previous 2020/21 Maximum hourly pay rate ADJUSTED 2]]*DATA[[#This Row],[Deputy manager: Numbers employed (Full Time Equivalent)]]),"")</f>
        <v>15.85</v>
      </c>
      <c r="PB87" s="30" t="str">
        <f>IFERROR(IF(DATA[[#This Row],[Other manager 1: Numbers employed (Full Time Equivalent)]]=0,"",DATA[[#This Row],[Other manager 1: Current 2021/22 Minimum hourly pay rate ADJUSTED 2]]*DATA[[#This Row],[Other manager 1: Numbers employed (Full Time Equivalent)]]),"")</f>
        <v/>
      </c>
      <c r="PC87" s="30" t="str">
        <f>IFERROR(IF(DATA[[#This Row],[Other manager 1: Numbers employed (Full Time Equivalent)]]=0,"",DATA[[#This Row],[Other manager 1: Current 2021/22 Maximum hourly pay rate ADJUSTED 2]]*DATA[[#This Row],[Other manager 1: Numbers employed (Full Time Equivalent)]]),"")</f>
        <v/>
      </c>
      <c r="PD87" s="30" t="str">
        <f>IFERROR(IF(DATA[[#This Row],[Other manager 1: Numbers employed (Full Time Equivalent)]]=0,"",DATA[[#This Row],[Other manager 1: Previous 2020/21 Minimum hourly pay rate ADJUSTED 2]]*DATA[[#This Row],[Other manager 1: Numbers employed (Full Time Equivalent)]]),"")</f>
        <v/>
      </c>
      <c r="PE87" s="30" t="str">
        <f>IFERROR(IF(DATA[[#This Row],[Other manager 1: Numbers employed (Full Time Equivalent)]]=0,"",DATA[[#This Row],[Other manager 1: Previous 2020/21 Maximum hourly pay rate ADJUSTED 2]]*DATA[[#This Row],[Other manager 1: Numbers employed (Full Time Equivalent)]]),"")</f>
        <v/>
      </c>
      <c r="PF87" s="30" t="str">
        <f>IFERROR(IF(DATA[[#This Row],[Other manager 2: Numbers employed (Full Time Equivalent)]]=0,"",DATA[[#This Row],[Other manager 2: Current 2021/22 Minimum hourly pay rate ADJUSTED 2]]*DATA[[#This Row],[Other manager 2: Numbers employed (Full Time Equivalent)]]),"")</f>
        <v/>
      </c>
      <c r="PG87" s="30" t="str">
        <f>IFERROR(IF(DATA[[#This Row],[Other manager 2: Numbers employed (Full Time Equivalent)]]=0,"",DATA[[#This Row],[Other manager 2: Current 2021/22 Maximum hourly pay rate ADJUSTED 2]]*DATA[[#This Row],[Other manager 2: Numbers employed (Full Time Equivalent)]]),"")</f>
        <v/>
      </c>
      <c r="PH87" s="30" t="str">
        <f>IFERROR(IF(DATA[[#This Row],[Other manager 2: Numbers employed (Full Time Equivalent)]]=0,"",DATA[[#This Row],[Other manager 2: Previous 2020/21 Minimum hourly pay rate ADJUSTED 2]]*DATA[[#This Row],[Other manager 2: Numbers employed (Full Time Equivalent)]]),"")</f>
        <v/>
      </c>
      <c r="PI87" s="30" t="str">
        <f>IFERROR(IF(DATA[[#This Row],[Other manager 2: Numbers employed (Full Time Equivalent)]]=0,"",DATA[[#This Row],[Other manager 2: Previous 2020/21 Maximum hourly pay rate ADJUSTED 2]]*DATA[[#This Row],[Other manager 2: Numbers employed (Full Time Equivalent)]]),"")</f>
        <v/>
      </c>
      <c r="PJ87" s="30" t="str">
        <f>IFERROR(IF(DATA[[#This Row],[Other manager 3: Numbers employed (Full Time Equivalent)]]=0,"",DATA[[#This Row],[Other manager 3: Current 2021/22 Minimum hourly pay rate ADJUSTED 2]]*DATA[[#This Row],[Other manager 3: Numbers employed (Full Time Equivalent)]]),"")</f>
        <v/>
      </c>
      <c r="PK87" s="30" t="str">
        <f>IFERROR(IF(DATA[[#This Row],[Other manager 3: Numbers employed (Full Time Equivalent)]]=0,"",DATA[[#This Row],[Other manager 3: Current 2021/22 Maximum hourly pay rate ADJUSTED 2]]*DATA[[#This Row],[Other manager 3: Numbers employed (Full Time Equivalent)]]),"")</f>
        <v/>
      </c>
      <c r="PL87" s="30" t="str">
        <f>IFERROR(IF(DATA[[#This Row],[Other manager 3: Numbers employed (Full Time Equivalent)]]=0,"",DATA[[#This Row],[Other manager 3: Previous 2020/21 Minimum hourly pay rate ADJUSTED 2]]*DATA[[#This Row],[Other manager 3: Numbers employed (Full Time Equivalent)]]),"")</f>
        <v/>
      </c>
      <c r="PM87" s="30" t="str">
        <f>IFERROR(IF(DATA[[#This Row],[Other manager 3: Numbers employed (Full Time Equivalent)]]=0,"",DATA[[#This Row],[Other manager 3: Previous 2020/21 Maximum hourly pay rate ADJUSTED 2]]*DATA[[#This Row],[Other manager 3: Numbers employed (Full Time Equivalent)]]),"")</f>
        <v/>
      </c>
      <c r="PN87" s="30">
        <f>IFERROR(IF(DATA[[#This Row],[Care Assistant 1: Numbers employed (Full Time Equivalent)]]=0,"",DATA[[#This Row],[Care Assistant 1: Current 2021/22 Minimum hourly pay rate ADJUSTED 2]]*DATA[[#This Row],[Care Assistant 1: Numbers employed (Full Time Equivalent)]]),"")</f>
        <v>119.88</v>
      </c>
      <c r="PO87" s="30">
        <f>IFERROR(IF(DATA[[#This Row],[Care Assistant 1: Numbers employed (Full Time Equivalent)]]=0,"",DATA[[#This Row],[Care Assistant 1: Current 2021/22 Maximum hourly pay rate ADJUSTED 2]]*DATA[[#This Row],[Care Assistant 1: Numbers employed (Full Time Equivalent)]]),"")</f>
        <v>130.44</v>
      </c>
      <c r="PP87" s="30">
        <f>IFERROR(IF(DATA[[#This Row],[Care Assistant 1: Numbers employed (Full Time Equivalent)]]=0,"",DATA[[#This Row],[Care Assistant 1: Previous 2020/21 Minimum hourly pay rate ADJUSTED 2]]*DATA[[#This Row],[Care Assistant 1: Numbers employed (Full Time Equivalent)]]),"")</f>
        <v>116.64000000000001</v>
      </c>
      <c r="PQ87" s="30">
        <f>IFERROR(IF(DATA[[#This Row],[Care Assistant 1: Numbers employed (Full Time Equivalent)]]=0,"",DATA[[#This Row],[Care Assistant 1: Previous 2020/21 Maximum hourly pay rate ADJUSTED 2]]*DATA[[#This Row],[Care Assistant 1: Numbers employed (Full Time Equivalent)]]),"")</f>
        <v>128.88</v>
      </c>
      <c r="PR87" s="30">
        <f>IFERROR(IF(DATA[[#This Row],[Care Assistant 2: Numbers employed (Full Time Equivalent)]]=0,"",DATA[[#This Row],[Care Assistant 2: Current 2021/22 Minimum hourly pay rate ADJUSTED 2]]*DATA[[#This Row],[Care Assistant 2: Numbers employed (Full Time Equivalent)]]),"")</f>
        <v>25.58</v>
      </c>
      <c r="PS87" s="30">
        <f>IFERROR(IF(DATA[[#This Row],[Care Assistant 2: Numbers employed (Full Time Equivalent)]]=0,"",DATA[[#This Row],[Care Assistant 2: Current 2021/22 Maximum hourly pay rate ADJUSTED 2]]*DATA[[#This Row],[Care Assistant 2: Numbers employed (Full Time Equivalent)]]),"")</f>
        <v>25.58</v>
      </c>
      <c r="PT87" s="30">
        <f>IFERROR(IF(DATA[[#This Row],[Care Assistant 2: Numbers employed (Full Time Equivalent)]]=0,"",DATA[[#This Row],[Care Assistant 2: Previous 2020/21 Minimum hourly pay rate ADJUSTED 2]]*DATA[[#This Row],[Care Assistant 2: Numbers employed (Full Time Equivalent)]]),"")</f>
        <v>25.58</v>
      </c>
      <c r="PU87" s="30">
        <f>IFERROR(IF(DATA[[#This Row],[Care Assistant 2: Numbers employed (Full Time Equivalent)]]=0,"",DATA[[#This Row],[Care Assistant 2: Previous 2020/21 Maximum hourly pay rate ADJUSTED 2]]*DATA[[#This Row],[Care Assistant 2: Numbers employed (Full Time Equivalent)]]),"")</f>
        <v>25.58</v>
      </c>
      <c r="PV87" s="30" t="str">
        <f>IFERROR(IF(DATA[[#This Row],[Care Assistant 3: Numbers employed (Full Time Equivalent)]]=0,"",DATA[[#This Row],[Care Assistant 3: Current 2021/22 Minimum hourly pay rate ADJUSTED 2]]*DATA[[#This Row],[Care Assistant 3: Numbers employed (Full Time Equivalent)]]),"")</f>
        <v/>
      </c>
      <c r="PW87" s="30" t="str">
        <f>IFERROR(IF(DATA[[#This Row],[Care Assistant 3: Numbers employed (Full Time Equivalent)]]=0,"",DATA[[#This Row],[Care Assistant 3: Current 2021/22 Maximum hourly pay rate ADJUSTED 2]]*DATA[[#This Row],[Care Assistant 3: Numbers employed (Full Time Equivalent)]]),"")</f>
        <v/>
      </c>
      <c r="PX87" s="30" t="str">
        <f>IFERROR(IF(DATA[[#This Row],[Care Assistant 3: Numbers employed (Full Time Equivalent)]]=0,"",DATA[[#This Row],[Care Assistant 3: Previous 2020/21 Minimum hourly pay rate ADJUSTED 2]]*DATA[[#This Row],[Care Assistant 3: Numbers employed (Full Time Equivalent)]]),"")</f>
        <v/>
      </c>
      <c r="PY87" s="30" t="str">
        <f>IFERROR(IF(DATA[[#This Row],[Care Assistant 3: Numbers employed (Full Time Equivalent)]]=0,"",DATA[[#This Row],[Care Assistant 3: Previous 2020/21 Maximum hourly pay rate ADJUSTED 2]]*DATA[[#This Row],[Care Assistant 3: Numbers employed (Full Time Equivalent)]]),"")</f>
        <v/>
      </c>
      <c r="PZ87" s="30" t="str">
        <f>IFERROR(IF(DATA[[#This Row],[Care Assistant 4: Numbers employed (Full Time Equivalent)]]=0,"",DATA[[#This Row],[Care Assistant 4: Current 2021/22 Minimum hourly pay rate ADJUSTED 2]]*DATA[[#This Row],[Care Assistant 4: Numbers employed (Full Time Equivalent)]]),"")</f>
        <v/>
      </c>
      <c r="QA87" s="30" t="str">
        <f>IFERROR(IF(DATA[[#This Row],[Care Assistant 4: Numbers employed (Full Time Equivalent)]]=0,"",DATA[[#This Row],[Care Assistant 4: Current 2021/22 Maximum hourly pay rate ADJUSTED 2]]*DATA[[#This Row],[Care Assistant 4: Numbers employed (Full Time Equivalent)]]),"")</f>
        <v/>
      </c>
      <c r="QB87" s="30" t="str">
        <f>IFERROR(IF(DATA[[#This Row],[Care Assistant 4: Numbers employed (Full Time Equivalent)]]=0,"",DATA[[#This Row],[Care Assistant 4: Previous 2020/21 Minimum hourly pay rate ADJUSTED 2]]*DATA[[#This Row],[Care Assistant 4: Numbers employed (Full Time Equivalent)]]),"")</f>
        <v/>
      </c>
      <c r="QC87" s="30" t="str">
        <f>IFERROR(IF(DATA[[#This Row],[Care Assistant 4: Numbers employed (Full Time Equivalent)]]=0,"",DATA[[#This Row],[Care Assistant 4: Previous 2020/21 Maximum hourly pay rate ADJUSTED 2]]*DATA[[#This Row],[Care Assistant 4: Numbers employed (Full Time Equivalent)]]),"")</f>
        <v/>
      </c>
      <c r="QD87" s="30" t="str">
        <f>IFERROR(IF(DATA[[#This Row],[Administrative Officer 1: Numbers employed (Full Time Equivalent)]]=0,"",DATA[[#This Row],[Administrative Officer 1: Current 2021/22 Minimum hourly pay rate ADJUSTED 2]]*DATA[[#This Row],[Administrative Officer 1: Numbers employed (Full Time Equivalent)]]),"")</f>
        <v/>
      </c>
      <c r="QE87" s="30" t="str">
        <f>IFERROR(IF(DATA[[#This Row],[Administrative Officer 1: Numbers employed (Full Time Equivalent)]]=0,"",DATA[[#This Row],[Administrative Officer 1: Current 2021/22 Maximum hourly pay rate ADJUSTED 2]]*DATA[[#This Row],[Administrative Officer 1: Numbers employed (Full Time Equivalent)]]),"")</f>
        <v/>
      </c>
      <c r="QF87" s="30" t="str">
        <f>IFERROR(IF(DATA[[#This Row],[Administrative Officer 1: Numbers employed (Full Time Equivalent)]]=0,"",DATA[[#This Row],[Administrative Officer 1: Previous 2020/21 Minimum hourly pay rate ADJUSTED 2]]*DATA[[#This Row],[Administrative Officer 1: Numbers employed (Full Time Equivalent)]]),"")</f>
        <v/>
      </c>
      <c r="QG87" s="30" t="str">
        <f>IFERROR(IF(DATA[[#This Row],[Administrative Officer 1: Numbers employed (Full Time Equivalent)]]=0,"",DATA[[#This Row],[Administrative Officer 1: Previous 2020/21 Maximum hourly pay rate ADJUSTED 2]]*DATA[[#This Row],[Administrative Officer 1: Numbers employed (Full Time Equivalent)]]),"")</f>
        <v/>
      </c>
      <c r="QH87" s="30" t="str">
        <f>IFERROR(IF(DATA[[#This Row],[Administrative Officer 2: Numbers employed (Full Time Equivalent)]]=0,"",DATA[[#This Row],[Administrative Officer 2: Current 2021/22 Minimum hourly pay rate ADJUSTED 2]]*DATA[[#This Row],[Administrative Officer 2: Numbers employed (Full Time Equivalent)]]),"")</f>
        <v/>
      </c>
      <c r="QI87" s="30" t="str">
        <f>IFERROR(IF(DATA[[#This Row],[Administrative Officer 2: Numbers employed (Full Time Equivalent)]]=0,"",DATA[[#This Row],[Administrative Officer 2: Current 2021/22 Maximum hourly pay rate ADJUSTED 2]]*DATA[[#This Row],[Administrative Officer 2: Numbers employed (Full Time Equivalent)]]),"")</f>
        <v/>
      </c>
      <c r="QJ87" s="30" t="str">
        <f>IFERROR(IF(DATA[[#This Row],[Administrative Officer 2: Numbers employed (Full Time Equivalent)]]=0,"",DATA[[#This Row],[Administrative Officer 2: Previous 2020/21 Minimum hourly pay rate ADJUSTED 2]]*DATA[[#This Row],[Administrative Officer 2: Numbers employed (Full Time Equivalent)]]),"")</f>
        <v/>
      </c>
      <c r="QK87" s="30" t="str">
        <f>IFERROR(IF(DATA[[#This Row],[Administrative Officer 2: Numbers employed (Full Time Equivalent)]]=0,"",DATA[[#This Row],[Administrative Officer 2: Previous 2020/21 Maximum hourly pay rate ADJUSTED 2]]*DATA[[#This Row],[Administrative Officer 2: Numbers employed (Full Time Equivalent)]]),"")</f>
        <v/>
      </c>
      <c r="QL87" s="30" t="str">
        <f>IFERROR(IF(DATA[[#This Row],[Administrative Officer 3: Numbers employed (Full Time Equivalent)]]=0,"",DATA[[#This Row],[Administrative Officer 3: Current 2021/22 Minimum hourly pay rate ADJUSTED 2]]*DATA[[#This Row],[Administrative Officer 3: Numbers employed (Full Time Equivalent)]]),"")</f>
        <v/>
      </c>
      <c r="QM87" s="30" t="str">
        <f>IFERROR(IF(DATA[[#This Row],[Administrative Officer 3: Numbers employed (Full Time Equivalent)]]=0,"",DATA[[#This Row],[Administrative Officer 3: Current 2021/22 Maximum hourly pay rate ADJUSTED 2]]*DATA[[#This Row],[Administrative Officer 3: Numbers employed (Full Time Equivalent)]]),"")</f>
        <v/>
      </c>
      <c r="QN87" s="30" t="str">
        <f>IFERROR(IF(DATA[[#This Row],[Administrative Officer 3: Numbers employed (Full Time Equivalent)]]=0,"",DATA[[#This Row],[Administrative Officer 3: Previous 2020/21 Minimum hourly pay rate ADJUSTED 2]]*DATA[[#This Row],[Administrative Officer 3: Numbers employed (Full Time Equivalent)]]),"")</f>
        <v/>
      </c>
      <c r="QO87" s="30" t="str">
        <f>IFERROR(IF(DATA[[#This Row],[Administrative Officer 3: Numbers employed (Full Time Equivalent)]]=0,"",DATA[[#This Row],[Administrative Officer 3: Previous 2020/21 Maximum hourly pay rate ADJUSTED 2]]*DATA[[#This Row],[Administrative Officer 3: Numbers employed (Full Time Equivalent)]]),"")</f>
        <v/>
      </c>
      <c r="QP87" s="28">
        <f>IFERROR(IF(DATA[[#This Row],[Other staff 1: Numbers employed (Full Time Equivalent)]]=0,"",DATA[[#This Row],[Other staff 1: Current 2021/22 Minimum hourly pay rate ADJUSTED 2]]*DATA[[#This Row],[Other staff 1: Numbers employed (Full Time Equivalent)]]),"")</f>
        <v>23.53</v>
      </c>
      <c r="QQ87" s="28">
        <f>IFERROR(IF(DATA[[#This Row],[Other staff 1: Numbers employed (Full Time Equivalent)]]=0,"",DATA[[#This Row],[Other staff 1: Current 2021/22 Maximum hourly pay rate ADJUSTED 2]]*DATA[[#This Row],[Other staff 1: Numbers employed (Full Time Equivalent)]]),"")</f>
        <v>23.53</v>
      </c>
      <c r="QR87" s="28">
        <f>IFERROR(IF(DATA[[#This Row],[Other staff 1: Numbers employed (Full Time Equivalent)]]=0,"",DATA[[#This Row],[Other staff 1: Previous 2020/21 Minimum hourly pay rate ADJUSTED 2]]*DATA[[#This Row],[Other staff 1: Numbers employed (Full Time Equivalent)]]),"")</f>
        <v>23.53</v>
      </c>
      <c r="QS87" s="28">
        <f>IFERROR(IF(DATA[[#This Row],[Other staff 1: Numbers employed (Full Time Equivalent)]]=0,"",DATA[[#This Row],[Other staff 1: Previous 2020/21 Maximum hourly pay rate ADJUSTED 2]]*DATA[[#This Row],[Other staff 1: Numbers employed (Full Time Equivalent)]]),"")</f>
        <v>23.53</v>
      </c>
      <c r="QT87" s="28">
        <f>IFERROR(IF(DATA[[#This Row],[Other staff 2: Numbers employed (Full Time Equivalent)]]=0,"",DATA[[#This Row],[Other staff 2: Current 2021/22 Minimum hourly pay rate ADJUSTED 2]]*DATA[[#This Row],[Other staff 2: Numbers employed (Full Time Equivalent)]]),"")</f>
        <v>28.13</v>
      </c>
      <c r="QU87" s="28">
        <f>IFERROR(IF(DATA[[#This Row],[Other staff 2: Numbers employed (Full Time Equivalent)]]=0,"",DATA[[#This Row],[Other staff 2: Current 2021/22 Maximum hourly pay rate ADJUSTED 2]]*DATA[[#This Row],[Other staff 2: Numbers employed (Full Time Equivalent)]]),"")</f>
        <v>28.13</v>
      </c>
      <c r="QV87" s="28">
        <f>IFERROR(IF(DATA[[#This Row],[Other staff 2: Numbers employed (Full Time Equivalent)]]=0,"",DATA[[#This Row],[Other staff 2: Previous 2020/21 Minimum hourly pay rate ADJUSTED 2]]*DATA[[#This Row],[Other staff 2: Numbers employed (Full Time Equivalent)]]),"")</f>
        <v>28.13</v>
      </c>
      <c r="QW87" s="28">
        <f>IFERROR(IF(DATA[[#This Row],[Other staff 2: Numbers employed (Full Time Equivalent)]]=0,"",DATA[[#This Row],[Other staff 2: Previous 2020/21 Maximum hourly pay rate ADJUSTED 2]]*DATA[[#This Row],[Other staff 2: Numbers employed (Full Time Equivalent)]]),"")</f>
        <v>28.13</v>
      </c>
      <c r="QX87" s="28">
        <f>IFERROR(IF(DATA[[#This Row],[Other staff 3: Numbers employed (Full Time Equivalent)]]=0,"",DATA[[#This Row],[Other staff 3: Current 2021/22 Minimum hourly pay rate ADJUSTED 2]]*DATA[[#This Row],[Other staff 3: Numbers employed (Full Time Equivalent)]]),"")</f>
        <v>26.59</v>
      </c>
      <c r="QY87" s="28">
        <f>IFERROR(IF(DATA[[#This Row],[Other staff 3: Numbers employed (Full Time Equivalent)]]=0,"",DATA[[#This Row],[Other staff 3: Current 2021/22 Maximum hourly pay rate ADJUSTED 2]]*DATA[[#This Row],[Other staff 3: Numbers employed (Full Time Equivalent)]]),"")</f>
        <v>26.59</v>
      </c>
      <c r="QZ87" s="28">
        <f>IFERROR(IF(DATA[[#This Row],[Other staff 3: Numbers employed (Full Time Equivalent)]]=0,"",DATA[[#This Row],[Other staff 3: Previous 2020/21 Minimum hourly pay rate ADJUSTED 2]]*DATA[[#This Row],[Other staff 3: Numbers employed (Full Time Equivalent)]]),"")</f>
        <v>26.59</v>
      </c>
      <c r="RA87" s="28">
        <f>IFERROR(IF(DATA[[#This Row],[Other staff 3: Numbers employed (Full Time Equivalent)]]=0,"",DATA[[#This Row],[Other staff 3: Previous 2020/21 Maximum hourly pay rate ADJUSTED 2]]*DATA[[#This Row],[Other staff 3: Numbers employed (Full Time Equivalent)]]),"")</f>
        <v>26.59</v>
      </c>
      <c r="RB87"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87"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1</v>
      </c>
      <c r="RD87"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0</v>
      </c>
      <c r="RE87"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87"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87"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12</v>
      </c>
      <c r="RH87"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2</v>
      </c>
      <c r="RI87"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0</v>
      </c>
      <c r="RJ87"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0</v>
      </c>
      <c r="RK87"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87"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87"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87"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1</v>
      </c>
      <c r="RO87"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1</v>
      </c>
      <c r="RP87"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1</v>
      </c>
    </row>
    <row r="88" spans="3:484" x14ac:dyDescent="0.25">
      <c r="G88" s="2">
        <v>82</v>
      </c>
      <c r="H88" s="2">
        <v>1</v>
      </c>
      <c r="I88" s="2">
        <v>4</v>
      </c>
      <c r="J88" s="2">
        <v>0.1</v>
      </c>
      <c r="K88" s="2">
        <v>0.9</v>
      </c>
      <c r="L88" s="2" t="s">
        <v>323</v>
      </c>
      <c r="M88" s="2" t="s">
        <v>323</v>
      </c>
      <c r="P88" s="21"/>
      <c r="R88" s="2">
        <v>30</v>
      </c>
      <c r="S88" s="2">
        <v>0</v>
      </c>
      <c r="T88" s="2">
        <v>0</v>
      </c>
      <c r="U88" s="2">
        <v>0</v>
      </c>
      <c r="V88" s="2">
        <v>1</v>
      </c>
      <c r="W88" s="2">
        <v>25</v>
      </c>
      <c r="X88" s="2">
        <v>0</v>
      </c>
      <c r="Y88" s="2">
        <v>0</v>
      </c>
      <c r="Z88" s="2">
        <v>0</v>
      </c>
      <c r="AA88" s="2">
        <v>1</v>
      </c>
      <c r="AB88" s="2" t="s">
        <v>805</v>
      </c>
      <c r="AC88" s="2">
        <v>15.5</v>
      </c>
      <c r="AD88" s="2">
        <v>15.5</v>
      </c>
      <c r="AE88" s="2">
        <v>10</v>
      </c>
      <c r="AF88" s="2">
        <v>10</v>
      </c>
      <c r="AG88" s="2">
        <v>2</v>
      </c>
      <c r="AH88" s="2" t="s">
        <v>315</v>
      </c>
      <c r="AI88" s="2">
        <v>0</v>
      </c>
      <c r="AJ88" s="2">
        <v>0</v>
      </c>
      <c r="AK88" s="2">
        <v>0</v>
      </c>
      <c r="AL88" s="2">
        <v>0</v>
      </c>
      <c r="AM88" s="2">
        <v>0</v>
      </c>
      <c r="AN88" s="2" t="s">
        <v>315</v>
      </c>
      <c r="AO88" s="2">
        <v>0</v>
      </c>
      <c r="AP88" s="2">
        <v>0</v>
      </c>
      <c r="AQ88" s="2">
        <v>0</v>
      </c>
      <c r="AR88" s="2">
        <v>0</v>
      </c>
      <c r="AS88" s="2">
        <v>0</v>
      </c>
      <c r="AT88" s="2" t="s">
        <v>806</v>
      </c>
      <c r="AU88" s="2">
        <v>9.25</v>
      </c>
      <c r="AV88" s="2">
        <v>9.25</v>
      </c>
      <c r="AW88" s="2">
        <v>9.1999999999999993</v>
      </c>
      <c r="AX88" s="2">
        <v>9.1999999999999993</v>
      </c>
      <c r="AY88" s="2">
        <v>1</v>
      </c>
      <c r="AZ88" s="2" t="s">
        <v>807</v>
      </c>
      <c r="BA88" s="2">
        <v>9.0500000000000007</v>
      </c>
      <c r="BB88" s="2">
        <v>9.0500000000000007</v>
      </c>
      <c r="BC88" s="2">
        <v>9</v>
      </c>
      <c r="BD88" s="2">
        <v>9</v>
      </c>
      <c r="BE88" s="2">
        <v>1</v>
      </c>
      <c r="BF88" s="2" t="s">
        <v>808</v>
      </c>
      <c r="BG88" s="2">
        <v>9.0500000000000007</v>
      </c>
      <c r="BH88" s="2">
        <v>9.0500000000000007</v>
      </c>
      <c r="BI88" s="2">
        <v>8.9</v>
      </c>
      <c r="BJ88" s="2">
        <v>8.9</v>
      </c>
      <c r="BK88" s="2">
        <v>2</v>
      </c>
      <c r="BL88" s="2" t="s">
        <v>408</v>
      </c>
      <c r="BM88" s="2">
        <v>8.91</v>
      </c>
      <c r="BN88" s="2">
        <v>8.91</v>
      </c>
      <c r="BO88" s="2">
        <v>8.7200000000000006</v>
      </c>
      <c r="BP88" s="2">
        <v>8.7200000000000006</v>
      </c>
      <c r="BQ88" s="2">
        <v>14</v>
      </c>
      <c r="BR88" s="2" t="s">
        <v>317</v>
      </c>
      <c r="BS88" s="2">
        <v>15.5</v>
      </c>
      <c r="BT88" s="2">
        <v>15.5</v>
      </c>
      <c r="BU88" s="2">
        <v>10</v>
      </c>
      <c r="BV88" s="2">
        <v>0</v>
      </c>
      <c r="BW88" s="2">
        <v>0</v>
      </c>
      <c r="BX88" s="2" t="s">
        <v>317</v>
      </c>
      <c r="BY88" s="2">
        <v>0</v>
      </c>
      <c r="BZ88" s="2">
        <v>0</v>
      </c>
      <c r="CA88" s="2">
        <v>0</v>
      </c>
      <c r="CB88" s="2">
        <v>0</v>
      </c>
      <c r="CC88" s="2">
        <v>0</v>
      </c>
      <c r="CD88" s="2" t="s">
        <v>317</v>
      </c>
      <c r="CE88" s="2">
        <v>0</v>
      </c>
      <c r="CF88" s="2">
        <v>0</v>
      </c>
      <c r="CG88" s="2">
        <v>0</v>
      </c>
      <c r="CH88" s="2">
        <v>0</v>
      </c>
      <c r="CI88" s="2">
        <v>0</v>
      </c>
      <c r="CJ88" s="2" t="s">
        <v>318</v>
      </c>
      <c r="CK88" s="2">
        <v>0</v>
      </c>
      <c r="CL88" s="2">
        <v>0</v>
      </c>
      <c r="CM88" s="2">
        <v>0</v>
      </c>
      <c r="CN88" s="2">
        <v>0</v>
      </c>
      <c r="CO88" s="2">
        <v>0</v>
      </c>
      <c r="CP88" s="2" t="s">
        <v>318</v>
      </c>
      <c r="CQ88" s="2">
        <v>0</v>
      </c>
      <c r="CR88" s="2">
        <v>0</v>
      </c>
      <c r="CS88" s="2">
        <v>0</v>
      </c>
      <c r="CT88" s="2">
        <v>0</v>
      </c>
      <c r="CU88" s="2">
        <v>0</v>
      </c>
      <c r="CV88" s="2" t="s">
        <v>318</v>
      </c>
      <c r="CW88" s="2">
        <v>0</v>
      </c>
      <c r="CX88" s="2">
        <v>0</v>
      </c>
      <c r="CY88" s="2">
        <v>0</v>
      </c>
      <c r="CZ88" s="2">
        <v>0</v>
      </c>
      <c r="DA88" s="2">
        <v>0</v>
      </c>
      <c r="DB88" s="2">
        <v>6.0000000000000001E-3</v>
      </c>
      <c r="DC88" s="2">
        <v>0</v>
      </c>
      <c r="DD88" s="2">
        <v>0</v>
      </c>
      <c r="DE88" s="2">
        <v>0</v>
      </c>
      <c r="DF88" s="2">
        <v>0</v>
      </c>
      <c r="DG88" s="2">
        <v>336</v>
      </c>
      <c r="DH88" s="2">
        <v>0</v>
      </c>
      <c r="DI88" s="2">
        <v>179</v>
      </c>
      <c r="DJ88" s="2">
        <v>0</v>
      </c>
      <c r="DK88" s="2">
        <v>0</v>
      </c>
      <c r="DL88" s="2">
        <v>84</v>
      </c>
      <c r="DM88" s="2">
        <v>0</v>
      </c>
      <c r="DN88" s="2">
        <v>0</v>
      </c>
      <c r="DO88" s="2">
        <v>15.27</v>
      </c>
      <c r="DP88" s="2">
        <v>0</v>
      </c>
      <c r="DQ88" s="2">
        <v>14.79</v>
      </c>
      <c r="DR88" s="18">
        <v>43647</v>
      </c>
      <c r="DS88" s="18">
        <v>44012</v>
      </c>
      <c r="DT88" s="18">
        <v>9980</v>
      </c>
      <c r="DU88" s="2">
        <v>0</v>
      </c>
      <c r="DV88" s="2">
        <v>0</v>
      </c>
      <c r="DW88" s="2">
        <v>0</v>
      </c>
      <c r="DX88" s="2">
        <v>0</v>
      </c>
      <c r="DY88" s="2">
        <v>0</v>
      </c>
      <c r="DZ88" s="2">
        <v>0</v>
      </c>
      <c r="EA88" s="2">
        <v>0</v>
      </c>
      <c r="EB88" s="2">
        <v>0</v>
      </c>
      <c r="EC88" s="2">
        <v>0</v>
      </c>
      <c r="ED88" s="2">
        <v>0</v>
      </c>
      <c r="EE88" s="2">
        <v>0</v>
      </c>
      <c r="EF88" s="2">
        <v>0</v>
      </c>
      <c r="EG88" s="2">
        <v>0</v>
      </c>
      <c r="EH88" s="2" t="s">
        <v>324</v>
      </c>
      <c r="EI88" s="2">
        <v>0</v>
      </c>
      <c r="EJ88" s="2" t="s">
        <v>324</v>
      </c>
      <c r="EK88" s="2">
        <v>0</v>
      </c>
      <c r="EL88" s="2">
        <v>3140</v>
      </c>
      <c r="EM88" s="2">
        <v>2140</v>
      </c>
      <c r="EN88" s="2">
        <v>6005</v>
      </c>
      <c r="EO88" s="2">
        <v>135000</v>
      </c>
      <c r="EP88" s="2">
        <v>456</v>
      </c>
      <c r="EQ88" s="2">
        <v>905</v>
      </c>
      <c r="ER88" s="2">
        <v>0</v>
      </c>
      <c r="ES88" s="2">
        <v>48</v>
      </c>
      <c r="ET88" s="2" t="s">
        <v>324</v>
      </c>
      <c r="EU88" s="2">
        <v>0</v>
      </c>
      <c r="EV88" s="2" t="s">
        <v>324</v>
      </c>
      <c r="EW88" s="2">
        <v>0</v>
      </c>
      <c r="EX88" s="2">
        <v>0</v>
      </c>
      <c r="EY88" s="2">
        <v>1320</v>
      </c>
      <c r="EZ88" s="2" t="s">
        <v>326</v>
      </c>
      <c r="FA88" s="2">
        <v>0</v>
      </c>
      <c r="FB88" s="2" t="s">
        <v>326</v>
      </c>
      <c r="FC88" s="2">
        <v>0</v>
      </c>
      <c r="FD88" s="2">
        <v>54027</v>
      </c>
      <c r="FE88" s="2">
        <v>0</v>
      </c>
      <c r="FF88" s="2">
        <v>0</v>
      </c>
      <c r="FG88" s="2"/>
      <c r="FH88" s="19">
        <v>44496.493159722224</v>
      </c>
      <c r="FI88" s="2" t="s">
        <v>364</v>
      </c>
      <c r="FJ88" s="2">
        <f>SUM(DATA[[#This Row],[Number of Home support clients:]],DATA[[#This Row],[Number of supported living clients:]])</f>
        <v>5</v>
      </c>
      <c r="FK88" s="21" t="str">
        <f>IF(DATA[[#This Row],[Total number of clients]]=0,0,IF(DATA[[#This Row],[Total number of clients]]&gt;200,"201+",10*MATCH(DATA[[#This Row],[Total number of clients]],{1,11,21,31,41,51,61,71,81,91,101,111,121,131,141,151,161,171,181,191},1)-9 &amp;"-"&amp;10*MATCH(DATA[[#This Row],[Total number of clients]],{1,11,21,31,41,51,61,71,81,91,101,111,121,131,141,151,161,171,181,191},1)))</f>
        <v>1-10</v>
      </c>
      <c r="FL88" s="21">
        <f>IF(IF(DATA[[#This Row],[Registered manager: Current 2021/22 Minimum hourly pay rate]]&gt;0,DATA[[#This Row],[Registered manager: Current 2021/22 Minimum hourly pay rate]],DATA[[#This Row],[Registered manager: Current 2021/22 Maximum hourly pay rate]])&gt;=MIN_WAGE_21_22,IF(DATA[[#This Row],[Registered manager: Current 2021/22 Minimum hourly pay rate]]&gt;0,DATA[[#This Row],[Registered manager: Current 2021/22 Minimum hourly pay rate]],DATA[[#This Row],[Registered manager: Current 2021/22 Maximum hourly pay rate]]),"")</f>
        <v>30</v>
      </c>
      <c r="FM88" s="21">
        <f>IF(IF(DATA[[#This Row],[Registered manager: Current 2021/22 Maximum hourly pay rate]]&gt;0,DATA[[#This Row],[Registered manager: Current 2021/22 Maximum hourly pay rate]],DATA[[#This Row],[Registered manager: Current 2021/22 Minimum hourly pay rate]])&gt;=MIN_WAGE_21_22,IF(DATA[[#This Row],[Registered manager: Current 2021/22 Maximum hourly pay rate]]&gt;0,DATA[[#This Row],[Registered manager: Current 2021/22 Maximum hourly pay rate]],DATA[[#This Row],[Registered manager: Current 2021/22 Minimum hourly pay rate]]),"")</f>
        <v>30</v>
      </c>
      <c r="FN88" s="21" t="str">
        <f>IF(IF(DATA[[#This Row],[Registered manager: Previous 2020/21 Minimum hourly pay rate]]&gt;0,DATA[[#This Row],[Registered manager: Previous 2020/21 Minimum hourly pay rate]],DATA[[#This Row],[Registered manager: Previous 2020/21 Maximum hourly pay rate]])&gt;=MIN_WAGE_20_21,IF(DATA[[#This Row],[Registered manager: Previous 2020/21 Minimum hourly pay rate]]&gt;0,DATA[[#This Row],[Registered manager: Previous 2020/21 Minimum hourly pay rate]],DATA[[#This Row],[Registered manager: Previous 2020/21 Maximum hourly pay rate]]),"")</f>
        <v/>
      </c>
      <c r="FO88" s="21" t="str">
        <f>IF(IF(DATA[[#This Row],[Registered manager: Previous 2020/21 Maximum hourly pay rate]]&gt;0,DATA[[#This Row],[Registered manager: Previous 2020/21 Maximum hourly pay rate]],DATA[[#This Row],[Registered manager: Previous 2020/21 Minimum hourly pay rate]])&gt;=MIN_WAGE_20_21,IF(DATA[[#This Row],[Registered manager: Previous 2020/21 Maximum hourly pay rate]]&gt;0,DATA[[#This Row],[Registered manager: Previous 2020/21 Maximum hourly pay rate]],DATA[[#This Row],[Registered manager: Previous 2020/21 Minimum hourly pay rate]]),"")</f>
        <v/>
      </c>
      <c r="FP88" s="21">
        <f>IF(IF(DATA[[#This Row],[Deputy manager: Current 2021/22 Minimum hourly pay rate]]&gt;0,DATA[[#This Row],[Deputy manager: Current 2021/22 Minimum hourly pay rate]],DATA[[#This Row],[Deputy manager: Current 2021/22 Maximum hourly pay rate]])&gt;=MIN_WAGE_21_22,IF(DATA[[#This Row],[Deputy manager: Current 2021/22 Minimum hourly pay rate]]&gt;0,DATA[[#This Row],[Deputy manager: Current 2021/22 Minimum hourly pay rate]],DATA[[#This Row],[Deputy manager: Current 2021/22 Maximum hourly pay rate]]),"")</f>
        <v>25</v>
      </c>
      <c r="FQ88" s="21" t="str">
        <f>IF(IF(DATA[[#This Row],[Deputy manager: Current 2021/22 Maximum hourly pay rate]]&gt;0,DATA[[#This Row],[Deputy manager: Current 2021/22 Maximum hourly pay rate]],DATA[[#This Row],[Deputy manager: Current 2021/22 Maximum hourly pay rate]])&gt;=MIN_WAGE_21_22,IF(DATA[[#This Row],[Deputy manager: Current 2021/22 Maximum hourly pay rate]]&gt;0,DATA[[#This Row],[Deputy manager: Current 2021/22 Maximum hourly pay rate]],DATA[[#This Row],[Deputy manager: Current 2021/22 Maximum hourly pay rate]]),"")</f>
        <v/>
      </c>
      <c r="FR88" s="21" t="str">
        <f>IF(IF(DATA[[#This Row],[Deputy manager: Previous 2020/21 Minimum hourly pay rate]]&gt;0,DATA[[#This Row],[Deputy manager: Previous 2020/21 Minimum hourly pay rate]],DATA[[#This Row],[Deputy manager: Previous 2020/21 Maximum hourly pay rate]])&gt;=MIN_WAGE_20_21,IF(DATA[[#This Row],[Deputy manager: Previous 2020/21 Minimum hourly pay rate]]&gt;0,DATA[[#This Row],[Deputy manager: Previous 2020/21 Minimum hourly pay rate]],DATA[[#This Row],[Deputy manager: Previous 2020/21 Maximum hourly pay rate]]),"")</f>
        <v/>
      </c>
      <c r="FS88" s="21" t="str">
        <f>IF(IF(DATA[[#This Row],[Deputy manager: Previous 2020/21 Maximum hourly pay rate]]&gt;0,DATA[[#This Row],[Deputy manager: Previous 2020/21 Maximum hourly pay rate]],DATA[[#This Row],[Deputy manager: Previous 2020/21 Minimum hourly pay rate]])&gt;=MIN_WAGE_20_21,IF(DATA[[#This Row],[Deputy manager: Previous 2020/21 Maximum hourly pay rate]]&gt;0,DATA[[#This Row],[Deputy manager: Previous 2020/21 Maximum hourly pay rate]],DATA[[#This Row],[Deputy manager: Previous 2020/21 Minimum hourly pay rate]]),"")</f>
        <v/>
      </c>
      <c r="FT88" s="21">
        <f>IF(IF(DATA[[#This Row],[Other manager 1: Current 2021/22 Minimum hourly pay rate]]&gt;0,DATA[[#This Row],[Other manager 1: Current 2021/22 Minimum hourly pay rate]],DATA[[#This Row],[Other manager 1: Current 2021/22 Maximum hourly pay rate]])&gt;=MIN_WAGE_21_22,IF(DATA[[#This Row],[Other manager 1: Current 2021/22 Minimum hourly pay rate]]&gt;0,DATA[[#This Row],[Other manager 1: Current 2021/22 Minimum hourly pay rate]],DATA[[#This Row],[Other manager 1: Current 2021/22 Maximum hourly pay rate]]),"")</f>
        <v>15.5</v>
      </c>
      <c r="FU88" s="21">
        <f>IF(IF(DATA[[#This Row],[Other manager 1: Current 2021/22 Maximum hourly pay rate]]&gt;0,DATA[[#This Row],[Other manager 1: Current 2021/22 Maximum hourly pay rate]],DATA[[#This Row],[Other manager 1: Current 2021/22 Minimum hourly pay rate]])&gt;=MIN_WAGE_21_22,IF(DATA[[#This Row],[Other manager 1: Current 2021/22 Maximum hourly pay rate]]&gt;0,DATA[[#This Row],[Other manager 1: Current 2021/22 Maximum hourly pay rate]],DATA[[#This Row],[Other manager 1: Current 2021/22 Minimum hourly pay rate]]),"")</f>
        <v>15.5</v>
      </c>
      <c r="FV88" s="21">
        <f>IF(IF(DATA[[#This Row],[Other manager 1: Previous 2020/21 Minimum hourly pay rate]]&gt;0,DATA[[#This Row],[Other manager 1: Previous 2020/21 Minimum hourly pay rate]],DATA[[#This Row],[Other manager 1: Previous 2020/21 Maximum hourly pay rate]])&gt;=MIN_WAGE_20_21,IF(DATA[[#This Row],[Other manager 1: Previous 2020/21 Minimum hourly pay rate]]&gt;0,DATA[[#This Row],[Other manager 1: Previous 2020/21 Minimum hourly pay rate]],DATA[[#This Row],[Other manager 1: Previous 2020/21 Maximum hourly pay rate]]),"")</f>
        <v>10</v>
      </c>
      <c r="FW88" s="21">
        <f>IF(IF(DATA[[#This Row],[Other manager 1: Previous 2020/21 Maximum hourly pay rate]]&gt;0,DATA[[#This Row],[Other manager 1: Previous 2020/21 Maximum hourly pay rate]],DATA[[#This Row],[Other manager 1: Previous 2020/21 Minimum hourly pay rate]])&gt;=MIN_WAGE_20_21,IF(DATA[[#This Row],[Other manager 1: Previous 2020/21 Maximum hourly pay rate]]&gt;0,DATA[[#This Row],[Other manager 1: Previous 2020/21 Maximum hourly pay rate]],DATA[[#This Row],[Other manager 1: Previous 2020/21 Minimum hourly pay rate]]),"")</f>
        <v>10</v>
      </c>
      <c r="FX88" s="21" t="str">
        <f>IF(IF(DATA[[#This Row],[Other manager 2: Current 2021/22 Minimum hourly pay rate]]&gt;0,DATA[[#This Row],[Other manager 2: Current 2021/22 Minimum hourly pay rate]],DATA[[#This Row],[Other manager 2: Current 2021/22 Maximum hourly pay rate]])&gt;=MIN_WAGE_21_22,IF(DATA[[#This Row],[Other manager 2: Current 2021/22 Minimum hourly pay rate]]&gt;0,DATA[[#This Row],[Other manager 2: Current 2021/22 Minimum hourly pay rate]],DATA[[#This Row],[Other manager 2: Current 2021/22 Maximum hourly pay rate]]),"")</f>
        <v/>
      </c>
      <c r="FY88" s="21" t="str">
        <f>IF(IF(DATA[[#This Row],[Other manager 2: Current 2021/22 Maximum hourly pay rate]]&gt;0,DATA[[#This Row],[Other manager 2: Current 2021/22 Maximum hourly pay rate]],DATA[[#This Row],[Other manager 2: Current 2021/22 Minimum hourly pay rate]])&gt;=MIN_WAGE_21_22,IF(DATA[[#This Row],[Other manager 2: Current 2021/22 Maximum hourly pay rate]]&gt;0,DATA[[#This Row],[Other manager 2: Current 2021/22 Maximum hourly pay rate]],DATA[[#This Row],[Other manager 2: Current 2021/22 Minimum hourly pay rate]]),"")</f>
        <v/>
      </c>
      <c r="FZ88" s="21" t="str">
        <f>IF(IF(DATA[[#This Row],[Other manager 2: Previous 2020/21 Minimum hourly pay rate]]&gt;0,DATA[[#This Row],[Other manager 2: Previous 2020/21 Minimum hourly pay rate]],DATA[[#This Row],[Other manager 2: Previous 2020/21 Maximum hourly pay rate]])&gt;=MIN_WAGE_20_21,IF(DATA[[#This Row],[Other manager 2: Previous 2020/21 Minimum hourly pay rate]]&gt;0,DATA[[#This Row],[Other manager 2: Previous 2020/21 Minimum hourly pay rate]],DATA[[#This Row],[Other manager 2: Previous 2020/21 Maximum hourly pay rate]]),"")</f>
        <v/>
      </c>
      <c r="GA88" s="21" t="str">
        <f>IF(IF(DATA[[#This Row],[Other manager 2: Previous 2020/21 Maximum hourly pay rate]]&gt;0,DATA[[#This Row],[Other manager 2: Previous 2020/21 Maximum hourly pay rate]],DATA[[#This Row],[Other manager 2: Previous 2020/21 Minimum hourly pay rate]])&gt;=MIN_WAGE_20_21,IF(DATA[[#This Row],[Other manager 2: Previous 2020/21 Maximum hourly pay rate]]&gt;0,DATA[[#This Row],[Other manager 2: Previous 2020/21 Maximum hourly pay rate]],DATA[[#This Row],[Other manager 2: Previous 2020/21 Minimum hourly pay rate]]),"")</f>
        <v/>
      </c>
      <c r="GB88" s="21" t="str">
        <f>IF(IF(DATA[[#This Row],[Other manager 3: Current 2021/22 Minimum hourly pay rate]]&gt;0,DATA[[#This Row],[Other manager 3: Current 2021/22 Minimum hourly pay rate]],DATA[[#This Row],[Other manager 3: Current 2021/22 Maximum hourly pay rate]])&gt;=MIN_WAGE_21_22,IF(DATA[[#This Row],[Other manager 3: Current 2021/22 Minimum hourly pay rate]]&gt;0,DATA[[#This Row],[Other manager 3: Current 2021/22 Minimum hourly pay rate]],DATA[[#This Row],[Other manager 3: Current 2021/22 Maximum hourly pay rate]]),"")</f>
        <v/>
      </c>
      <c r="GC88" s="21" t="str">
        <f>IF(IF(DATA[[#This Row],[Other manager 3: Current 2021/22 Maximum hourly pay rate]]&gt;0,DATA[[#This Row],[Other manager 3: Current 2021/22 Maximum hourly pay rate]],DATA[[#This Row],[Other manager 3: Current 2021/22 Minimum hourly pay rate]])&gt;=MIN_WAGE_21_22,IF(DATA[[#This Row],[Other manager 3: Current 2021/22 Maximum hourly pay rate]]&gt;0,DATA[[#This Row],[Other manager 3: Current 2021/22 Maximum hourly pay rate]],DATA[[#This Row],[Other manager 3: Current 2021/22 Minimum hourly pay rate]]),"")</f>
        <v/>
      </c>
      <c r="GD88" s="21" t="str">
        <f>IF(IF(DATA[[#This Row],[Other manager 3: Previous 2020/21 Minimum hourly pay rate]]&gt;0,DATA[[#This Row],[Other manager 3: Previous 2020/21 Minimum hourly pay rate]],DATA[[#This Row],[Other manager 3: Previous 2020/21 Maximum hourly pay rate]])&gt;=MIN_WAGE_20_21,IF(DATA[[#This Row],[Other manager 3: Previous 2020/21 Minimum hourly pay rate]]&gt;0,DATA[[#This Row],[Other manager 3: Previous 2020/21 Minimum hourly pay rate]],DATA[[#This Row],[Other manager 3: Previous 2020/21 Maximum hourly pay rate]]),"")</f>
        <v/>
      </c>
      <c r="GE88" s="21" t="str">
        <f>IF(IF(DATA[[#This Row],[Other manager 3: Previous 2020/21 Maximum hourly pay rate]]&gt;0,DATA[[#This Row],[Other manager 3: Previous 2020/21 Maximum hourly pay rate]],DATA[[#This Row],[Other manager 3: Previous 2020/21 Minimum hourly pay rate]])&gt;=MIN_WAGE_20_21,IF(DATA[[#This Row],[Other manager 3: Previous 2020/21 Maximum hourly pay rate]]&gt;0,DATA[[#This Row],[Other manager 3: Previous 2020/21 Maximum hourly pay rate]],DATA[[#This Row],[Other manager 3: Previous 2020/21 Minimum hourly pay rate]]),"")</f>
        <v/>
      </c>
      <c r="GF88" s="21">
        <f>IF(IF(DATA[[#This Row],[Care Assistant 1: Current 2021/22 Minimum hourly pay rate]]&gt;0,DATA[[#This Row],[Care Assistant 1: Current 2021/22 Minimum hourly pay rate]],DATA[[#This Row],[Care Assistant 1: Current 2021/22 Maximum hourly pay rate]])&gt;=MIN_WAGE_21_22,IF(DATA[[#This Row],[Care Assistant 1: Current 2021/22 Minimum hourly pay rate]]&gt;0,DATA[[#This Row],[Care Assistant 1: Current 2021/22 Minimum hourly pay rate]],DATA[[#This Row],[Care Assistant 1: Current 2021/22 Maximum hourly pay rate]]),"")</f>
        <v>9.25</v>
      </c>
      <c r="GG88" s="21">
        <f>IF(IF(DATA[[#This Row],[Care Assistant 1: Current 2021/22 Maximum hourly pay rate]]&gt;0,DATA[[#This Row],[Care Assistant 1: Current 2021/22 Maximum hourly pay rate]],DATA[[#This Row],[Care Assistant 1: Current 2021/22 Minimum hourly pay rate]])&gt;=MIN_WAGE_21_22,IF(DATA[[#This Row],[Care Assistant 1: Current 2021/22 Maximum hourly pay rate]]&gt;0,DATA[[#This Row],[Care Assistant 1: Current 2021/22 Maximum hourly pay rate]],DATA[[#This Row],[Care Assistant 1: Current 2021/22 Minimum hourly pay rate]]),"")</f>
        <v>9.25</v>
      </c>
      <c r="GH88" s="21">
        <f>IF(IF(DATA[[#This Row],[Care Assistant 1: Previous 2020/21 Minimum hourly pay rate]]&gt;0,DATA[[#This Row],[Care Assistant 1: Previous 2020/21 Minimum hourly pay rate]],DATA[[#This Row],[Care Assistant 1: Previous 2020/21 Maximum hourly pay rate]])&gt;=MIN_WAGE_20_21,IF(DATA[[#This Row],[Care Assistant 1: Previous 2020/21 Minimum hourly pay rate]]&gt;0,DATA[[#This Row],[Care Assistant 1: Previous 2020/21 Minimum hourly pay rate]],DATA[[#This Row],[Care Assistant 1: Previous 2020/21 Maximum hourly pay rate]]),"")</f>
        <v>9.1999999999999993</v>
      </c>
      <c r="GI88" s="21">
        <f>IF(IF(DATA[[#This Row],[Care Assistant 1: Previous 2020/21 Maximum hourly pay rate]]&gt;0,DATA[[#This Row],[Care Assistant 1: Previous 2020/21 Maximum hourly pay rate]],DATA[[#This Row],[Care Assistant 1: Previous 2020/21 Minimum hourly pay rate]])&gt;=MIN_WAGE_20_21,IF(DATA[[#This Row],[Care Assistant 1: Previous 2020/21 Maximum hourly pay rate]]&gt;0,DATA[[#This Row],[Care Assistant 1: Previous 2020/21 Maximum hourly pay rate]],DATA[[#This Row],[Care Assistant 1: Previous 2020/21 Minimum hourly pay rate]]),"")</f>
        <v>9.1999999999999993</v>
      </c>
      <c r="GJ88" s="21">
        <f>IF(IF(DATA[[#This Row],[Care Assistant 2: Current 2021/22 Minimum hourly pay rate]]&gt;0,DATA[[#This Row],[Care Assistant 2: Current 2021/22 Minimum hourly pay rate]],DATA[[#This Row],[Care Assistant 2: Current 2021/22 Maximum hourly pay rate]])&gt;=MIN_WAGE_21_22,IF(DATA[[#This Row],[Care Assistant 2: Current 2021/22 Minimum hourly pay rate]]&gt;0,DATA[[#This Row],[Care Assistant 2: Current 2021/22 Minimum hourly pay rate]],DATA[[#This Row],[Care Assistant 2: Current 2021/22 Maximum hourly pay rate]]),"")</f>
        <v>9.0500000000000007</v>
      </c>
      <c r="GK88" s="21">
        <f>IF(IF(DATA[[#This Row],[Care Assistant 2: Current 2021/22 Maximum hourly pay rate]]&gt;0,DATA[[#This Row],[Care Assistant 2: Current 2021/22 Maximum hourly pay rate]],DATA[[#This Row],[Care Assistant 2: Current 2021/22 Minimum hourly pay rate]])&gt;=MIN_WAGE_21_22,IF(DATA[[#This Row],[Care Assistant 2: Current 2021/22 Maximum hourly pay rate]]&gt;0,DATA[[#This Row],[Care Assistant 2: Current 2021/22 Maximum hourly pay rate]],DATA[[#This Row],[Care Assistant 2: Current 2021/22 Minimum hourly pay rate]]),"")</f>
        <v>9.0500000000000007</v>
      </c>
      <c r="GL88" s="21">
        <f>IF(IF(DATA[[#This Row],[Care Assistant 2: Previous 2020/21 Minimum hourly pay rate]]&gt;0,DATA[[#This Row],[Care Assistant 2: Previous 2020/21 Minimum hourly pay rate]],DATA[[#This Row],[Care Assistant 2: Previous 2020/21 Maximum hourly pay rate]])&gt;=MIN_WAGE_20_21,IF(DATA[[#This Row],[Care Assistant 2: Previous 2020/21 Minimum hourly pay rate]]&gt;0,DATA[[#This Row],[Care Assistant 2: Previous 2020/21 Minimum hourly pay rate]],DATA[[#This Row],[Care Assistant 2: Previous 2020/21 Maximum hourly pay rate]]),"")</f>
        <v>9</v>
      </c>
      <c r="GM88" s="21">
        <f>IF(IF(DATA[[#This Row],[Care Assistant 2: Previous 2020/21 Maximum hourly pay rate]]&gt;0,DATA[[#This Row],[Care Assistant 2: Previous 2020/21 Maximum hourly pay rate]],DATA[[#This Row],[Care Assistant 2: Previous 2020/21 Minimum hourly pay rate]])&gt;=MIN_WAGE_20_21,IF(DATA[[#This Row],[Care Assistant 2: Previous 2020/21 Maximum hourly pay rate]]&gt;0,DATA[[#This Row],[Care Assistant 2: Previous 2020/21 Maximum hourly pay rate]],DATA[[#This Row],[Care Assistant 2: Previous 2020/21 Minimum hourly pay rate]]),"")</f>
        <v>9</v>
      </c>
      <c r="GN88" s="21">
        <f>IF(IF(DATA[[#This Row],[Care Assistant 3: Current 2021/22 Minimum hourly pay rate]]&gt;0,DATA[[#This Row],[Care Assistant 3: Current 2021/22 Minimum hourly pay rate]],DATA[[#This Row],[Care Assistant 3: Current 2021/22 Maximum hourly pay rate]])&gt;=MIN_WAGE_21_22,IF(DATA[[#This Row],[Care Assistant 3: Current 2021/22 Minimum hourly pay rate]]&gt;0,DATA[[#This Row],[Care Assistant 3: Current 2021/22 Minimum hourly pay rate]],DATA[[#This Row],[Care Assistant 3: Current 2021/22 Maximum hourly pay rate]]),"")</f>
        <v>9.0500000000000007</v>
      </c>
      <c r="GO88" s="21">
        <f>IF(IF(DATA[[#This Row],[Care Assistant 3: Current 2021/22 Maximum hourly pay rate]]&gt;0,DATA[[#This Row],[Care Assistant 3: Current 2021/22 Maximum hourly pay rate]],DATA[[#This Row],[Care Assistant 3: Current 2021/22 Minimum hourly pay rate]])&gt;=MIN_WAGE_21_22,IF(DATA[[#This Row],[Care Assistant 3: Current 2021/22 Maximum hourly pay rate]]&gt;0,DATA[[#This Row],[Care Assistant 3: Current 2021/22 Maximum hourly pay rate]],DATA[[#This Row],[Care Assistant 3: Current 2021/22 Minimum hourly pay rate]]),"")</f>
        <v>9.0500000000000007</v>
      </c>
      <c r="GP88" s="21">
        <f>IF(IF(DATA[[#This Row],[Care Assistant 3: Previous 2020/21 Minimum hourly pay rate]]&gt;0,DATA[[#This Row],[Care Assistant 3: Previous 2020/21 Minimum hourly pay rate]],DATA[[#This Row],[Care Assistant 3: Previous 2020/21 Maximum hourly pay rate]])&gt;=MIN_WAGE_20_21,IF(DATA[[#This Row],[Care Assistant 3: Previous 2020/21 Minimum hourly pay rate]]&gt;0,DATA[[#This Row],[Care Assistant 3: Previous 2020/21 Minimum hourly pay rate]],DATA[[#This Row],[Care Assistant 3: Previous 2020/21 Maximum hourly pay rate]]),"")</f>
        <v>8.9</v>
      </c>
      <c r="GQ88" s="21">
        <f>IF(IF(DATA[[#This Row],[Care Assistant 3: Previous 2020/21 Maximum hourly pay rate]]&gt;0,DATA[[#This Row],[Care Assistant 3: Previous 2020/21 Maximum hourly pay rate]],DATA[[#This Row],[Care Assistant 3: Previous 2020/21 Minimum hourly pay rate]])&gt;=MIN_WAGE_20_21,IF(DATA[[#This Row],[Care Assistant 3: Previous 2020/21 Maximum hourly pay rate]]&gt;0,DATA[[#This Row],[Care Assistant 3: Previous 2020/21 Maximum hourly pay rate]],DATA[[#This Row],[Care Assistant 3: Previous 2020/21 Minimum hourly pay rate]]),"")</f>
        <v>8.9</v>
      </c>
      <c r="GR88" s="21">
        <f>IF(IF(DATA[[#This Row],[Care Assistant 4: Current 2021/22 Minimum hourly pay rate]]&gt;0,DATA[[#This Row],[Care Assistant 4: Current 2021/22 Minimum hourly pay rate]],DATA[[#This Row],[Care Assistant 4: Current 2021/22 Maximum hourly pay rate]])&gt;=MIN_WAGE_21_22,IF(DATA[[#This Row],[Care Assistant 4: Current 2021/22 Minimum hourly pay rate]]&gt;0,DATA[[#This Row],[Care Assistant 4: Current 2021/22 Minimum hourly pay rate]],DATA[[#This Row],[Care Assistant 4: Current 2021/22 Maximum hourly pay rate]]),"")</f>
        <v>8.91</v>
      </c>
      <c r="GS88" s="21">
        <f>IF(IF(DATA[[#This Row],[Care Assistant 4: Current 2021/22 Maximum hourly pay rate]]&gt;0,DATA[[#This Row],[Care Assistant 4: Current 2021/22 Maximum hourly pay rate]],DATA[[#This Row],[Care Assistant 4: Current 2021/22 Minimum hourly pay rate]])&gt;=MIN_WAGE_21_22,IF(DATA[[#This Row],[Care Assistant 4: Current 2021/22 Maximum hourly pay rate]]&gt;0,DATA[[#This Row],[Care Assistant 4: Current 2021/22 Maximum hourly pay rate]],DATA[[#This Row],[Care Assistant 4: Current 2021/22 Minimum hourly pay rate]]),"")</f>
        <v>8.91</v>
      </c>
      <c r="GT88" s="21">
        <f>IF(IF(DATA[[#This Row],[Care Assistant 4: Previous 2020/21 Minimum hourly pay rate]]&gt;0,DATA[[#This Row],[Care Assistant 4: Previous 2020/21 Minimum hourly pay rate]],DATA[[#This Row],[Care Assistant 4: Previous 2020/21 Maximum hourly pay rate]])&gt;=MIN_WAGE_20_21,IF(DATA[[#This Row],[Care Assistant 4: Previous 2020/21 Minimum hourly pay rate]]&gt;0,DATA[[#This Row],[Care Assistant 4: Previous 2020/21 Minimum hourly pay rate]],DATA[[#This Row],[Care Assistant 4: Previous 2020/21 Maximum hourly pay rate]]),"")</f>
        <v>8.7200000000000006</v>
      </c>
      <c r="GU88" s="21">
        <f>IF(IF(DATA[[#This Row],[Care Assistant 4: Previous 2020/21 Maximum hourly pay rate]]&gt;0,DATA[[#This Row],[Care Assistant 4: Previous 2020/21 Maximum hourly pay rate]],DATA[[#This Row],[Care Assistant 4: Previous 2020/21 Minimum hourly pay rate]])&gt;=MIN_WAGE_20_21,IF(DATA[[#This Row],[Care Assistant 4: Previous 2020/21 Maximum hourly pay rate]]&gt;0,DATA[[#This Row],[Care Assistant 4: Previous 2020/21 Maximum hourly pay rate]],DATA[[#This Row],[Care Assistant 4: Previous 2020/21 Minimum hourly pay rate]]),"")</f>
        <v>8.7200000000000006</v>
      </c>
      <c r="GV88" s="21">
        <f>IF(IF(DATA[[#This Row],[Administrative Officer 1: Current 2021/22 Minimum hourly pay rate]]&gt;0,DATA[[#This Row],[Administrative Officer 1: Current 2021/22 Minimum hourly pay rate]],DATA[[#This Row],[Administrative Officer 1: Current 2021/22 Maximum hourly pay rate]])&gt;=MIN_WAGE_21_22,IF(DATA[[#This Row],[Administrative Officer 1: Current 2021/22 Minimum hourly pay rate]]&gt;0,DATA[[#This Row],[Administrative Officer 1: Current 2021/22 Minimum hourly pay rate]],DATA[[#This Row],[Administrative Officer 1: Current 2021/22 Maximum hourly pay rate]]),"")</f>
        <v>15.5</v>
      </c>
      <c r="GW88" s="21">
        <f>IF(IF(DATA[[#This Row],[Administrative Officer 1: Current 2021/22 Maximum hourly pay rate]]&gt;0,DATA[[#This Row],[Administrative Officer 1: Current 2021/22 Maximum hourly pay rate]],DATA[[#This Row],[Administrative Officer 1: Current 2021/22 Minimum hourly pay rate]])&gt;=MIN_WAGE_21_22,IF(DATA[[#This Row],[Administrative Officer 1: Current 2021/22 Maximum hourly pay rate]]&gt;0,DATA[[#This Row],[Administrative Officer 1: Current 2021/22 Maximum hourly pay rate]],DATA[[#This Row],[Administrative Officer 1: Current 2021/22 Minimum hourly pay rate]]),"")</f>
        <v>15.5</v>
      </c>
      <c r="GX88" s="21">
        <f>IF(IF(DATA[[#This Row],[Administrative Officer 1: Previous 2020/21 Minimum hourly pay rate]]&gt;0,DATA[[#This Row],[Administrative Officer 1: Previous 2020/21 Minimum hourly pay rate]],DATA[[#This Row],[Administrative Officer 1: Previous 2020/21 Maximum hourly pay rate]])&gt;=MIN_WAGE_20_21,IF(DATA[[#This Row],[Administrative Officer 1: Previous 2020/21 Minimum hourly pay rate]]&gt;0,DATA[[#This Row],[Administrative Officer 1: Previous 2020/21 Minimum hourly pay rate]],DATA[[#This Row],[Administrative Officer 1: Previous 2020/21 Maximum hourly pay rate]]),"")</f>
        <v>10</v>
      </c>
      <c r="GY88" s="21">
        <f>IF(IF(DATA[[#This Row],[Administrative Officer 1: Previous 2020/21 Maximum hourly pay rate]]&gt;0,DATA[[#This Row],[Administrative Officer 1: Previous 2020/21 Maximum hourly pay rate]],DATA[[#This Row],[Administrative Officer 1: Previous 2020/21 Minimum hourly pay rate]])&gt;=MIN_WAGE_20_21,IF(DATA[[#This Row],[Administrative Officer 1: Previous 2020/21 Maximum hourly pay rate]]&gt;0,DATA[[#This Row],[Administrative Officer 1: Previous 2020/21 Maximum hourly pay rate]],DATA[[#This Row],[Administrative Officer 1: Previous 2020/21 Minimum hourly pay rate]]),"")</f>
        <v>10</v>
      </c>
      <c r="GZ88" s="21" t="str">
        <f>IF(IF(DATA[[#This Row],[Administrative Officer 2: Current 2021/22 Minimum hourly pay rate]]&gt;0,DATA[[#This Row],[Administrative Officer 2: Current 2021/22 Minimum hourly pay rate]],DATA[[#This Row],[Administrative Officer 2: Current 2021/22 Maximum hourly pay rate]])&gt;=MIN_WAGE_21_22,IF(DATA[[#This Row],[Administrative Officer 2: Current 2021/22 Minimum hourly pay rate]]&gt;0,DATA[[#This Row],[Administrative Officer 2: Current 2021/22 Minimum hourly pay rate]],DATA[[#This Row],[Administrative Officer 2: Current 2021/22 Maximum hourly pay rate]]),"")</f>
        <v/>
      </c>
      <c r="HA88" s="21" t="str">
        <f>IF(IF(DATA[[#This Row],[Administrative Officer 2: Current 2021/22 Maximum hourly pay rate]]&gt;0,DATA[[#This Row],[Administrative Officer 2: Current 2021/22 Maximum hourly pay rate]],DATA[[#This Row],[Administrative Officer 2: Current 2021/22 Minimum hourly pay rate]])&gt;=MIN_WAGE_21_22,IF(DATA[[#This Row],[Administrative Officer 2: Current 2021/22 Maximum hourly pay rate]]&gt;0,DATA[[#This Row],[Administrative Officer 2: Current 2021/22 Maximum hourly pay rate]],DATA[[#This Row],[Administrative Officer 2: Current 2021/22 Minimum hourly pay rate]]),"")</f>
        <v/>
      </c>
      <c r="HB88" s="21" t="str">
        <f>IF(IF(DATA[[#This Row],[Administrative Officer 2: Previous 2020/21 Minimum hourly pay rate]]&gt;0,DATA[[#This Row],[Administrative Officer 2: Previous 2020/21 Minimum hourly pay rate]],DATA[[#This Row],[Administrative Officer 2: Previous 2020/21 Maximum hourly pay rate]])&gt;=MIN_WAGE_20_21,IF(DATA[[#This Row],[Administrative Officer 2: Previous 2020/21 Minimum hourly pay rate]]&gt;0,DATA[[#This Row],[Administrative Officer 2: Previous 2020/21 Minimum hourly pay rate]],DATA[[#This Row],[Administrative Officer 2: Previous 2020/21 Maximum hourly pay rate]]),"")</f>
        <v/>
      </c>
      <c r="HC88" s="21" t="str">
        <f>IF(IF(DATA[[#This Row],[Administrative Officer 2: Previous 2020/21 Maximum hourly pay rate]]&gt;0,DATA[[#This Row],[Administrative Officer 2: Previous 2020/21 Maximum hourly pay rate]],DATA[[#This Row],[Administrative Officer 2: Previous 2020/21 Minimum hourly pay rate]])&gt;=MIN_WAGE_20_21,IF(DATA[[#This Row],[Administrative Officer 2: Previous 2020/21 Maximum hourly pay rate]]&gt;0,DATA[[#This Row],[Administrative Officer 2: Previous 2020/21 Maximum hourly pay rate]],DATA[[#This Row],[Administrative Officer 2: Previous 2020/21 Minimum hourly pay rate]]),"")</f>
        <v/>
      </c>
      <c r="HD88" s="21" t="str">
        <f>IF(IF(DATA[[#This Row],[Administrative Officer 3: Current 2021/22 Minimum hourly pay rate]]&gt;0,DATA[[#This Row],[Administrative Officer 3: Current 2021/22 Minimum hourly pay rate]],DATA[[#This Row],[Administrative Officer 3: Current 2021/22 Maximum hourly pay rate]])&gt;=MIN_WAGE_21_22,IF(DATA[[#This Row],[Administrative Officer 3: Current 2021/22 Minimum hourly pay rate]]&gt;0,DATA[[#This Row],[Administrative Officer 3: Current 2021/22 Minimum hourly pay rate]],DATA[[#This Row],[Administrative Officer 3: Current 2021/22 Maximum hourly pay rate]]),"")</f>
        <v/>
      </c>
      <c r="HE88" s="21" t="str">
        <f>IF(IF(DATA[[#This Row],[Administrative Officer 3: Current 2021/22 Maximum hourly pay rate]]&gt;0,DATA[[#This Row],[Administrative Officer 3: Current 2021/22 Maximum hourly pay rate]],DATA[[#This Row],[Administrative Officer 3: Current 2021/22 Minimum hourly pay rate]])&gt;=MIN_WAGE_21_22,IF(DATA[[#This Row],[Administrative Officer 3: Current 2021/22 Maximum hourly pay rate]]&gt;0,DATA[[#This Row],[Administrative Officer 3: Current 2021/22 Maximum hourly pay rate]],DATA[[#This Row],[Administrative Officer 3: Current 2021/22 Minimum hourly pay rate]]),"")</f>
        <v/>
      </c>
      <c r="HF88" s="21" t="str">
        <f>IF(IF(DATA[[#This Row],[Administrative Officer 3: Previous 2020/21 Minimum hourly pay rate]]&gt;0,DATA[[#This Row],[Administrative Officer 3: Previous 2020/21 Minimum hourly pay rate]],DATA[[#This Row],[Administrative Officer 3: Previous 2020/21 Maximum hourly pay rate]])&gt;=MIN_WAGE_20_21,IF(DATA[[#This Row],[Administrative Officer 3: Previous 2020/21 Minimum hourly pay rate]]&gt;0,DATA[[#This Row],[Administrative Officer 3: Previous 2020/21 Minimum hourly pay rate]],DATA[[#This Row],[Administrative Officer 3: Previous 2020/21 Maximum hourly pay rate]]),"")</f>
        <v/>
      </c>
      <c r="HG88" s="21" t="str">
        <f>IF(IF(DATA[[#This Row],[Administrative Officer 3: Previous 2020/21 Maximum hourly pay rate]]&gt;0,DATA[[#This Row],[Administrative Officer 3: Previous 2020/21 Maximum hourly pay rate]],DATA[[#This Row],[Administrative Officer 3: Previous 2020/21 Minimum hourly pay rate]])&gt;=MIN_WAGE_20_21,IF(DATA[[#This Row],[Administrative Officer 3: Previous 2020/21 Maximum hourly pay rate]]&gt;0,DATA[[#This Row],[Administrative Officer 3: Previous 2020/21 Maximum hourly pay rate]],DATA[[#This Row],[Administrative Officer 3: Previous 2020/21 Minimum hourly pay rate]]),"")</f>
        <v/>
      </c>
      <c r="HH88" s="21" t="str">
        <f>IF(IF(DATA[[#This Row],[Other staff 1: Current 2021/22 Minimum hourly pay rate]]&gt;0,DATA[[#This Row],[Other staff 1: Current 2021/22 Minimum hourly pay rate]],DATA[[#This Row],[Other staff 1: Current 2021/22 Maximum hourly pay rate]])&gt;=MIN_WAGE_21_22,IF(DATA[[#This Row],[Other staff 1: Current 2021/22 Minimum hourly pay rate]]&gt;0,DATA[[#This Row],[Other staff 1: Current 2021/22 Minimum hourly pay rate]],DATA[[#This Row],[Other staff 1: Current 2021/22 Maximum hourly pay rate]]),"")</f>
        <v/>
      </c>
      <c r="HI88" s="21" t="str">
        <f>IF(IF(DATA[[#This Row],[Other staff 1: Current 2021/22 Maximum hourly pay rate]]&gt;0,DATA[[#This Row],[Other staff 1: Current 2021/22 Maximum hourly pay rate]],DATA[[#This Row],[Other staff 1: Current 2021/22 Minimum hourly pay rate]])&gt;=MIN_WAGE_21_22,IF(DATA[[#This Row],[Other staff 1: Current 2021/22 Maximum hourly pay rate]]&gt;0,DATA[[#This Row],[Other staff 1: Current 2021/22 Maximum hourly pay rate]],DATA[[#This Row],[Other staff 1: Current 2021/22 Minimum hourly pay rate]]),"")</f>
        <v/>
      </c>
      <c r="HJ88" s="21" t="str">
        <f>IF(IF(DATA[[#This Row],[Other staff 1: Previous 2020/21 Minimum hourly pay rate]]&gt;0,DATA[[#This Row],[Other staff 1: Previous 2020/21 Minimum hourly pay rate]],DATA[[#This Row],[Other staff 1: Previous 2020/21 Maximum hourly pay rate]])&gt;=MIN_WAGE_20_21,IF(DATA[[#This Row],[Other staff 1: Previous 2020/21 Minimum hourly pay rate]]&gt;0,DATA[[#This Row],[Other staff 1: Previous 2020/21 Minimum hourly pay rate]],DATA[[#This Row],[Other staff 1: Previous 2020/21 Maximum hourly pay rate]]),"")</f>
        <v/>
      </c>
      <c r="HK88" s="21" t="str">
        <f>IF(IF(DATA[[#This Row],[Other staff 1: Previous 2020/21 Maximum hourly pay rate]]&gt;0,DATA[[#This Row],[Other staff 1: Previous 2020/21 Maximum hourly pay rate]],DATA[[#This Row],[Other staff 1: Previous 2020/21 Minimum hourly pay rate]])&gt;=MIN_WAGE_20_21,IF(DATA[[#This Row],[Other staff 1: Previous 2020/21 Maximum hourly pay rate]]&gt;0,DATA[[#This Row],[Other staff 1: Previous 2020/21 Maximum hourly pay rate]],DATA[[#This Row],[Other staff 1: Previous 2020/21 Minimum hourly pay rate]]),"")</f>
        <v/>
      </c>
      <c r="HL88" s="21" t="str">
        <f>IF(IF(DATA[[#This Row],[Other staff 2: Current 2021/22 Minimum hourly pay rate]]&gt;0,DATA[[#This Row],[Other staff 2: Current 2021/22 Minimum hourly pay rate]],DATA[[#This Row],[Other staff 2: Current 2021/22 Maximum hourly pay rate]])&gt;=MIN_WAGE_21_22,IF(DATA[[#This Row],[Other staff 2: Current 2021/22 Minimum hourly pay rate]]&gt;0,DATA[[#This Row],[Other staff 2: Current 2021/22 Minimum hourly pay rate]],DATA[[#This Row],[Other staff 2: Current 2021/22 Maximum hourly pay rate]]),"")</f>
        <v/>
      </c>
      <c r="HM88" s="21" t="str">
        <f>IF(IF(DATA[[#This Row],[Other staff 2: Current 2021/22 Maximum hourly pay rate]]&gt;0,DATA[[#This Row],[Other staff 2: Current 2021/22 Maximum hourly pay rate]],DATA[[#This Row],[Other staff 2: Current 2021/22 Minimum hourly pay rate]])&gt;=MIN_WAGE_21_22,IF(DATA[[#This Row],[Other staff 2: Current 2021/22 Maximum hourly pay rate]]&gt;0,DATA[[#This Row],[Other staff 2: Current 2021/22 Maximum hourly pay rate]],DATA[[#This Row],[Other staff 2: Current 2021/22 Minimum hourly pay rate]]),"")</f>
        <v/>
      </c>
      <c r="HN88" s="21" t="str">
        <f>IF(IF(DATA[[#This Row],[Other staff 2: Previous 2020/21 Minimum hourly pay rate]]&gt;0,DATA[[#This Row],[Other staff 2: Previous 2020/21 Minimum hourly pay rate]],DATA[[#This Row],[Other staff 2: Previous 2020/21 Maximum hourly pay rate]])&gt;=MIN_WAGE_20_21,IF(DATA[[#This Row],[Other staff 2: Previous 2020/21 Minimum hourly pay rate]]&gt;0,DATA[[#This Row],[Other staff 2: Previous 2020/21 Minimum hourly pay rate]],DATA[[#This Row],[Other staff 2: Previous 2020/21 Maximum hourly pay rate]]),"")</f>
        <v/>
      </c>
      <c r="HO88" s="21" t="str">
        <f>IF(IF(DATA[[#This Row],[Other staff 2: Previous 2020/21 Maximum hourly pay rate]]&gt;0,DATA[[#This Row],[Other staff 2: Previous 2020/21 Maximum hourly pay rate]],DATA[[#This Row],[Other staff 2: Previous 2020/21 Minimum hourly pay rate]])&gt;=MIN_WAGE_20_21,IF(DATA[[#This Row],[Other staff 2: Previous 2020/21 Maximum hourly pay rate]]&gt;0,DATA[[#This Row],[Other staff 2: Previous 2020/21 Maximum hourly pay rate]],DATA[[#This Row],[Other staff 2: Previous 2020/21 Minimum hourly pay rate]]),"")</f>
        <v/>
      </c>
      <c r="HP88" s="21" t="str">
        <f>IF(IF(DATA[[#This Row],[Other staff 3: Current 2021/22 Minimum hourly pay rate]]&gt;0,DATA[[#This Row],[Other staff 3: Current 2021/22 Minimum hourly pay rate]],DATA[[#This Row],[Other staff 3: Current 2021/22 Maximum hourly pay rate]])&gt;=MIN_WAGE_21_22,IF(DATA[[#This Row],[Other staff 3: Current 2021/22 Minimum hourly pay rate]]&gt;0,DATA[[#This Row],[Other staff 3: Current 2021/22 Minimum hourly pay rate]],DATA[[#This Row],[Other staff 3: Current 2021/22 Maximum hourly pay rate]]),"")</f>
        <v/>
      </c>
      <c r="HQ88" s="21" t="str">
        <f>IF(IF(DATA[[#This Row],[Other staff 3: Current 2021/22 Maximum hourly pay rate]]&gt;0,DATA[[#This Row],[Other staff 3: Current 2021/22 Maximum hourly pay rate]],DATA[[#This Row],[Other staff 3: Current 2021/22 Minimum hourly pay rate]])&gt;=MIN_WAGE_21_22,IF(DATA[[#This Row],[Other staff 3: Current 2021/22 Maximum hourly pay rate]]&gt;0,DATA[[#This Row],[Other staff 3: Current 2021/22 Maximum hourly pay rate]],DATA[[#This Row],[Other staff 3: Current 2021/22 Minimum hourly pay rate]]),"")</f>
        <v/>
      </c>
      <c r="HR88" s="21" t="str">
        <f>IF(IF(DATA[[#This Row],[Other staff 3: Previous 2020/21 Minimum hourly pay rate]]&gt;0,DATA[[#This Row],[Other staff 3: Previous 2020/21 Minimum hourly pay rate]],DATA[[#This Row],[Other staff 3: Previous 2020/21 Maximum hourly pay rate]])&gt;=MIN_WAGE_20_21,IF(DATA[[#This Row],[Other staff 3: Previous 2020/21 Minimum hourly pay rate]]&gt;0,DATA[[#This Row],[Other staff 3: Previous 2020/21 Minimum hourly pay rate]],DATA[[#This Row],[Other staff 3: Previous 2020/21 Maximum hourly pay rate]]),"")</f>
        <v/>
      </c>
      <c r="HS88" s="21" t="str">
        <f>IF(IF(DATA[[#This Row],[Other staff 3: Previous 2020/21 Maximum hourly pay rate]]&gt;0,DATA[[#This Row],[Other staff 3: Previous 2020/21 Maximum hourly pay rate]],DATA[[#This Row],[Other staff 3: Previous 2020/21 Minimum hourly pay rate]])&gt;=MIN_WAGE_20_21,IF(DATA[[#This Row],[Other staff 3: Previous 2020/21 Maximum hourly pay rate]]&gt;0,DATA[[#This Row],[Other staff 3: Previous 2020/21 Maximum hourly pay rate]],DATA[[#This Row],[Other staff 3: Previous 2020/21 Minimum hourly pay rate]]),"")</f>
        <v/>
      </c>
      <c r="HT88" s="21">
        <f>IF(AND(DATA[[#This Row],[Registered manager: Current 2021/22 Minimum hourly pay rate ADJUSTED]]&lt;&gt;"",DATA[[#This Row],[Registered manager: Current 2021/22 Minimum hourly pay rate ADJUSTED]]&gt;0),DATA[[#This Row],[Registered manager: Current 2021/22 Minimum hourly pay rate ADJUSTED]],DATA[[#This Row],[Registered manager: Previous 2020/21 Minimum hourly pay rate ADJUSTED]])</f>
        <v>30</v>
      </c>
      <c r="HU88" s="21">
        <f>IF(AND(DATA[[#This Row],[Registered manager: Current 2021/22 Maximum hourly pay rate ADJUSTED]]&lt;&gt;"",DATA[[#This Row],[Registered manager: Current 2021/22 Maximum hourly pay rate ADJUSTED]]&gt;0),DATA[[#This Row],[Registered manager: Current 2021/22 Maximum hourly pay rate ADJUSTED]],DATA[[#This Row],[Registered manager: Previous 2020/21 Maximum hourly pay rate ADJUSTED]])</f>
        <v>30</v>
      </c>
      <c r="HV88" s="21">
        <f>IF(AND(DATA[[#This Row],[Registered manager: Previous 2020/21 Minimum hourly pay rate ADJUSTED]]&lt;&gt;"",DATA[[#This Row],[Registered manager: Previous 2020/21 Minimum hourly pay rate ADJUSTED]]&gt;0),DATA[[#This Row],[Registered manager: Previous 2020/21 Minimum hourly pay rate ADJUSTED]],DATA[[#This Row],[Registered manager: Current 2021/22 Minimum hourly pay rate ADJUSTED]])</f>
        <v>30</v>
      </c>
      <c r="HW88" s="21">
        <f>IF(AND(DATA[[#This Row],[Registered manager: Previous 2020/21 Maximum hourly pay rate ADJUSTED]]&lt;&gt;"",DATA[[#This Row],[Registered manager: Previous 2020/21 Maximum hourly pay rate ADJUSTED]]&gt;0),DATA[[#This Row],[Registered manager: Previous 2020/21 Maximum hourly pay rate ADJUSTED]],DATA[[#This Row],[Registered manager: Current 2021/22 Maximum hourly pay rate ADJUSTED]])</f>
        <v>30</v>
      </c>
      <c r="HX88" s="21">
        <f>IF(AND(DATA[[#This Row],[Deputy manager: Current 2021/22 Minimum hourly pay rate ADJUSTED]]&lt;&gt;"",DATA[[#This Row],[Deputy manager: Current 2021/22 Minimum hourly pay rate ADJUSTED]]&gt;0),DATA[[#This Row],[Deputy manager: Current 2021/22 Minimum hourly pay rate ADJUSTED]],DATA[[#This Row],[Deputy manager: Previous 2020/21 Minimum hourly pay rate ADJUSTED]])</f>
        <v>25</v>
      </c>
      <c r="HY88" s="21" t="str">
        <f>IF(AND(DATA[[#This Row],[Deputy manager: Current 2021/22 Maximum hourly pay rate ADJUSTED]]&lt;&gt;"",DATA[[#This Row],[Deputy manager: Current 2021/22 Maximum hourly pay rate ADJUSTED]]&gt;0),DATA[[#This Row],[Deputy manager: Current 2021/22 Maximum hourly pay rate ADJUSTED]],DATA[[#This Row],[Deputy manager: Previous 2020/21 Maximum hourly pay rate ADJUSTED]])</f>
        <v/>
      </c>
      <c r="HZ88" s="21">
        <f>IF(AND(DATA[[#This Row],[Deputy manager: Previous 2020/21 Minimum hourly pay rate ADJUSTED]]&lt;&gt;"",DATA[[#This Row],[Deputy manager: Previous 2020/21 Minimum hourly pay rate ADJUSTED]]&gt;0),DATA[[#This Row],[Deputy manager: Previous 2020/21 Minimum hourly pay rate ADJUSTED]],DATA[[#This Row],[Deputy manager: Current 2021/22 Minimum hourly pay rate ADJUSTED]])</f>
        <v>25</v>
      </c>
      <c r="IA88" s="21" t="str">
        <f>IF(AND(DATA[[#This Row],[Deputy manager: Previous 2020/21 Maximum hourly pay rate ADJUSTED]]&lt;&gt;"",DATA[[#This Row],[Deputy manager: Previous 2020/21 Maximum hourly pay rate ADJUSTED]]&gt;0),DATA[[#This Row],[Deputy manager: Previous 2020/21 Maximum hourly pay rate ADJUSTED]],DATA[[#This Row],[Deputy manager: Current 2021/22 Maximum hourly pay rate ADJUSTED]])</f>
        <v/>
      </c>
      <c r="IB88" s="21">
        <f>IF(AND(DATA[[#This Row],[Other manager 1: Current 2021/22 Minimum hourly pay rate ADJUSTED]]&lt;&gt;"",DATA[[#This Row],[Other manager 1: Current 2021/22 Minimum hourly pay rate ADJUSTED]]&gt;0),DATA[[#This Row],[Other manager 1: Current 2021/22 Minimum hourly pay rate ADJUSTED]],DATA[[#This Row],[Other manager 1: Previous 2020/21 Minimum hourly pay rate ADJUSTED]])</f>
        <v>15.5</v>
      </c>
      <c r="IC88" s="21">
        <f>IF(AND(DATA[[#This Row],[Other manager 1: Current 2021/22 Maximum hourly pay rate ADJUSTED]]&lt;&gt;"",DATA[[#This Row],[Other manager 1: Current 2021/22 Maximum hourly pay rate ADJUSTED]]&gt;0),DATA[[#This Row],[Other manager 1: Current 2021/22 Maximum hourly pay rate ADJUSTED]],DATA[[#This Row],[Other manager 1: Previous 2020/21 Maximum hourly pay rate ADJUSTED]])</f>
        <v>15.5</v>
      </c>
      <c r="ID88" s="21">
        <f>IF(AND(DATA[[#This Row],[Other manager 1: Previous 2020/21 Minimum hourly pay rate ADJUSTED]]&lt;&gt;"",DATA[[#This Row],[Other manager 1: Previous 2020/21 Minimum hourly pay rate ADJUSTED]]&gt;0),DATA[[#This Row],[Other manager 1: Previous 2020/21 Minimum hourly pay rate ADJUSTED]],DATA[[#This Row],[Other manager 1: Current 2021/22 Minimum hourly pay rate ADJUSTED]])</f>
        <v>10</v>
      </c>
      <c r="IE88" s="21">
        <f>IF(AND(DATA[[#This Row],[Other manager 1: Previous 2020/21 Maximum hourly pay rate ADJUSTED]]&lt;&gt;"",DATA[[#This Row],[Other manager 1: Previous 2020/21 Maximum hourly pay rate ADJUSTED]]&gt;0),DATA[[#This Row],[Other manager 1: Previous 2020/21 Maximum hourly pay rate ADJUSTED]],DATA[[#This Row],[Other manager 1: Current 2021/22 Maximum hourly pay rate ADJUSTED]])</f>
        <v>10</v>
      </c>
      <c r="IF88" s="21" t="str">
        <f>IF(AND(DATA[[#This Row],[Other manager 2: Current 2021/22 Minimum hourly pay rate ADJUSTED]]&lt;&gt;"",DATA[[#This Row],[Other manager 2: Current 2021/22 Minimum hourly pay rate ADJUSTED]]&gt;0),DATA[[#This Row],[Other manager 2: Current 2021/22 Minimum hourly pay rate ADJUSTED]],DATA[[#This Row],[Other manager 2: Previous 2020/21 Minimum hourly pay rate ADJUSTED]])</f>
        <v/>
      </c>
      <c r="IG88" s="21" t="str">
        <f>IF(AND(DATA[[#This Row],[Other manager 2: Current 2021/22 Maximum hourly pay rate ADJUSTED]]&lt;&gt;"",DATA[[#This Row],[Other manager 2: Current 2021/22 Maximum hourly pay rate ADJUSTED]]&gt;0),DATA[[#This Row],[Other manager 2: Current 2021/22 Maximum hourly pay rate ADJUSTED]],DATA[[#This Row],[Other manager 2: Previous 2020/21 Maximum hourly pay rate ADJUSTED]])</f>
        <v/>
      </c>
      <c r="IH88" s="21" t="str">
        <f>IF(AND(DATA[[#This Row],[Other manager 2: Previous 2020/21 Minimum hourly pay rate ADJUSTED]]&lt;&gt;"",DATA[[#This Row],[Other manager 2: Previous 2020/21 Minimum hourly pay rate ADJUSTED]]&gt;0),DATA[[#This Row],[Other manager 2: Previous 2020/21 Minimum hourly pay rate ADJUSTED]],DATA[[#This Row],[Other manager 2: Current 2021/22 Minimum hourly pay rate ADJUSTED]])</f>
        <v/>
      </c>
      <c r="II88" s="21" t="str">
        <f>IF(AND(DATA[[#This Row],[Other manager 2: Previous 2020/21 Maximum hourly pay rate ADJUSTED]]&lt;&gt;"",DATA[[#This Row],[Other manager 2: Previous 2020/21 Maximum hourly pay rate ADJUSTED]]&gt;0),DATA[[#This Row],[Other manager 2: Previous 2020/21 Maximum hourly pay rate ADJUSTED]],DATA[[#This Row],[Other manager 2: Current 2021/22 Maximum hourly pay rate ADJUSTED]])</f>
        <v/>
      </c>
      <c r="IJ88" s="21" t="str">
        <f>IF(AND(DATA[[#This Row],[Other manager 3: Current 2021/22 Minimum hourly pay rate ADJUSTED]]&lt;&gt;"",DATA[[#This Row],[Other manager 3: Current 2021/22 Minimum hourly pay rate ADJUSTED]]&gt;0),DATA[[#This Row],[Other manager 3: Current 2021/22 Minimum hourly pay rate ADJUSTED]],DATA[[#This Row],[Other manager 3: Previous 2020/21 Minimum hourly pay rate ADJUSTED]])</f>
        <v/>
      </c>
      <c r="IK88" s="21" t="str">
        <f>IF(AND(DATA[[#This Row],[Other manager 3: Current 2021/22 Maximum hourly pay rate ADJUSTED]]&lt;&gt;"",DATA[[#This Row],[Other manager 3: Current 2021/22 Maximum hourly pay rate ADJUSTED]]&gt;0),DATA[[#This Row],[Other manager 3: Current 2021/22 Maximum hourly pay rate ADJUSTED]],DATA[[#This Row],[Other manager 3: Previous 2020/21 Maximum hourly pay rate ADJUSTED]])</f>
        <v/>
      </c>
      <c r="IL88" s="21" t="str">
        <f>IF(AND(DATA[[#This Row],[Other manager 3: Previous 2020/21 Minimum hourly pay rate ADJUSTED]]&lt;&gt;"",DATA[[#This Row],[Other manager 3: Previous 2020/21 Minimum hourly pay rate ADJUSTED]]&gt;0),DATA[[#This Row],[Other manager 3: Previous 2020/21 Minimum hourly pay rate ADJUSTED]],DATA[[#This Row],[Other manager 3: Current 2021/22 Minimum hourly pay rate ADJUSTED]])</f>
        <v/>
      </c>
      <c r="IM88" s="21" t="str">
        <f>IF(AND(DATA[[#This Row],[Other manager 3: Previous 2020/21 Maximum hourly pay rate ADJUSTED]]&lt;&gt;"",DATA[[#This Row],[Other manager 3: Previous 2020/21 Maximum hourly pay rate ADJUSTED]]&gt;0),DATA[[#This Row],[Other manager 3: Previous 2020/21 Maximum hourly pay rate ADJUSTED]],DATA[[#This Row],[Other manager 3: Current 2021/22 Maximum hourly pay rate ADJUSTED]])</f>
        <v/>
      </c>
      <c r="IN88" s="21">
        <f>IF(AND(DATA[[#This Row],[Care Assistant 1: Current 2021/22 Minimum hourly pay rate ADJUSTED]]&lt;&gt;"",DATA[[#This Row],[Care Assistant 1: Current 2021/22 Minimum hourly pay rate ADJUSTED]]&gt;0),DATA[[#This Row],[Care Assistant 1: Current 2021/22 Minimum hourly pay rate ADJUSTED]],DATA[[#This Row],[Care Assistant 1: Previous 2020/21 Minimum hourly pay rate ADJUSTED]])</f>
        <v>9.25</v>
      </c>
      <c r="IO88" s="21">
        <f>IF(AND(DATA[[#This Row],[Care Assistant 1: Current 2021/22 Maximum hourly pay rate ADJUSTED]]&lt;&gt;"",DATA[[#This Row],[Care Assistant 1: Current 2021/22 Maximum hourly pay rate ADJUSTED]]&gt;0),DATA[[#This Row],[Care Assistant 1: Current 2021/22 Maximum hourly pay rate ADJUSTED]],DATA[[#This Row],[Care Assistant 1: Previous 2020/21 Maximum hourly pay rate ADJUSTED]])</f>
        <v>9.25</v>
      </c>
      <c r="IP88" s="21">
        <f>IF(AND(DATA[[#This Row],[Care Assistant 1: Previous 2020/21 Minimum hourly pay rate ADJUSTED]]&lt;&gt;"",DATA[[#This Row],[Care Assistant 1: Previous 2020/21 Minimum hourly pay rate ADJUSTED]]&gt;0),DATA[[#This Row],[Care Assistant 1: Previous 2020/21 Minimum hourly pay rate ADJUSTED]],DATA[[#This Row],[Care Assistant 1: Current 2021/22 Minimum hourly pay rate ADJUSTED]])</f>
        <v>9.1999999999999993</v>
      </c>
      <c r="IQ88" s="21">
        <f>IF(AND(DATA[[#This Row],[Care Assistant 1: Previous 2020/21 Maximum hourly pay rate ADJUSTED]]&lt;&gt;"",DATA[[#This Row],[Care Assistant 1: Previous 2020/21 Maximum hourly pay rate ADJUSTED]]&gt;0),DATA[[#This Row],[Care Assistant 1: Previous 2020/21 Maximum hourly pay rate ADJUSTED]],DATA[[#This Row],[Care Assistant 1: Current 2021/22 Maximum hourly pay rate ADJUSTED]])</f>
        <v>9.1999999999999993</v>
      </c>
      <c r="IR88" s="21">
        <f>IF(AND(DATA[[#This Row],[Care Assistant 2: Current 2021/22 Minimum hourly pay rate ADJUSTED]]&lt;&gt;"",DATA[[#This Row],[Care Assistant 2: Current 2021/22 Minimum hourly pay rate ADJUSTED]]&gt;0),DATA[[#This Row],[Care Assistant 2: Current 2021/22 Minimum hourly pay rate ADJUSTED]],DATA[[#This Row],[Care Assistant 2: Previous 2020/21 Minimum hourly pay rate ADJUSTED]])</f>
        <v>9.0500000000000007</v>
      </c>
      <c r="IS88" s="21">
        <f>IF(AND(DATA[[#This Row],[Care Assistant 2: Current 2021/22 Maximum hourly pay rate ADJUSTED]]&lt;&gt;"",DATA[[#This Row],[Care Assistant 2: Current 2021/22 Maximum hourly pay rate ADJUSTED]]&gt;0),DATA[[#This Row],[Care Assistant 2: Current 2021/22 Maximum hourly pay rate ADJUSTED]],DATA[[#This Row],[Care Assistant 2: Previous 2020/21 Maximum hourly pay rate ADJUSTED]])</f>
        <v>9.0500000000000007</v>
      </c>
      <c r="IT88" s="21">
        <f>IF(AND(DATA[[#This Row],[Care Assistant 2: Previous 2020/21 Minimum hourly pay rate ADJUSTED]]&lt;&gt;"",DATA[[#This Row],[Care Assistant 2: Previous 2020/21 Minimum hourly pay rate ADJUSTED]]&gt;0),DATA[[#This Row],[Care Assistant 2: Previous 2020/21 Minimum hourly pay rate ADJUSTED]],DATA[[#This Row],[Care Assistant 2: Current 2021/22 Minimum hourly pay rate ADJUSTED]])</f>
        <v>9</v>
      </c>
      <c r="IU88" s="21">
        <f>IF(AND(DATA[[#This Row],[Care Assistant 2: Previous 2020/21 Maximum hourly pay rate ADJUSTED]]&lt;&gt;"",DATA[[#This Row],[Care Assistant 2: Previous 2020/21 Maximum hourly pay rate ADJUSTED]]&gt;0),DATA[[#This Row],[Care Assistant 2: Previous 2020/21 Maximum hourly pay rate ADJUSTED]],DATA[[#This Row],[Care Assistant 2: Current 2021/22 Maximum hourly pay rate ADJUSTED]])</f>
        <v>9</v>
      </c>
      <c r="IV88" s="21">
        <f>IF(AND(DATA[[#This Row],[Care Assistant 3: Current 2021/22 Minimum hourly pay rate ADJUSTED]]&lt;&gt;"",DATA[[#This Row],[Care Assistant 3: Current 2021/22 Minimum hourly pay rate ADJUSTED]]&gt;0),DATA[[#This Row],[Care Assistant 3: Current 2021/22 Minimum hourly pay rate ADJUSTED]],DATA[[#This Row],[Care Assistant 3: Previous 2020/21 Minimum hourly pay rate ADJUSTED]])</f>
        <v>9.0500000000000007</v>
      </c>
      <c r="IW88" s="21">
        <f>IF(AND(DATA[[#This Row],[Care Assistant 3: Current 2021/22 Maximum hourly pay rate ADJUSTED]]&lt;&gt;"",DATA[[#This Row],[Care Assistant 3: Current 2021/22 Maximum hourly pay rate ADJUSTED]]&gt;0),DATA[[#This Row],[Care Assistant 3: Current 2021/22 Maximum hourly pay rate ADJUSTED]],DATA[[#This Row],[Care Assistant 3: Previous 2020/21 Maximum hourly pay rate ADJUSTED]])</f>
        <v>9.0500000000000007</v>
      </c>
      <c r="IX88" s="21">
        <f>IF(AND(DATA[[#This Row],[Care Assistant 3: Previous 2020/21 Minimum hourly pay rate ADJUSTED]]&lt;&gt;"",DATA[[#This Row],[Care Assistant 3: Previous 2020/21 Minimum hourly pay rate ADJUSTED]]&gt;0),DATA[[#This Row],[Care Assistant 3: Previous 2020/21 Minimum hourly pay rate ADJUSTED]],DATA[[#This Row],[Care Assistant 3: Current 2021/22 Minimum hourly pay rate ADJUSTED]])</f>
        <v>8.9</v>
      </c>
      <c r="IY88" s="21">
        <f>IF(AND(DATA[[#This Row],[Care Assistant 3: Previous 2020/21 Maximum hourly pay rate ADJUSTED]]&lt;&gt;"",DATA[[#This Row],[Care Assistant 3: Previous 2020/21 Maximum hourly pay rate ADJUSTED]]&gt;0),DATA[[#This Row],[Care Assistant 3: Previous 2020/21 Maximum hourly pay rate ADJUSTED]],DATA[[#This Row],[Care Assistant 3: Current 2021/22 Maximum hourly pay rate ADJUSTED]])</f>
        <v>8.9</v>
      </c>
      <c r="IZ88" s="21">
        <f>IF(AND(DATA[[#This Row],[Care Assistant 4: Current 2021/22 Minimum hourly pay rate ADJUSTED]]&lt;&gt;"",DATA[[#This Row],[Care Assistant 4: Current 2021/22 Minimum hourly pay rate ADJUSTED]]&gt;0),DATA[[#This Row],[Care Assistant 4: Current 2021/22 Minimum hourly pay rate ADJUSTED]],DATA[[#This Row],[Care Assistant 4: Previous 2020/21 Minimum hourly pay rate ADJUSTED]])</f>
        <v>8.91</v>
      </c>
      <c r="JA88" s="21">
        <f>IF(AND(DATA[[#This Row],[Care Assistant 4: Current 2021/22 Maximum hourly pay rate ADJUSTED]]&lt;&gt;"",DATA[[#This Row],[Care Assistant 4: Current 2021/22 Maximum hourly pay rate ADJUSTED]]&gt;0),DATA[[#This Row],[Care Assistant 4: Current 2021/22 Maximum hourly pay rate ADJUSTED]],DATA[[#This Row],[Care Assistant 4: Previous 2020/21 Maximum hourly pay rate ADJUSTED]])</f>
        <v>8.91</v>
      </c>
      <c r="JB88" s="21">
        <f>IF(AND(DATA[[#This Row],[Care Assistant 4: Previous 2020/21 Minimum hourly pay rate ADJUSTED]]&lt;&gt;"",DATA[[#This Row],[Care Assistant 4: Previous 2020/21 Minimum hourly pay rate ADJUSTED]]&gt;0),DATA[[#This Row],[Care Assistant 4: Previous 2020/21 Minimum hourly pay rate ADJUSTED]],DATA[[#This Row],[Care Assistant 4: Current 2021/22 Minimum hourly pay rate ADJUSTED]])</f>
        <v>8.7200000000000006</v>
      </c>
      <c r="JC88" s="21">
        <f>IF(AND(DATA[[#This Row],[Care Assistant 4: Previous 2020/21 Maximum hourly pay rate ADJUSTED]]&lt;&gt;"",DATA[[#This Row],[Care Assistant 4: Previous 2020/21 Maximum hourly pay rate ADJUSTED]]&gt;0),DATA[[#This Row],[Care Assistant 4: Previous 2020/21 Maximum hourly pay rate ADJUSTED]],DATA[[#This Row],[Care Assistant 4: Current 2021/22 Maximum hourly pay rate ADJUSTED]])</f>
        <v>8.7200000000000006</v>
      </c>
      <c r="JD88" s="21">
        <f>IF(AND(DATA[[#This Row],[Administrative Officer 1: Current 2021/22 Minimum hourly pay rate ADJUSTED]]&lt;&gt;"",DATA[[#This Row],[Administrative Officer 1: Current 2021/22 Minimum hourly pay rate ADJUSTED]]&gt;0),DATA[[#This Row],[Administrative Officer 1: Current 2021/22 Minimum hourly pay rate ADJUSTED]],DATA[[#This Row],[Administrative Officer 1: Previous 2020/21 Minimum hourly pay rate ADJUSTED]])</f>
        <v>15.5</v>
      </c>
      <c r="JE88" s="21">
        <f>IF(AND(DATA[[#This Row],[Administrative Officer 1: Current 2021/22 Maximum hourly pay rate ADJUSTED]]&lt;&gt;"",DATA[[#This Row],[Administrative Officer 1: Current 2021/22 Maximum hourly pay rate ADJUSTED]]&gt;0),DATA[[#This Row],[Administrative Officer 1: Current 2021/22 Maximum hourly pay rate ADJUSTED]],DATA[[#This Row],[Administrative Officer 1: Previous 2020/21 Maximum hourly pay rate ADJUSTED]])</f>
        <v>15.5</v>
      </c>
      <c r="JF88" s="21">
        <f>IF(AND(DATA[[#This Row],[Administrative Officer 1: Previous 2020/21 Minimum hourly pay rate ADJUSTED]]&lt;&gt;"",DATA[[#This Row],[Administrative Officer 1: Previous 2020/21 Minimum hourly pay rate ADJUSTED]]&gt;0),DATA[[#This Row],[Administrative Officer 1: Previous 2020/21 Minimum hourly pay rate ADJUSTED]],DATA[[#This Row],[Administrative Officer 1: Current 2021/22 Minimum hourly pay rate ADJUSTED]])</f>
        <v>10</v>
      </c>
      <c r="JG88" s="21">
        <f>IF(AND(DATA[[#This Row],[Administrative Officer 1: Previous 2020/21 Maximum hourly pay rate ADJUSTED]]&lt;&gt;"",DATA[[#This Row],[Administrative Officer 1: Previous 2020/21 Maximum hourly pay rate ADJUSTED]]&gt;0),DATA[[#This Row],[Administrative Officer 1: Previous 2020/21 Maximum hourly pay rate ADJUSTED]],DATA[[#This Row],[Administrative Officer 1: Current 2021/22 Maximum hourly pay rate ADJUSTED]])</f>
        <v>10</v>
      </c>
      <c r="JH88" s="21" t="str">
        <f>IF(AND(DATA[[#This Row],[Administrative Officer 2: Current 2021/22 Minimum hourly pay rate ADJUSTED]]&lt;&gt;"",DATA[[#This Row],[Administrative Officer 2: Current 2021/22 Minimum hourly pay rate ADJUSTED]]&gt;0),DATA[[#This Row],[Administrative Officer 2: Current 2021/22 Minimum hourly pay rate ADJUSTED]],DATA[[#This Row],[Administrative Officer 2: Previous 2020/21 Minimum hourly pay rate ADJUSTED]])</f>
        <v/>
      </c>
      <c r="JI88" s="21" t="str">
        <f>IF(AND(DATA[[#This Row],[Administrative Officer 2: Current 2021/22 Maximum hourly pay rate ADJUSTED]]&lt;&gt;"",DATA[[#This Row],[Administrative Officer 2: Current 2021/22 Maximum hourly pay rate ADJUSTED]]&gt;0),DATA[[#This Row],[Administrative Officer 2: Current 2021/22 Maximum hourly pay rate ADJUSTED]],DATA[[#This Row],[Administrative Officer 2: Previous 2020/21 Maximum hourly pay rate ADJUSTED]])</f>
        <v/>
      </c>
      <c r="JJ88" s="21" t="str">
        <f>IF(AND(DATA[[#This Row],[Administrative Officer 2: Previous 2020/21 Minimum hourly pay rate ADJUSTED]]&lt;&gt;"",DATA[[#This Row],[Administrative Officer 2: Previous 2020/21 Minimum hourly pay rate ADJUSTED]]&gt;0),DATA[[#This Row],[Administrative Officer 2: Previous 2020/21 Minimum hourly pay rate ADJUSTED]],DATA[[#This Row],[Administrative Officer 2: Current 2021/22 Minimum hourly pay rate ADJUSTED]])</f>
        <v/>
      </c>
      <c r="JK88" s="21" t="str">
        <f>IF(AND(DATA[[#This Row],[Administrative Officer 2: Previous 2020/21 Maximum hourly pay rate ADJUSTED]]&lt;&gt;"",DATA[[#This Row],[Administrative Officer 2: Previous 2020/21 Maximum hourly pay rate ADJUSTED]]&gt;0),DATA[[#This Row],[Administrative Officer 2: Previous 2020/21 Maximum hourly pay rate ADJUSTED]],DATA[[#This Row],[Administrative Officer 2: Current 2021/22 Maximum hourly pay rate ADJUSTED]])</f>
        <v/>
      </c>
      <c r="JL88" s="21" t="str">
        <f>IF(AND(DATA[[#This Row],[Administrative Officer 3: Current 2021/22 Minimum hourly pay rate ADJUSTED]]&lt;&gt;"",DATA[[#This Row],[Administrative Officer 3: Current 2021/22 Minimum hourly pay rate ADJUSTED]]&gt;0),DATA[[#This Row],[Administrative Officer 3: Current 2021/22 Minimum hourly pay rate ADJUSTED]],DATA[[#This Row],[Administrative Officer 3: Previous 2020/21 Minimum hourly pay rate ADJUSTED]])</f>
        <v/>
      </c>
      <c r="JM88" s="21" t="str">
        <f>IF(AND(DATA[[#This Row],[Administrative Officer 3: Current 2021/22 Maximum hourly pay rate ADJUSTED]]&lt;&gt;"",DATA[[#This Row],[Administrative Officer 3: Current 2021/22 Maximum hourly pay rate ADJUSTED]]&gt;0),DATA[[#This Row],[Administrative Officer 3: Current 2021/22 Maximum hourly pay rate ADJUSTED]],DATA[[#This Row],[Administrative Officer 3: Previous 2020/21 Maximum hourly pay rate ADJUSTED]])</f>
        <v/>
      </c>
      <c r="JN88" s="21" t="str">
        <f>IF(AND(DATA[[#This Row],[Administrative Officer 3: Previous 2020/21 Minimum hourly pay rate ADJUSTED]]&lt;&gt;"",DATA[[#This Row],[Administrative Officer 3: Previous 2020/21 Minimum hourly pay rate ADJUSTED]]&gt;0),DATA[[#This Row],[Administrative Officer 3: Previous 2020/21 Minimum hourly pay rate ADJUSTED]],DATA[[#This Row],[Administrative Officer 3: Current 2021/22 Minimum hourly pay rate ADJUSTED]])</f>
        <v/>
      </c>
      <c r="JO88" s="21" t="str">
        <f>IF(AND(DATA[[#This Row],[Administrative Officer 3: Previous 2020/21 Maximum hourly pay rate ADJUSTED]]&lt;&gt;"",DATA[[#This Row],[Administrative Officer 3: Previous 2020/21 Maximum hourly pay rate ADJUSTED]]&gt;0),DATA[[#This Row],[Administrative Officer 3: Previous 2020/21 Maximum hourly pay rate ADJUSTED]],DATA[[#This Row],[Administrative Officer 3: Current 2021/22 Maximum hourly pay rate ADJUSTED]])</f>
        <v/>
      </c>
      <c r="JP88" s="21" t="str">
        <f>IF(AND(DATA[[#This Row],[Other staff 1: Current 2021/22 Minimum hourly pay rate ADJUSTED]]&lt;&gt;"",DATA[[#This Row],[Other staff 1: Current 2021/22 Minimum hourly pay rate ADJUSTED]]&gt;0),DATA[[#This Row],[Other staff 1: Current 2021/22 Minimum hourly pay rate ADJUSTED]],DATA[[#This Row],[Other staff 1: Previous 2020/21 Minimum hourly pay rate ADJUSTED]])</f>
        <v/>
      </c>
      <c r="JQ88" s="21" t="str">
        <f>IF(AND(DATA[[#This Row],[Other staff 1: Current 2021/22 Maximum hourly pay rate ADJUSTED]]&lt;&gt;"",DATA[[#This Row],[Other staff 1: Current 2021/22 Maximum hourly pay rate ADJUSTED]]&gt;0),DATA[[#This Row],[Other staff 1: Current 2021/22 Maximum hourly pay rate ADJUSTED]],DATA[[#This Row],[Other staff 1: Previous 2020/21 Maximum hourly pay rate ADJUSTED]])</f>
        <v/>
      </c>
      <c r="JR88" s="21" t="str">
        <f>IF(AND(DATA[[#This Row],[Other staff 1: Previous 2020/21 Minimum hourly pay rate ADJUSTED]]&lt;&gt;"",DATA[[#This Row],[Other staff 1: Previous 2020/21 Minimum hourly pay rate ADJUSTED]]&gt;0),DATA[[#This Row],[Other staff 1: Previous 2020/21 Minimum hourly pay rate ADJUSTED]],DATA[[#This Row],[Other staff 1: Current 2021/22 Minimum hourly pay rate ADJUSTED]])</f>
        <v/>
      </c>
      <c r="JS88" s="21" t="str">
        <f>IF(AND(DATA[[#This Row],[Other staff 1: Previous 2020/21 Maximum hourly pay rate ADJUSTED]]&lt;&gt;"",DATA[[#This Row],[Other staff 1: Previous 2020/21 Maximum hourly pay rate ADJUSTED]]&gt;0),DATA[[#This Row],[Other staff 1: Previous 2020/21 Maximum hourly pay rate ADJUSTED]],DATA[[#This Row],[Other staff 1: Current 2021/22 Maximum hourly pay rate ADJUSTED]])</f>
        <v/>
      </c>
      <c r="JT88" s="21" t="str">
        <f>IF(AND(DATA[[#This Row],[Other staff 2: Current 2021/22 Minimum hourly pay rate ADJUSTED]]&lt;&gt;"",DATA[[#This Row],[Other staff 2: Current 2021/22 Minimum hourly pay rate ADJUSTED]]&gt;0),DATA[[#This Row],[Other staff 2: Current 2021/22 Minimum hourly pay rate ADJUSTED]],DATA[[#This Row],[Other staff 2: Previous 2020/21 Minimum hourly pay rate ADJUSTED]])</f>
        <v/>
      </c>
      <c r="JU88" s="21" t="str">
        <f>IF(AND(DATA[[#This Row],[Other staff 2: Current 2021/22 Maximum hourly pay rate ADJUSTED]]&lt;&gt;"",DATA[[#This Row],[Other staff 2: Current 2021/22 Maximum hourly pay rate ADJUSTED]]&gt;0),DATA[[#This Row],[Other staff 2: Current 2021/22 Maximum hourly pay rate ADJUSTED]],DATA[[#This Row],[Other staff 2: Previous 2020/21 Maximum hourly pay rate ADJUSTED]])</f>
        <v/>
      </c>
      <c r="JV88" s="21" t="str">
        <f>IF(AND(DATA[[#This Row],[Other staff 2: Previous 2020/21 Minimum hourly pay rate ADJUSTED]]&lt;&gt;"",DATA[[#This Row],[Other staff 2: Previous 2020/21 Minimum hourly pay rate ADJUSTED]]&gt;0),DATA[[#This Row],[Other staff 2: Previous 2020/21 Minimum hourly pay rate ADJUSTED]],DATA[[#This Row],[Other staff 2: Current 2021/22 Minimum hourly pay rate ADJUSTED]])</f>
        <v/>
      </c>
      <c r="JW88" s="21" t="str">
        <f>IF(AND(DATA[[#This Row],[Other staff 2: Previous 2020/21 Maximum hourly pay rate ADJUSTED]]&lt;&gt;"",DATA[[#This Row],[Other staff 2: Previous 2020/21 Maximum hourly pay rate ADJUSTED]]&gt;0),DATA[[#This Row],[Other staff 2: Previous 2020/21 Maximum hourly pay rate ADJUSTED]],DATA[[#This Row],[Other staff 2: Current 2021/22 Maximum hourly pay rate ADJUSTED]])</f>
        <v/>
      </c>
      <c r="JX88" s="21" t="str">
        <f>IF(AND(DATA[[#This Row],[Other staff 3: Current 2021/22 Minimum hourly pay rate ADJUSTED]]&lt;&gt;"",DATA[[#This Row],[Other staff 3: Current 2021/22 Minimum hourly pay rate ADJUSTED]]&gt;0),DATA[[#This Row],[Other staff 3: Current 2021/22 Minimum hourly pay rate ADJUSTED]],DATA[[#This Row],[Other staff 3: Previous 2020/21 Minimum hourly pay rate ADJUSTED]])</f>
        <v/>
      </c>
      <c r="JY88" s="21" t="str">
        <f>IF(AND(DATA[[#This Row],[Other staff 3: Current 2021/22 Maximum hourly pay rate ADJUSTED]]&lt;&gt;"",DATA[[#This Row],[Other staff 3: Current 2021/22 Maximum hourly pay rate ADJUSTED]]&gt;0),DATA[[#This Row],[Other staff 3: Current 2021/22 Maximum hourly pay rate ADJUSTED]],DATA[[#This Row],[Other staff 3: Previous 2020/21 Maximum hourly pay rate ADJUSTED]])</f>
        <v/>
      </c>
      <c r="JZ88" s="21" t="str">
        <f>IF(AND(DATA[[#This Row],[Other staff 3: Previous 2020/21 Minimum hourly pay rate ADJUSTED]]&lt;&gt;"",DATA[[#This Row],[Other staff 3: Previous 2020/21 Minimum hourly pay rate ADJUSTED]]&gt;0),DATA[[#This Row],[Other staff 3: Previous 2020/21 Minimum hourly pay rate ADJUSTED]],DATA[[#This Row],[Other staff 3: Current 2021/22 Minimum hourly pay rate ADJUSTED]])</f>
        <v/>
      </c>
      <c r="KA88" s="21" t="str">
        <f>IF(AND(DATA[[#This Row],[Other staff 3: Previous 2020/21 Maximum hourly pay rate ADJUSTED]]&lt;&gt;"",DATA[[#This Row],[Other staff 3: Previous 2020/21 Maximum hourly pay rate ADJUSTED]]&gt;0),DATA[[#This Row],[Other staff 3: Previous 2020/21 Maximum hourly pay rate ADJUSTED]],DATA[[#This Row],[Other staff 3: Current 2021/22 Maximum hourly pay rate ADJUSTED]])</f>
        <v/>
      </c>
      <c r="KB88" s="21">
        <f>SUM(DATA[[#This Row],[Registered manager: Numbers employed (Full Time Equivalent)]],DATA[[#This Row],[Deputy manager: Numbers employed (Full Time Equivalent)]],DATA[[#This Row],[Other manager 1: Numbers employed (Full Time Equivalent)]],DATA[[#This Row],[Other manager 2: Numbers employed (Full Time Equivalent)]],DATA[[#This Row],[Other manager 3: Numbers employed (Full Time Equivalent)]])</f>
        <v>4</v>
      </c>
      <c r="KC88" s="21">
        <f>SUM(DATA[[#This Row],[Care Assistant 1: Numbers employed (Full Time Equivalent)]],DATA[[#This Row],[Care Assistant 2: Numbers employed (Full Time Equivalent)]],DATA[[#This Row],[Care Assistant 3: Numbers employed (Full Time Equivalent)]],DATA[[#This Row],[Care Assistant 4: Numbers employed (Full Time Equivalent)]])</f>
        <v>18</v>
      </c>
      <c r="KD88" s="21">
        <f>SUM(DATA[[#This Row],[Administrative Officer 1: Numbers employed (Full Time Equivalent)]],DATA[[#This Row],[Administrative Officer 2: Numbers employed (Full Time Equivalent)]])</f>
        <v>0</v>
      </c>
      <c r="KE88" s="21">
        <f>SUM(DATA[[#This Row],[Other staff 1: Numbers employed (Full Time Equivalent)]],DATA[[#This Row],[Other staff 2: Numbers employed (Full Time Equivalent)]],DATA[[#This Row],[Other staff 3: Numbers employed (Full Time Equivalent)]])</f>
        <v>0</v>
      </c>
      <c r="KF88" s="21">
        <f>SUM(DATA[[#This Row],[Total FTE Management Employees]:[Total FTE Other Employees]])</f>
        <v>22</v>
      </c>
      <c r="KG88" s="21" t="str">
        <f>IF(SUM(DATA[[#This Row],[Home Support service split percentage (Expenditure):]],DATA[[#This Row],[Supported Living service split percentage (Expenditure):]])&gt;0, IF(DATA[[#This Row],[Home Support service split percentage (Expenditure):]]&gt;0.5,"Home Support","Supported Living"), "Unknown")</f>
        <v>Supported Living</v>
      </c>
      <c r="KH88" s="21">
        <f>SUM(DATA[[#This Row],[Home Support: Birmingham City Council]:[Home Support: Self-funded]])</f>
        <v>336</v>
      </c>
      <c r="KI88" s="21">
        <f>SUM(DATA[[#This Row],[Supported Living: Birmingham City Council]:[Supported Living: Self-funded]])</f>
        <v>263</v>
      </c>
      <c r="KJ88" s="21">
        <f>SUM((DATA[[#This Row],[Registered manager: Previous 2020/21 Minimum hourly pay rate]]*DATA[[#This Row],[Registered manager: Numbers employed (Full Time Equivalent)]]),(DATA[[#This Row],[Deputy manager: Previous 2020/21 Minimum hourly pay rate]]*DATA[[#This Row],[Deputy manager: Numbers employed (Full Time Equivalent)]]),(DATA[[#This Row],[Other manager 1: Previous 2020/21 Minimum hourly pay rate]]*DATA[[#This Row],[Other manager 1: Numbers employed (Full Time Equivalent)]]),(DATA[[#This Row],[Other manager 2: Previous 2020/21 Minimum hourly pay rate]]*DATA[[#This Row],[Other manager 2: Numbers employed (Full Time Equivalent)]]),(DATA[[#This Row],[Other manager 3: Previous 2020/21 Minimum hourly pay rate]]*DATA[[#This Row],[Other manager 3: Numbers employed (Full Time Equivalent)]]))</f>
        <v>20</v>
      </c>
      <c r="KK88" s="21">
        <f>SUM((DATA[[#This Row],[Registered manager: Previous 2020/21 Minimum hourly pay rate]]*DATA[[#This Row],[Registered manager: Numbers employed (Full Time Equivalent)]]),(DATA[[#This Row],[Deputy manager: Previous 2020/21 Minimum hourly pay rate]]*DATA[[#This Row],[Deputy manager: Numbers employed (Full Time Equivalent)]]),(DATA[[#This Row],[Other manager 1: Previous 2020/21 Minimum hourly pay rate]]*DATA[[#This Row],[Other manager 1: Numbers employed (Full Time Equivalent)]]),(DATA[[#This Row],[Other manager 2: Previous 2020/21 Minimum hourly pay rate]]*DATA[[#This Row],[Other manager 2: Numbers employed (Full Time Equivalent)]]),(DATA[[#This Row],[Other manager 3: Previous 2020/21 Minimum hourly pay rate]]*DATA[[#This Row],[Other manager 3: Numbers employed (Full Time Equivalent)]]))</f>
        <v>20</v>
      </c>
      <c r="KL88" s="21">
        <f>SUM((DATA[[#This Row],[Registered manager: Previous 2020/21 Minimum hourly pay rate]]*DATA[[#This Row],[Registered manager: Numbers employed (Full Time Equivalent)]]),(DATA[[#This Row],[Deputy manager: Previous 2020/21 Minimum hourly pay rate]]*DATA[[#This Row],[Deputy manager: Numbers employed (Full Time Equivalent)]]),(DATA[[#This Row],[Other manager 1: Previous 2020/21 Minimum hourly pay rate]]*DATA[[#This Row],[Other manager 1: Numbers employed (Full Time Equivalent)]]),(DATA[[#This Row],[Other manager 2: Previous 2020/21 Minimum hourly pay rate]]*DATA[[#This Row],[Other manager 2: Numbers employed (Full Time Equivalent)]]),(DATA[[#This Row],[Other manager 3: Previous 2020/21 Minimum hourly pay rate]]*DATA[[#This Row],[Other manager 3: Numbers employed (Full Time Equivalent)]]))</f>
        <v>20</v>
      </c>
      <c r="KM88" s="21">
        <f>SUM((DATA[[#This Row],[Registered manager: Current 2021/22 Minimum hourly pay rate]]*DATA[[#This Row],[Registered manager: Numbers employed (Full Time Equivalent)]]),(DATA[[#This Row],[Deputy manager: Current 2021/22 Minimum hourly pay rate]]*DATA[[#This Row],[Deputy manager: Numbers employed (Full Time Equivalent)]]),(DATA[[#This Row],[Other manager 1: Current 2021/22 Minimum hourly pay rate]]*DATA[[#This Row],[Other manager 1: Numbers employed (Full Time Equivalent)]]),(DATA[[#This Row],[Other manager 2: Current 2021/22 Minimum hourly pay rate]]*DATA[[#This Row],[Other manager 2: Numbers employed (Full Time Equivalent)]]),(DATA[[#This Row],[Other manager 3: Current 2021/22 Minimum hourly pay rate]]*DATA[[#This Row],[Other manager 3: Numbers employed (Full Time Equivalent)]]))</f>
        <v>86</v>
      </c>
      <c r="KN88" s="21" t="b">
        <f>SUM(DATA[[#This Row],[Number of hours of care charged for in last full accounting year]:[Corporate Overheads: Other  - please specify (category) 1]])&gt;0</f>
        <v>1</v>
      </c>
      <c r="KO88" s="21">
        <f>SUM(DATA[[#This Row],[Total annual expenditure: Management staff]:[Total annual expenditure: Training and development]])</f>
        <v>0</v>
      </c>
      <c r="KP88" s="21">
        <f>SUM(DATA[[#This Row],[Recruitment &amp; advertising (including DBS checks)]:[Non-Staffing Direct Cost: Other  - please specify (amount) 2]])</f>
        <v>0</v>
      </c>
      <c r="KQ88" s="21">
        <f>SUM(DATA[[#This Row],[Insurance ]:[Indirect costs: Other 2 - please specify (amount)]])</f>
        <v>147694</v>
      </c>
      <c r="KR88" s="21">
        <f>SUM(DATA[[#This Row],[Central / Regional Management]],DATA[[#This Row],[Support Services (finance / HR / Payroll / legal etc.)]],DATA[[#This Row],[Corporate Overheads: Other  - please specify (amount) 1]],DATA[[#This Row],[Corporate Overheads: Other  - please specify (amount) 2]])</f>
        <v>1320</v>
      </c>
      <c r="KS88" s="30">
        <f>IF(OR(NOT(DATA[[#This Row],[Total annual expenditure: Management staff]]&gt;0),NOT(DATA[[#This Row],[Number of hours of care charged for in last full accounting year]]&gt;0)),0,DATA[[#This Row],[Total annual expenditure: Management staff]]/DATA[[#This Row],[Number of hours of care charged for in last full accounting year]])</f>
        <v>0</v>
      </c>
      <c r="KT88" s="30">
        <f>IF(OR(NOT(DATA[[#This Row],[Total annual expenditure: Care and Support staff]]&gt;0),NOT(DATA[[#This Row],[Number of hours of care charged for in last full accounting year]]&gt;0)),0,DATA[[#This Row],[Total annual expenditure: Care and Support staff]]/DATA[[#This Row],[Number of hours of care charged for in last full accounting year]])</f>
        <v>0</v>
      </c>
      <c r="KU88" s="30">
        <f>IF(OR(NOT(DATA[[#This Row],[Total annual expenditure: Administration]]&gt;0),NOT(DATA[[#This Row],[Number of hours of care charged for in last full accounting year]]&gt;0)),0,DATA[[#This Row],[Total annual expenditure: Administration]]/DATA[[#This Row],[Number of hours of care charged for in last full accounting year]])</f>
        <v>0</v>
      </c>
      <c r="KV88" s="30">
        <f>IF(OR(NOT(DATA[[#This Row],[Total annual expenditure: Other staff]]&gt;0),NOT(DATA[[#This Row],[Number of hours of care charged for in last full accounting year]]&gt;0)),0,DATA[[#This Row],[Total annual expenditure: Other staff]]/DATA[[#This Row],[Number of hours of care charged for in last full accounting year]])</f>
        <v>0</v>
      </c>
      <c r="KW88" s="30">
        <f>IF(OR(NOT(DATA[[#This Row],[Total annual expenditure: Agency staff]]&gt;0),NOT(DATA[[#This Row],[Number of hours of care charged for in last full accounting year]]&gt;0)),0,DATA[[#This Row],[Total annual expenditure: Agency staff]]/DATA[[#This Row],[Number of hours of care charged for in last full accounting year]])</f>
        <v>0</v>
      </c>
      <c r="KX88" s="30">
        <f>IF(OR(NOT(DATA[[#This Row],[Total annual expenditure: Travel Cost]]&gt;0),NOT(DATA[[#This Row],[Number of hours of care charged for in last full accounting year]]&gt;0)),0,DATA[[#This Row],[Total annual expenditure: Travel Cost]]/DATA[[#This Row],[Number of hours of care charged for in last full accounting year]])</f>
        <v>0</v>
      </c>
      <c r="KY88" s="30">
        <f>IF(OR(NOT(DATA[[#This Row],[Total annual expenditure: Travel Time]]&gt;0),NOT(DATA[[#This Row],[Number of hours of care charged for in last full accounting year]]&gt;0)),0,DATA[[#This Row],[Total annual expenditure: Travel Time]]/DATA[[#This Row],[Number of hours of care charged for in last full accounting year]])</f>
        <v>0</v>
      </c>
      <c r="KZ88" s="30">
        <f>IF(OR(NOT(DATA[[#This Row],[Total annual expenditure: Training and development]]&gt;0),NOT(DATA[[#This Row],[Number of hours of care charged for in last full accounting year]]&gt;0)),0,DATA[[#This Row],[Total annual expenditure: Training and development]]/DATA[[#This Row],[Number of hours of care charged for in last full accounting year]])</f>
        <v>0</v>
      </c>
      <c r="LA88" s="30">
        <f>IF(OR(NOT(DATA[[#This Row],[Recruitment &amp; advertising (including DBS checks)]]&gt;0),NOT(DATA[[#This Row],[Number of hours of care charged for in last full accounting year]]&gt;0)),0,DATA[[#This Row],[Recruitment &amp; advertising (including DBS checks)]]/DATA[[#This Row],[Number of hours of care charged for in last full accounting year]])</f>
        <v>0</v>
      </c>
      <c r="LB88" s="30">
        <f>IF(OR(NOT(DATA[[#This Row],[Training expenses (fees, facilities, travel and materials)]]&gt;0),NOT(DATA[[#This Row],[Number of hours of care charged for in last full accounting year]]&gt;0)),0,DATA[[#This Row],[Training expenses (fees, facilities, travel and materials)]]/DATA[[#This Row],[Number of hours of care charged for in last full accounting year]])</f>
        <v>0</v>
      </c>
      <c r="LC88" s="30">
        <f>IF(OR(NOT(DATA[[#This Row],[Care consumables &amp; uniforms]]&gt;0),NOT(DATA[[#This Row],[Number of hours of care charged for in last full accounting year]]&gt;0)),0,DATA[[#This Row],[Care consumables &amp; uniforms]]/DATA[[#This Row],[Number of hours of care charged for in last full accounting year]])</f>
        <v>0</v>
      </c>
      <c r="LD88" s="30">
        <f>IF(OR(NOT(DATA[[#This Row],[Electronic call monitoring]]&gt;0),NOT(DATA[[#This Row],[Number of hours of care charged for in last full accounting year]]&gt;0)),0,DATA[[#This Row],[Electronic call monitoring]]/DATA[[#This Row],[Number of hours of care charged for in last full accounting year]])</f>
        <v>0</v>
      </c>
      <c r="LE88" s="30">
        <f>IF(OR(NOT(DATA[[#This Row],[IT Equipment &amp; Telephoney]]&gt;0),NOT(DATA[[#This Row],[Number of hours of care charged for in last full accounting year]]&gt;0)),0,DATA[[#This Row],[IT Equipment &amp; Telephoney]]/DATA[[#This Row],[Number of hours of care charged for in last full accounting year]])</f>
        <v>0</v>
      </c>
      <c r="LF88" s="30">
        <f>IF(OR(NOT(DATA[[#This Row],[Non-Staffing Direct Cost: Other  - please specify (amount)]]&gt;0),NOT(DATA[[#This Row],[Number of hours of care charged for in last full accounting year]]&gt;0)),0,DATA[[#This Row],[Non-Staffing Direct Cost: Other  - please specify (amount)]]/DATA[[#This Row],[Number of hours of care charged for in last full accounting year]])</f>
        <v>0</v>
      </c>
      <c r="LG88" s="30">
        <f>IF(OR(NOT(DATA[[#This Row],[Non-Staffing Direct Cost: Other  - please specify (amount) 2]]&gt;0),NOT(DATA[[#This Row],[Number of hours of care charged for in last full accounting year]]&gt;0)),0,DATA[[#This Row],[Non-Staffing Direct Cost: Other  - please specify (amount) 2]]/DATA[[#This Row],[Number of hours of care charged for in last full accounting year]])</f>
        <v>0</v>
      </c>
      <c r="LH88" s="30">
        <f>IF(OR(NOT(DATA[[#This Row],[Insurance ]]&gt;0),NOT(DATA[[#This Row],[Number of hours of care charged for in last full accounting year]]&gt;0)),0,DATA[[#This Row],[Insurance ]]/DATA[[#This Row],[Number of hours of care charged for in last full accounting year]])</f>
        <v>0.31462925851703405</v>
      </c>
      <c r="LI88" s="30">
        <f>IF(OR(NOT(DATA[[#This Row],[Utilities (gas, oil, electricity, water, internet, rates)]]&gt;0),NOT(DATA[[#This Row],[Number of hours of care charged for in last full accounting year]]&gt;0)),0,DATA[[#This Row],[Utilities (gas, oil, electricity, water, internet, rates)]]/DATA[[#This Row],[Number of hours of care charged for in last full accounting year]])</f>
        <v>0.21442885771543085</v>
      </c>
      <c r="LJ88" s="30">
        <f>IF(OR(NOT(DATA[[#This Row],[Repairs and maintenance]]&gt;0),NOT(DATA[[#This Row],[Number of hours of care charged for in last full accounting year]]&gt;0)),0,DATA[[#This Row],[Repairs and maintenance]]/DATA[[#This Row],[Number of hours of care charged for in last full accounting year]])</f>
        <v>0.60170340681362722</v>
      </c>
      <c r="LK88" s="30">
        <f>IF(OR(NOT(DATA[[#This Row],[Property cost relating to  rent/mortgage/lease/loan etc]]&gt;0),NOT(DATA[[#This Row],[Number of hours of care charged for in last full accounting year]]&gt;0)),0,DATA[[#This Row],[Property cost relating to  rent/mortgage/lease/loan etc]]/DATA[[#This Row],[Number of hours of care charged for in last full accounting year]])</f>
        <v>13.527054108216433</v>
      </c>
      <c r="LL88" s="30">
        <f>IF(OR(NOT(DATA[[#This Row],[Registration &amp; Inspection fees ]]&gt;0),NOT(DATA[[#This Row],[Number of hours of care charged for in last full accounting year]]&gt;0)),0,DATA[[#This Row],[Registration &amp; Inspection fees ]]/DATA[[#This Row],[Number of hours of care charged for in last full accounting year]])</f>
        <v>4.5691382765531065E-2</v>
      </c>
      <c r="LM88" s="30">
        <f>IF(OR(NOT(DATA[[#This Row],[Subscriptions]]&gt;0),NOT(DATA[[#This Row],[Number of hours of care charged for in last full accounting year]]&gt;0)),0,DATA[[#This Row],[Subscriptions]]/DATA[[#This Row],[Number of hours of care charged for in last full accounting year]])</f>
        <v>9.0681362725450895E-2</v>
      </c>
      <c r="LN88" s="30">
        <f>IF(OR(NOT(DATA[[#This Row],[Cost of finance]]&gt;0),NOT(DATA[[#This Row],[Number of hours of care charged for in last full accounting year]]&gt;0)),0,DATA[[#This Row],[Cost of finance]]/DATA[[#This Row],[Number of hours of care charged for in last full accounting year]])</f>
        <v>0</v>
      </c>
      <c r="LO88" s="30">
        <f>IF(OR(NOT(DATA[[#This Row],[Other non-staff current expenses]]&gt;0),NOT(DATA[[#This Row],[Number of hours of care charged for in last full accounting year]]&gt;0)),0,DATA[[#This Row],[Other non-staff current expenses]]/DATA[[#This Row],[Number of hours of care charged for in last full accounting year]])</f>
        <v>4.8096192384769537E-3</v>
      </c>
      <c r="LP88" s="30">
        <f>IF(OR(NOT(DATA[[#This Row],[Indirect costs: Other 1 - please specify (amount)]]&gt;0),NOT(DATA[[#This Row],[Number of hours of care charged for in last full accounting year]]&gt;0)),0,DATA[[#This Row],[Indirect costs: Other 1 - please specify (amount)]]/DATA[[#This Row],[Number of hours of care charged for in last full accounting year]])</f>
        <v>0</v>
      </c>
      <c r="LQ88" s="30">
        <f>IF(OR(NOT(DATA[[#This Row],[Indirect costs: Other 2 - please specify (amount)]]&gt;0),NOT(DATA[[#This Row],[Number of hours of care charged for in last full accounting year]]&gt;0)),0,DATA[[#This Row],[Indirect costs: Other 2 - please specify (amount)]]/DATA[[#This Row],[Number of hours of care charged for in last full accounting year]])</f>
        <v>0</v>
      </c>
      <c r="LR88" s="30">
        <f>IF(OR(NOT(DATA[[#This Row],[Central / Regional Management]]&gt;0),NOT(DATA[[#This Row],[Number of hours of care charged for in last full accounting year]]&gt;0)),0,DATA[[#This Row],[Central / Regional Management]]/DATA[[#This Row],[Number of hours of care charged for in last full accounting year]])</f>
        <v>0</v>
      </c>
      <c r="LS88" s="30">
        <f>IF(OR(NOT(DATA[[#This Row],[Support Services (finance / HR / Payroll / legal etc.)]]&gt;0),NOT(DATA[[#This Row],[Number of hours of care charged for in last full accounting year]]&gt;0)),0,DATA[[#This Row],[Support Services (finance / HR / Payroll / legal etc.)]]/DATA[[#This Row],[Number of hours of care charged for in last full accounting year]])</f>
        <v>0.13226452905811623</v>
      </c>
      <c r="LT88" s="30">
        <f>IF(OR(NOT(DATA[[#This Row],[Corporate Overheads: Other  - please specify (amount) 1]]&gt;0),NOT(DATA[[#This Row],[Number of hours of care charged for in last full accounting year]]&gt;0)),0,DATA[[#This Row],[Corporate Overheads: Other  - please specify (amount) 1]]/DATA[[#This Row],[Number of hours of care charged for in last full accounting year]])</f>
        <v>0</v>
      </c>
      <c r="LU88" s="30">
        <f>IF(OR(NOT(DATA[[#This Row],[Corporate Overheads: Other  - please specify (amount) 2]]&gt;0),NOT(DATA[[#This Row],[Number of hours of care charged for in last full accounting year]]&gt;0)),0,DATA[[#This Row],[Corporate Overheads: Other  - please specify (amount) 2]]/DATA[[#This Row],[Number of hours of care charged for in last full accounting year]])</f>
        <v>0</v>
      </c>
      <c r="LV88" s="30">
        <f>SUM(DATA[[#This Row],[Management staff HOURLY RATE]:[Corporate Overheads: Other  - please specify (amount) 2 HOURLY RATE]])</f>
        <v>14.9312625250501</v>
      </c>
      <c r="LW88" s="30">
        <f>IF(OR(NOT(DATA[[#This Row],[Net Operating Profit]]&gt;0),NOT(DATA[[#This Row],[Number of hours of care charged for in last full accounting year]]&gt;0)),"",DATA[[#This Row],[Net Operating Profit]]/DATA[[#This Row],[Number of hours of care charged for in last full accounting year]])</f>
        <v>5.4135270541082168</v>
      </c>
      <c r="LX88" s="30">
        <f>IF(OR(NOT(DATA[[#This Row],[Return on Capital employed]]&gt;0),NOT(DATA[[#This Row],[Number of hours of care charged for in last full accounting year]]&gt;0)),0,DATA[[#This Row],[Return on Capital employed]]/DATA[[#This Row],[Number of hours of care charged for in last full accounting year]])</f>
        <v>0</v>
      </c>
      <c r="LY88" s="31">
        <v>84</v>
      </c>
      <c r="LZ88" s="30" t="s">
        <v>358</v>
      </c>
      <c r="MA88" s="30" t="b">
        <f>DATA[[#This Row],[Number of Home support clients:]]&gt;0</f>
        <v>1</v>
      </c>
      <c r="MB88" s="30" t="b">
        <f>DATA[[#This Row],[Number of supported living clients:]]&gt;0</f>
        <v>1</v>
      </c>
      <c r="MC88" s="30" t="b">
        <f>DATA[[#This Row],[Total Home Support Hours]]&gt;0</f>
        <v>1</v>
      </c>
      <c r="MD88" s="30" t="b">
        <f>DATA[[#This Row],[Total Supported Living Hours]]&gt;0</f>
        <v>1</v>
      </c>
      <c r="ME88" s="30" t="b">
        <f>DATA[[#This Row],[Home Support service split percentage (Expenditure):]]&gt;0.5</f>
        <v>0</v>
      </c>
      <c r="MF88" s="30" t="b">
        <f>DATA[[#This Row],[Agency staff HOURLY RATE]]=0</f>
        <v>1</v>
      </c>
      <c r="MG88" s="30">
        <f>IFERROR(IF(AVERAGE(DATA[[#This Row],[Registered manager: Current 2021/22 Minimum hourly pay rate ADJUSTED]],DATA[[#This Row],[Registered manager: Current 2021/22 Maximum hourly pay rate ADJUSTED]])&lt;LIVING_WAGE_22_23,DATA[[#This Row],[Registered manager: Numbers employed (Full Time Equivalent)]],0),"")</f>
        <v>0</v>
      </c>
      <c r="MH88" s="30">
        <f>IFERROR(IF(AVERAGE(DATA[[#This Row],[Deputy manager: Current 2021/22 Minimum hourly pay rate ADJUSTED]],DATA[[#This Row],[Deputy manager: Current 2021/22 Maximum hourly pay rate ADJUSTED]])&lt;LIVING_WAGE_22_23,DATA[[#This Row],[Deputy manager: Numbers employed (Full Time Equivalent)]],0),"")</f>
        <v>0</v>
      </c>
      <c r="MI88" s="30">
        <f>IFERROR(IF(AVERAGE(DATA[[#This Row],[Other manager 1: Current 2021/22 Minimum hourly pay rate ADJUSTED]],DATA[[#This Row],[Other manager 1: Current 2021/22 Maximum hourly pay rate ADJUSTED]])&lt;LIVING_WAGE_22_23,DATA[[#This Row],[Other manager 1: Numbers employed (Full Time Equivalent)]],0),"")</f>
        <v>0</v>
      </c>
      <c r="MJ88" s="30" t="str">
        <f>IFERROR(IF(AVERAGE(DATA[[#This Row],[Other manager 2: Current 2021/22 Minimum hourly pay rate ADJUSTED]],DATA[[#This Row],[Other manager 2: Current 2021/22 Maximum hourly pay rate ADJUSTED]])&lt;LIVING_WAGE_22_23,DATA[[#This Row],[Other manager 2: Numbers employed (Full Time Equivalent)]],0),"")</f>
        <v/>
      </c>
      <c r="MK88" s="30" t="str">
        <f>IFERROR(IF(AVERAGE(DATA[[#This Row],[Other manager 3: Current 2021/22 Minimum hourly pay rate ADJUSTED]],DATA[[#This Row],[Other manager 3: Current 2021/22 Maximum hourly pay rate ADJUSTED]])&lt;LIVING_WAGE_22_23,DATA[[#This Row],[Other manager 3: Numbers employed (Full Time Equivalent)]],0),"")</f>
        <v/>
      </c>
      <c r="ML88" s="30">
        <f>IFERROR(IF(AVERAGE(DATA[[#This Row],[Care Assistant 1: Current 2021/22 Minimum hourly pay rate ADJUSTED]],DATA[[#This Row],[Care Assistant 1: Current 2021/22 Maximum hourly pay rate ADJUSTED]])&lt;LIVING_WAGE_22_23,DATA[[#This Row],[Care Assistant 1: Numbers employed (Full Time Equivalent)]],0),"")</f>
        <v>1</v>
      </c>
      <c r="MM88" s="30">
        <f>IFERROR(IF(AVERAGE(DATA[[#This Row],[Care Assistant 2: Current 2021/22 Minimum hourly pay rate ADJUSTED]],DATA[[#This Row],[Care Assistant 2: Current 2021/22 Maximum hourly pay rate ADJUSTED]])&lt;LIVING_WAGE_22_23,DATA[[#This Row],[Care Assistant 2: Numbers employed (Full Time Equivalent)]],0),"")</f>
        <v>1</v>
      </c>
      <c r="MN88" s="30">
        <f>IFERROR(IF(AVERAGE(DATA[[#This Row],[Care Assistant 3: Current 2021/22 Minimum hourly pay rate ADJUSTED]],DATA[[#This Row],[Care Assistant 3: Current 2021/22 Maximum hourly pay rate ADJUSTED]])&lt;LIVING_WAGE_22_23,DATA[[#This Row],[Care Assistant 3: Numbers employed (Full Time Equivalent)]],0),"")</f>
        <v>2</v>
      </c>
      <c r="MO88" s="30">
        <f>IFERROR(IF(AVERAGE(DATA[[#This Row],[Care Assistant 4: Current 2021/22 Minimum hourly pay rate ADJUSTED]],DATA[[#This Row],[Care Assistant 4: Current 2021/22 Maximum hourly pay rate ADJUSTED]])&lt;LIVING_WAGE_22_23,DATA[[#This Row],[Care Assistant 4: Numbers employed (Full Time Equivalent)]],0),"")</f>
        <v>14</v>
      </c>
      <c r="MP88" s="30">
        <f>IFERROR(IF(AVERAGE(DATA[[#This Row],[Administrative Officer 1: Current 2021/22 Minimum hourly pay rate ADJUSTED]],DATA[[#This Row],[Administrative Officer 1: Current 2021/22 Maximum hourly pay rate ADJUSTED]])&lt;LIVING_WAGE_22_23,DATA[[#This Row],[Administrative Officer 1: Numbers employed (Full Time Equivalent)]],0),"")</f>
        <v>0</v>
      </c>
      <c r="MQ88" s="30" t="str">
        <f>IFERROR(IF(AVERAGE(DATA[[#This Row],[Administrative Officer 2: Current 2021/22 Minimum hourly pay rate ADJUSTED]],DATA[[#This Row],[Administrative Officer 2: Current 2021/22 Maximum hourly pay rate ADJUSTED]])&lt;LIVING_WAGE_22_23,DATA[[#This Row],[Administrative Officer 2: Numbers employed (Full Time Equivalent)]],0),"")</f>
        <v/>
      </c>
      <c r="MR88" s="30" t="str">
        <f>IFERROR(IF(AVERAGE(DATA[[#This Row],[Other staff 1: Current 2021/22 Minimum hourly pay rate ADJUSTED]],DATA[[#This Row],[Other staff 1: Current 2021/22 Maximum hourly pay rate ADJUSTED]])&lt;LIVING_WAGE_22_23,DATA[[#This Row],[Other staff 1: Numbers employed (Full Time Equivalent)]],0),"")</f>
        <v/>
      </c>
      <c r="MS88" s="30" t="str">
        <f>IFERROR(IF(AVERAGE(DATA[[#This Row],[Other staff 2: Current 2021/22 Minimum hourly pay rate ADJUSTED]],DATA[[#This Row],[Other staff 2: Current 2021/22 Maximum hourly pay rate ADJUSTED]])&lt;LIVING_WAGE_22_23,DATA[[#This Row],[Other staff 2: Numbers employed (Full Time Equivalent)]],0),"")</f>
        <v/>
      </c>
      <c r="MT88" s="30" t="str">
        <f>IFERROR(IF(AVERAGE(DATA[[#This Row],[Other staff 3: Current 2021/22 Minimum hourly pay rate ADJUSTED]],DATA[[#This Row],[Other staff 3: Current 2021/22 Maximum hourly pay rate ADJUSTED]])&lt;LIVING_WAGE_22_23,DATA[[#This Row],[Other staff 3: Numbers employed (Full Time Equivalent)]],0),"")</f>
        <v/>
      </c>
      <c r="MU88" s="30">
        <f>SUM(DATA[[#This Row],[Registered Manager FTE earning less than NLW 23yrs 2022/23]:[Other staff 3 FTE earning less than NLW 23yrs 2022/23]])</f>
        <v>18</v>
      </c>
      <c r="MV88" s="30">
        <f>IFERROR(IF(OR(AVERAGE(DATA[[#This Row],[Registered manager: Current 2021/22 Minimum hourly pay rate ADJUSTED]],DATA[[#This Row],[Registered manager: Current 2021/22 Maximum hourly pay rate ADJUSTED]])&gt;=LIVING_WAGE_22_23,AVERAGE(DATA[[#This Row],[Registered manager: Current 2021/22 Minimum hourly pay rate ADJUSTED]],DATA[[#This Row],[Registered manager: Current 2021/22 Maximum hourly pay rate ADJUSTED]])=0),0,(LIVING_WAGE_22_23-AVERAGE(DATA[[#This Row],[Registered manager: Current 2021/22 Minimum hourly pay rate ADJUSTED]],DATA[[#This Row],[Registered manager: Current 2021/22 Maximum hourly pay rate ADJUSTED]]))*DATA[[#This Row],[Registered manager: Numbers employed (Full Time Equivalent)]]),"")</f>
        <v>0</v>
      </c>
      <c r="MW88" s="30">
        <f>IFERROR(IF(OR(AVERAGE(DATA[[#This Row],[Deputy manager: Current 2021/22 Minimum hourly pay rate ADJUSTED]],DATA[[#This Row],[Deputy manager: Current 2021/22 Maximum hourly pay rate ADJUSTED]])&gt;=LIVING_WAGE_22_23,AVERAGE(DATA[[#This Row],[Deputy manager: Current 2021/22 Minimum hourly pay rate ADJUSTED]],DATA[[#This Row],[Deputy manager: Current 2021/22 Maximum hourly pay rate ADJUSTED]])=0),0,(LIVING_WAGE_22_23-AVERAGE(DATA[[#This Row],[Deputy manager: Current 2021/22 Minimum hourly pay rate ADJUSTED]],DATA[[#This Row],[Deputy manager: Current 2021/22 Maximum hourly pay rate ADJUSTED]]))*DATA[[#This Row],[Deputy manager: Numbers employed (Full Time Equivalent)]]),"")</f>
        <v>0</v>
      </c>
      <c r="MX88" s="30">
        <f>IFERROR(IF(OR(AVERAGE(DATA[[#This Row],[Other manager 1: Current 2021/22 Minimum hourly pay rate ADJUSTED]],DATA[[#This Row],[Other manager 1: Current 2021/22 Maximum hourly pay rate ADJUSTED]])&gt;=LIVING_WAGE_22_23,AVERAGE(DATA[[#This Row],[Other manager 1: Current 2021/22 Minimum hourly pay rate ADJUSTED]],DATA[[#This Row],[Other manager 1: Current 2021/22 Maximum hourly pay rate ADJUSTED]])=0),0,(LIVING_WAGE_22_23-AVERAGE(DATA[[#This Row],[Other manager 1: Current 2021/22 Minimum hourly pay rate ADJUSTED]],DATA[[#This Row],[Other manager 1: Current 2021/22 Maximum hourly pay rate ADJUSTED]]))*DATA[[#This Row],[Other manager 1: Numbers employed (Full Time Equivalent)]]),"")</f>
        <v>0</v>
      </c>
      <c r="MY88" s="30" t="str">
        <f>IFERROR(IF(OR(AVERAGE(DATA[[#This Row],[Other manager 2: Current 2021/22 Minimum hourly pay rate ADJUSTED]],DATA[[#This Row],[Other manager 2: Current 2021/22 Maximum hourly pay rate ADJUSTED]])&gt;=LIVING_WAGE_22_23,AVERAGE(DATA[[#This Row],[Other manager 2: Current 2021/22 Minimum hourly pay rate ADJUSTED]],DATA[[#This Row],[Other manager 2: Current 2021/22 Maximum hourly pay rate ADJUSTED]])=0),0,(LIVING_WAGE_22_23-AVERAGE(DATA[[#This Row],[Other manager 2: Current 2021/22 Minimum hourly pay rate ADJUSTED]],DATA[[#This Row],[Other manager 2: Current 2021/22 Maximum hourly pay rate ADJUSTED]]))*DATA[[#This Row],[Other manager 2: Numbers employed (Full Time Equivalent)]]),"")</f>
        <v/>
      </c>
      <c r="MZ88" s="30" t="str">
        <f>IFERROR(IF(OR(AVERAGE(DATA[[#This Row],[Other manager 3: Current 2021/22 Minimum hourly pay rate ADJUSTED]],DATA[[#This Row],[Other manager 3: Current 2021/22 Maximum hourly pay rate ADJUSTED]])&gt;=LIVING_WAGE_22_23,AVERAGE(DATA[[#This Row],[Other manager 3: Current 2021/22 Minimum hourly pay rate ADJUSTED]],DATA[[#This Row],[Other manager 3: Current 2021/22 Maximum hourly pay rate ADJUSTED]])=0),0,(LIVING_WAGE_22_23-AVERAGE(DATA[[#This Row],[Other manager 3: Current 2021/22 Minimum hourly pay rate ADJUSTED]],DATA[[#This Row],[Other manager 3: Current 2021/22 Maximum hourly pay rate ADJUSTED]]))*DATA[[#This Row],[Other manager 3: Numbers employed (Full Time Equivalent)]]),"")</f>
        <v/>
      </c>
      <c r="NA88" s="30">
        <f>IFERROR(IF(OR(AVERAGE(DATA[[#This Row],[Care Assistant 1: Current 2021/22 Minimum hourly pay rate ADJUSTED]],DATA[[#This Row],[Care Assistant 1: Current 2021/22 Maximum hourly pay rate ADJUSTED]])&gt;=LIVING_WAGE_22_23,AVERAGE(DATA[[#This Row],[Care Assistant 1: Current 2021/22 Minimum hourly pay rate ADJUSTED]],DATA[[#This Row],[Care Assistant 1: Current 2021/22 Maximum hourly pay rate ADJUSTED]])=0),0,(LIVING_WAGE_22_23-AVERAGE(DATA[[#This Row],[Care Assistant 1: Current 2021/22 Minimum hourly pay rate ADJUSTED]],DATA[[#This Row],[Care Assistant 1: Current 2021/22 Maximum hourly pay rate ADJUSTED]]))*DATA[[#This Row],[Care Assistant 1: Numbers employed (Full Time Equivalent)]]),"")</f>
        <v>0.25</v>
      </c>
      <c r="NB88" s="30">
        <f>IFERROR(IF(OR(AVERAGE(DATA[[#This Row],[Care Assistant 2: Current 2021/22 Minimum hourly pay rate ADJUSTED]],DATA[[#This Row],[Care Assistant 2: Current 2021/22 Maximum hourly pay rate ADJUSTED]])&gt;=LIVING_WAGE_22_23,AVERAGE(DATA[[#This Row],[Care Assistant 2: Current 2021/22 Minimum hourly pay rate ADJUSTED]],DATA[[#This Row],[Care Assistant 2: Current 2021/22 Maximum hourly pay rate ADJUSTED]])=0),0,(LIVING_WAGE_22_23-AVERAGE(DATA[[#This Row],[Care Assistant 2: Current 2021/22 Minimum hourly pay rate ADJUSTED]],DATA[[#This Row],[Care Assistant 2: Current 2021/22 Maximum hourly pay rate ADJUSTED]]))*DATA[[#This Row],[Care Assistant 2: Numbers employed (Full Time Equivalent)]]),"")</f>
        <v>0.44999999999999929</v>
      </c>
      <c r="NC88" s="30">
        <f>IFERROR(IF(OR(AVERAGE(DATA[[#This Row],[Care Assistant 3: Current 2021/22 Minimum hourly pay rate ADJUSTED]],DATA[[#This Row],[Care Assistant 3: Current 2021/22 Maximum hourly pay rate ADJUSTED]])&gt;=LIVING_WAGE_22_23,AVERAGE(DATA[[#This Row],[Care Assistant 3: Current 2021/22 Minimum hourly pay rate ADJUSTED]],DATA[[#This Row],[Care Assistant 3: Current 2021/22 Maximum hourly pay rate ADJUSTED]])=0),0,(LIVING_WAGE_22_23-AVERAGE(DATA[[#This Row],[Care Assistant 3: Current 2021/22 Minimum hourly pay rate ADJUSTED]],DATA[[#This Row],[Care Assistant 3: Current 2021/22 Maximum hourly pay rate ADJUSTED]]))*DATA[[#This Row],[Care Assistant 3: Numbers employed (Full Time Equivalent)]]),"")</f>
        <v>0.89999999999999858</v>
      </c>
      <c r="ND88" s="30">
        <f>IFERROR(IF(OR(AVERAGE(DATA[[#This Row],[Care Assistant 4: Current 2021/22 Minimum hourly pay rate ADJUSTED]],DATA[[#This Row],[Care Assistant 4: Current 2021/22 Maximum hourly pay rate ADJUSTED]])&gt;=LIVING_WAGE_22_23,AVERAGE(DATA[[#This Row],[Care Assistant 4: Current 2021/22 Minimum hourly pay rate ADJUSTED]],DATA[[#This Row],[Care Assistant 4: Current 2021/22 Maximum hourly pay rate ADJUSTED]])=0),0,(LIVING_WAGE_22_23-AVERAGE(DATA[[#This Row],[Care Assistant 4: Current 2021/22 Minimum hourly pay rate ADJUSTED]],DATA[[#This Row],[Care Assistant 4: Current 2021/22 Maximum hourly pay rate ADJUSTED]]))*DATA[[#This Row],[Care Assistant 4: Numbers employed (Full Time Equivalent)]]),"")</f>
        <v>8.259999999999998</v>
      </c>
      <c r="NE88" s="30">
        <f>IFERROR(IF(OR(AVERAGE(DATA[[#This Row],[Administrative Officer 1: Current 2021/22 Minimum hourly pay rate ADJUSTED]],DATA[[#This Row],[Administrative Officer 1: Current 2021/22 Maximum hourly pay rate ADJUSTED]])&gt;=LIVING_WAGE_22_23,AVERAGE(DATA[[#This Row],[Administrative Officer 1: Current 2021/22 Minimum hourly pay rate ADJUSTED]],DATA[[#This Row],[Administrative Officer 1: Current 2021/22 Maximum hourly pay rate ADJUSTED]])=0),0,(LIVING_WAGE_22_23-AVERAGE(DATA[[#This Row],[Administrative Officer 1: Current 2021/22 Minimum hourly pay rate ADJUSTED]],DATA[[#This Row],[Administrative Officer 1: Current 2021/22 Maximum hourly pay rate ADJUSTED]]))*DATA[[#This Row],[Administrative Officer 1: Numbers employed (Full Time Equivalent)]]),"")</f>
        <v>0</v>
      </c>
      <c r="NF88" s="30" t="str">
        <f>IFERROR(IF(OR(AVERAGE(DATA[[#This Row],[Administrative Officer 2: Current 2021/22 Minimum hourly pay rate ADJUSTED]],DATA[[#This Row],[Administrative Officer 2: Current 2021/22 Maximum hourly pay rate ADJUSTED]])&gt;=LIVING_WAGE_22_23,AVERAGE(DATA[[#This Row],[Administrative Officer 2: Current 2021/22 Minimum hourly pay rate ADJUSTED]],DATA[[#This Row],[Administrative Officer 2: Current 2021/22 Maximum hourly pay rate ADJUSTED]])=0),0,(LIVING_WAGE_22_23-AVERAGE(DATA[[#This Row],[Administrative Officer 2: Current 2021/22 Minimum hourly pay rate ADJUSTED]],DATA[[#This Row],[Administrative Officer 2: Current 2021/22 Maximum hourly pay rate ADJUSTED]]))*DATA[[#This Row],[Administrative Officer 2: Numbers employed (Full Time Equivalent)]]),"")</f>
        <v/>
      </c>
      <c r="NG88" s="30" t="str">
        <f>IFERROR(IF(OR(AVERAGE(DATA[[#This Row],[Other staff 1: Current 2021/22 Minimum hourly pay rate ADJUSTED]],DATA[[#This Row],[Other staff 1: Current 2021/22 Maximum hourly pay rate ADJUSTED]])&gt;=LIVING_WAGE_22_23,AVERAGE(DATA[[#This Row],[Other staff 1: Current 2021/22 Minimum hourly pay rate ADJUSTED]],DATA[[#This Row],[Other staff 1: Current 2021/22 Maximum hourly pay rate ADJUSTED]])=0),0,(LIVING_WAGE_22_23-AVERAGE(DATA[[#This Row],[Other staff 1: Current 2021/22 Minimum hourly pay rate ADJUSTED]],DATA[[#This Row],[Other staff 1: Current 2021/22 Maximum hourly pay rate ADJUSTED]]))*DATA[[#This Row],[Other staff 1: Numbers employed (Full Time Equivalent)]]),"")</f>
        <v/>
      </c>
      <c r="NH88" s="30" t="str">
        <f>IFERROR(IF(OR(AVERAGE(DATA[[#This Row],[Other staff 2: Current 2021/22 Minimum hourly pay rate ADJUSTED]],DATA[[#This Row],[Other staff 2: Current 2021/22 Maximum hourly pay rate ADJUSTED]])&gt;=LIVING_WAGE_22_23,AVERAGE(DATA[[#This Row],[Other staff 2: Current 2021/22 Minimum hourly pay rate ADJUSTED]],DATA[[#This Row],[Other staff 2: Current 2021/22 Maximum hourly pay rate ADJUSTED]])=0),0,(LIVING_WAGE_22_23-AVERAGE(DATA[[#This Row],[Other staff 2: Current 2021/22 Minimum hourly pay rate ADJUSTED]],DATA[[#This Row],[Other staff 2: Current 2021/22 Maximum hourly pay rate ADJUSTED]]))*DATA[[#This Row],[Other staff 2: Numbers employed (Full Time Equivalent)]]),"")</f>
        <v/>
      </c>
      <c r="NI88" s="30" t="str">
        <f>IFERROR(IF(OR(AVERAGE(DATA[[#This Row],[Other staff 3: Current 2021/22 Minimum hourly pay rate ADJUSTED]],DATA[[#This Row],[Other staff 3: Current 2021/22 Maximum hourly pay rate ADJUSTED]])&gt;=LIVING_WAGE_22_23,AVERAGE(DATA[[#This Row],[Other staff 3: Current 2021/22 Minimum hourly pay rate ADJUSTED]],DATA[[#This Row],[Other staff 3: Current 2021/22 Maximum hourly pay rate ADJUSTED]])=0),0,(LIVING_WAGE_22_23-AVERAGE(DATA[[#This Row],[Other staff 3: Current 2021/22 Minimum hourly pay rate ADJUSTED]],DATA[[#This Row],[Other staff 3: Current 2021/22 Maximum hourly pay rate ADJUSTED]]))*DATA[[#This Row],[Other staff 3: Numbers employed (Full Time Equivalent)]]),"")</f>
        <v/>
      </c>
      <c r="NJ88" s="30" t="b">
        <v>0</v>
      </c>
      <c r="NK88" s="30" t="b">
        <v>1</v>
      </c>
      <c r="NL88" s="30" t="s">
        <v>972</v>
      </c>
      <c r="NM88" s="30">
        <f>SUM(DATA[[#This Row],[Management staff HOURLY RATE]:[Training and development HOURLY RATE]])</f>
        <v>0</v>
      </c>
      <c r="NN88" s="30">
        <f>SUM(DATA[[#This Row],[Recruitment &amp; advertising (including DBS checks) HOURLY RATE]:[Non-Staffing Direct Cost: Other  - please specify (amount) 2 HOURLY RATE]])</f>
        <v>0</v>
      </c>
      <c r="NO88" s="30">
        <f>SUM(DATA[[#This Row],[Insurance  HOURLY RATE]:[Indirect costs: Other  - please specify (amount) 2 HOURLY RATE]])</f>
        <v>14.798997995991984</v>
      </c>
      <c r="NP88" s="30">
        <f>SUM(DATA[[#This Row],[Central / Regional Management HOURLY RATE]:[Corporate Overheads: Other  - please specify (amount) 2 HOURLY RATE]])</f>
        <v>0.13226452905811623</v>
      </c>
      <c r="NQ88" s="30">
        <f>IFERROR(IF(AVERAGE(DATA[[#This Row],[Registered manager: Current 2021/22 Minimum hourly pay rate ADJUSTED]],DATA[[#This Row],[Registered manager: Current 2021/22 Maximum hourly pay rate ADJUSTED]])&lt;REAL_LIVING_WAGE_22_23,DATA[[#This Row],[Registered manager: Numbers employed (Full Time Equivalent)]],0),"")</f>
        <v>0</v>
      </c>
      <c r="NR88" s="30">
        <f>IFERROR(IF(AVERAGE(DATA[[#This Row],[Deputy manager: Current 2021/22 Minimum hourly pay rate ADJUSTED]],DATA[[#This Row],[Deputy manager: Current 2021/22 Maximum hourly pay rate ADJUSTED]])&lt;REAL_LIVING_WAGE_22_23,DATA[[#This Row],[Deputy manager: Numbers employed (Full Time Equivalent)]],0),"")</f>
        <v>0</v>
      </c>
      <c r="NS88" s="30">
        <f>IFERROR(IF(AVERAGE(DATA[[#This Row],[Other manager 1: Current 2021/22 Minimum hourly pay rate ADJUSTED]],DATA[[#This Row],[Other manager 1: Current 2021/22 Maximum hourly pay rate ADJUSTED]])&lt;REAL_LIVING_WAGE_22_23,DATA[[#This Row],[Other manager 1: Numbers employed (Full Time Equivalent)]],0),"")</f>
        <v>0</v>
      </c>
      <c r="NT88" s="30" t="str">
        <f>IFERROR(IF(AVERAGE(DATA[[#This Row],[Other manager 2: Current 2021/22 Minimum hourly pay rate ADJUSTED]],DATA[[#This Row],[Other manager 2: Current 2021/22 Maximum hourly pay rate ADJUSTED]])&lt;REAL_LIVING_WAGE_22_23,DATA[[#This Row],[Other manager 2: Numbers employed (Full Time Equivalent)]],0),"")</f>
        <v/>
      </c>
      <c r="NU88" s="30" t="str">
        <f>IFERROR(IF(AVERAGE(DATA[[#This Row],[Other manager 3: Current 2021/22 Minimum hourly pay rate ADJUSTED]],DATA[[#This Row],[Other manager 3: Current 2021/22 Maximum hourly pay rate ADJUSTED]])&lt;REAL_LIVING_WAGE_22_23,DATA[[#This Row],[Other manager 3: Numbers employed (Full Time Equivalent)]],0),"")</f>
        <v/>
      </c>
      <c r="NV88" s="30">
        <f>IFERROR(IF(AVERAGE(DATA[[#This Row],[Care Assistant 1: Current 2021/22 Minimum hourly pay rate ADJUSTED]],DATA[[#This Row],[Care Assistant 1: Current 2021/22 Maximum hourly pay rate ADJUSTED]])&lt;REAL_LIVING_WAGE_22_23,DATA[[#This Row],[Care Assistant 1: Numbers employed (Full Time Equivalent)]],0),"")</f>
        <v>1</v>
      </c>
      <c r="NW88" s="30">
        <f>IFERROR(IF(AVERAGE(DATA[[#This Row],[Care Assistant 2: Current 2021/22 Minimum hourly pay rate ADJUSTED]],DATA[[#This Row],[Care Assistant 2: Current 2021/22 Maximum hourly pay rate ADJUSTED]])&lt;REAL_LIVING_WAGE_22_23,DATA[[#This Row],[Care Assistant 2: Numbers employed (Full Time Equivalent)]],0),"")</f>
        <v>1</v>
      </c>
      <c r="NX88" s="30">
        <f>IFERROR(IF(AVERAGE(DATA[[#This Row],[Care Assistant 3: Current 2021/22 Minimum hourly pay rate ADJUSTED]],DATA[[#This Row],[Care Assistant 3: Current 2021/22 Maximum hourly pay rate ADJUSTED]])&lt;REAL_LIVING_WAGE_22_23,DATA[[#This Row],[Care Assistant 3: Numbers employed (Full Time Equivalent)]],0),"")</f>
        <v>2</v>
      </c>
      <c r="NY88" s="30">
        <f>IFERROR(IF(AVERAGE(DATA[[#This Row],[Care Assistant 4: Current 2021/22 Minimum hourly pay rate ADJUSTED]],DATA[[#This Row],[Care Assistant 4: Current 2021/22 Maximum hourly pay rate ADJUSTED]])&lt;REAL_LIVING_WAGE_22_23,DATA[[#This Row],[Care Assistant 4: Numbers employed (Full Time Equivalent)]],0),"")</f>
        <v>14</v>
      </c>
      <c r="NZ88" s="30">
        <f>IFERROR(IF(AVERAGE(DATA[[#This Row],[Administrative Officer 1: Current 2021/22 Minimum hourly pay rate ADJUSTED]],DATA[[#This Row],[Administrative Officer 1: Current 2021/22 Maximum hourly pay rate ADJUSTED]])&lt;REAL_LIVING_WAGE_22_23,DATA[[#This Row],[Administrative Officer 1: Numbers employed (Full Time Equivalent)]],0),"")</f>
        <v>0</v>
      </c>
      <c r="OA88" s="30" t="str">
        <f>IFERROR(IF(AVERAGE(DATA[[#This Row],[Administrative Officer 2: Current 2021/22 Minimum hourly pay rate ADJUSTED]],DATA[[#This Row],[Administrative Officer 2: Current 2021/22 Maximum hourly pay rate ADJUSTED]])&lt;REAL_LIVING_WAGE_22_23,DATA[[#This Row],[Administrative Officer 2: Numbers employed (Full Time Equivalent)]],0),"")</f>
        <v/>
      </c>
      <c r="OB88" s="30" t="str">
        <f>IFERROR(IF(AVERAGE(DATA[[#This Row],[Other staff 1: Current 2021/22 Minimum hourly pay rate ADJUSTED]],DATA[[#This Row],[Other staff 1: Current 2021/22 Maximum hourly pay rate ADJUSTED]])&lt;REAL_LIVING_WAGE_22_23,DATA[[#This Row],[Other staff 1: Numbers employed (Full Time Equivalent)]],0),"")</f>
        <v/>
      </c>
      <c r="OC88" s="30" t="str">
        <f>IFERROR(IF(AVERAGE(DATA[[#This Row],[Other staff 2: Current 2021/22 Minimum hourly pay rate ADJUSTED]],DATA[[#This Row],[Other staff 2: Current 2021/22 Maximum hourly pay rate ADJUSTED]])&lt;REAL_LIVING_WAGE_22_23,DATA[[#This Row],[Other staff 2: Numbers employed (Full Time Equivalent)]],0),"")</f>
        <v/>
      </c>
      <c r="OD88" s="30" t="str">
        <f>IFERROR(IF(AVERAGE(DATA[[#This Row],[Other staff 3: Current 2021/22 Minimum hourly pay rate ADJUSTED]],DATA[[#This Row],[Other staff 3: Current 2021/22 Maximum hourly pay rate ADJUSTED]])&lt;REAL_LIVING_WAGE_22_23,DATA[[#This Row],[Other staff 3: Numbers employed (Full Time Equivalent)]],0),"")</f>
        <v/>
      </c>
      <c r="OE88" s="30">
        <f>SUM(DATA[[#This Row],[Registered Manager FTE earning less than RLW 23yrs 2022/23]:[Other staff 3 FTE earning less than RLW 23yrs 2022/23]])</f>
        <v>18</v>
      </c>
      <c r="OF88" s="30">
        <f>IFERROR(IF(OR(AVERAGE(DATA[[#This Row],[Registered manager: Current 2021/22 Minimum hourly pay rate ADJUSTED]],DATA[[#This Row],[Registered manager: Current 2021/22 Maximum hourly pay rate ADJUSTED]])&gt;=REAL_LIVING_WAGE_22_23,AVERAGE(DATA[[#This Row],[Registered manager: Current 2021/22 Minimum hourly pay rate ADJUSTED]],DATA[[#This Row],[Registered manager: Current 2021/22 Maximum hourly pay rate ADJUSTED]])=0),0,(REAL_LIVING_WAGE_22_23-AVERAGE(DATA[[#This Row],[Registered manager: Current 2021/22 Minimum hourly pay rate ADJUSTED]],DATA[[#This Row],[Registered manager: Current 2021/22 Maximum hourly pay rate ADJUSTED]]))*DATA[[#This Row],[Registered manager: Numbers employed (Full Time Equivalent)]]),"")</f>
        <v>0</v>
      </c>
      <c r="OG88" s="30">
        <f>IFERROR(IF(OR(AVERAGE(DATA[[#This Row],[Deputy manager: Current 2021/22 Minimum hourly pay rate ADJUSTED]],DATA[[#This Row],[Deputy manager: Current 2021/22 Maximum hourly pay rate ADJUSTED]])&gt;=REAL_LIVING_WAGE_22_23,AVERAGE(DATA[[#This Row],[Deputy manager: Current 2021/22 Minimum hourly pay rate ADJUSTED]],DATA[[#This Row],[Deputy manager: Current 2021/22 Maximum hourly pay rate ADJUSTED]])=0),0,(REAL_LIVING_WAGE_22_23-AVERAGE(DATA[[#This Row],[Deputy manager: Current 2021/22 Minimum hourly pay rate ADJUSTED]],DATA[[#This Row],[Deputy manager: Current 2021/22 Maximum hourly pay rate ADJUSTED]]))*DATA[[#This Row],[Deputy manager: Numbers employed (Full Time Equivalent)]]),"")</f>
        <v>0</v>
      </c>
      <c r="OH88" s="30">
        <f>IFERROR(IF(OR(AVERAGE(DATA[[#This Row],[Other manager 1: Current 2021/22 Minimum hourly pay rate ADJUSTED]],DATA[[#This Row],[Other manager 1: Current 2021/22 Maximum hourly pay rate ADJUSTED]])&gt;=REAL_LIVING_WAGE_22_23,AVERAGE(DATA[[#This Row],[Other manager 1: Current 2021/22 Minimum hourly pay rate ADJUSTED]],DATA[[#This Row],[Other manager 1: Current 2021/22 Maximum hourly pay rate ADJUSTED]])=0),0,(REAL_LIVING_WAGE_22_23-AVERAGE(DATA[[#This Row],[Other manager 1: Current 2021/22 Minimum hourly pay rate ADJUSTED]],DATA[[#This Row],[Other manager 1: Current 2021/22 Maximum hourly pay rate ADJUSTED]]))*DATA[[#This Row],[Other manager 1: Numbers employed (Full Time Equivalent)]]),"")</f>
        <v>0</v>
      </c>
      <c r="OI88" s="30" t="str">
        <f>IFERROR(IF(OR(AVERAGE(DATA[[#This Row],[Other manager 2: Current 2021/22 Minimum hourly pay rate ADJUSTED]],DATA[[#This Row],[Other manager 2: Current 2021/22 Maximum hourly pay rate ADJUSTED]])&gt;=REAL_LIVING_WAGE_22_23,AVERAGE(DATA[[#This Row],[Other manager 2: Current 2021/22 Minimum hourly pay rate ADJUSTED]],DATA[[#This Row],[Other manager 2: Current 2021/22 Maximum hourly pay rate ADJUSTED]])=0),0,(REAL_LIVING_WAGE_22_23-AVERAGE(DATA[[#This Row],[Other manager 2: Current 2021/22 Minimum hourly pay rate ADJUSTED]],DATA[[#This Row],[Other manager 2: Current 2021/22 Maximum hourly pay rate ADJUSTED]]))*DATA[[#This Row],[Other manager 2: Numbers employed (Full Time Equivalent)]]),"")</f>
        <v/>
      </c>
      <c r="OJ88" s="30" t="str">
        <f>IFERROR(IF(OR(AVERAGE(DATA[[#This Row],[Other manager 3: Current 2021/22 Minimum hourly pay rate ADJUSTED]],DATA[[#This Row],[Other manager 3: Current 2021/22 Maximum hourly pay rate ADJUSTED]])&gt;=REAL_LIVING_WAGE_22_23,AVERAGE(DATA[[#This Row],[Other manager 3: Current 2021/22 Minimum hourly pay rate ADJUSTED]],DATA[[#This Row],[Other manager 3: Current 2021/22 Maximum hourly pay rate ADJUSTED]])=0),0,(REAL_LIVING_WAGE_22_23-AVERAGE(DATA[[#This Row],[Other manager 3: Current 2021/22 Minimum hourly pay rate ADJUSTED]],DATA[[#This Row],[Other manager 3: Current 2021/22 Maximum hourly pay rate ADJUSTED]]))*DATA[[#This Row],[Other manager 3: Numbers employed (Full Time Equivalent)]]),"")</f>
        <v/>
      </c>
      <c r="OK88" s="30">
        <f>IFERROR(IF(OR(AVERAGE(DATA[[#This Row],[Care Assistant 1: Current 2021/22 Minimum hourly pay rate ADJUSTED]],DATA[[#This Row],[Care Assistant 1: Current 2021/22 Maximum hourly pay rate ADJUSTED]])&gt;=REAL_LIVING_WAGE_22_23,AVERAGE(DATA[[#This Row],[Care Assistant 1: Current 2021/22 Minimum hourly pay rate ADJUSTED]],DATA[[#This Row],[Care Assistant 1: Current 2021/22 Maximum hourly pay rate ADJUSTED]])=0),0,(REAL_LIVING_WAGE_22_23-AVERAGE(DATA[[#This Row],[Care Assistant 1: Current 2021/22 Minimum hourly pay rate ADJUSTED]],DATA[[#This Row],[Care Assistant 1: Current 2021/22 Maximum hourly pay rate ADJUSTED]]))*DATA[[#This Row],[Care Assistant 1: Numbers employed (Full Time Equivalent)]]),"")</f>
        <v>0.65000000000000036</v>
      </c>
      <c r="OL88" s="30">
        <f>IFERROR(IF(OR(AVERAGE(DATA[[#This Row],[Care Assistant 2: Current 2021/22 Minimum hourly pay rate ADJUSTED]],DATA[[#This Row],[Care Assistant 2: Current 2021/22 Maximum hourly pay rate ADJUSTED]])&gt;=REAL_LIVING_WAGE_22_23,AVERAGE(DATA[[#This Row],[Care Assistant 2: Current 2021/22 Minimum hourly pay rate ADJUSTED]],DATA[[#This Row],[Care Assistant 2: Current 2021/22 Maximum hourly pay rate ADJUSTED]])=0),0,(REAL_LIVING_WAGE_22_23-AVERAGE(DATA[[#This Row],[Care Assistant 2: Current 2021/22 Minimum hourly pay rate ADJUSTED]],DATA[[#This Row],[Care Assistant 2: Current 2021/22 Maximum hourly pay rate ADJUSTED]]))*DATA[[#This Row],[Care Assistant 2: Numbers employed (Full Time Equivalent)]]),"")</f>
        <v>0.84999999999999964</v>
      </c>
      <c r="OM88" s="30">
        <f>IFERROR(IF(OR(AVERAGE(DATA[[#This Row],[Care Assistant 3: Current 2021/22 Minimum hourly pay rate ADJUSTED]],DATA[[#This Row],[Care Assistant 3: Current 2021/22 Maximum hourly pay rate ADJUSTED]])&gt;=REAL_LIVING_WAGE_22_23,AVERAGE(DATA[[#This Row],[Care Assistant 3: Current 2021/22 Minimum hourly pay rate ADJUSTED]],DATA[[#This Row],[Care Assistant 3: Current 2021/22 Maximum hourly pay rate ADJUSTED]])=0),0,(REAL_LIVING_WAGE_22_23-AVERAGE(DATA[[#This Row],[Care Assistant 3: Current 2021/22 Minimum hourly pay rate ADJUSTED]],DATA[[#This Row],[Care Assistant 3: Current 2021/22 Maximum hourly pay rate ADJUSTED]]))*DATA[[#This Row],[Care Assistant 3: Numbers employed (Full Time Equivalent)]]),"")</f>
        <v>1.6999999999999993</v>
      </c>
      <c r="ON88" s="30">
        <f>IFERROR(IF(OR(AVERAGE(DATA[[#This Row],[Care Assistant 4: Current 2021/22 Minimum hourly pay rate ADJUSTED]],DATA[[#This Row],[Care Assistant 4: Current 2021/22 Maximum hourly pay rate ADJUSTED]])&gt;=REAL_LIVING_WAGE_22_23,AVERAGE(DATA[[#This Row],[Care Assistant 4: Current 2021/22 Minimum hourly pay rate ADJUSTED]],DATA[[#This Row],[Care Assistant 4: Current 2021/22 Maximum hourly pay rate ADJUSTED]])=0),0,(REAL_LIVING_WAGE_22_23-AVERAGE(DATA[[#This Row],[Care Assistant 4: Current 2021/22 Minimum hourly pay rate ADJUSTED]],DATA[[#This Row],[Care Assistant 4: Current 2021/22 Maximum hourly pay rate ADJUSTED]]))*DATA[[#This Row],[Care Assistant 4: Numbers employed (Full Time Equivalent)]]),"")</f>
        <v>13.860000000000003</v>
      </c>
      <c r="OO88" s="30">
        <f>IFERROR(IF(OR(AVERAGE(DATA[[#This Row],[Administrative Officer 1: Current 2021/22 Minimum hourly pay rate ADJUSTED]],DATA[[#This Row],[Administrative Officer 1: Current 2021/22 Maximum hourly pay rate ADJUSTED]])&gt;=REAL_LIVING_WAGE_22_23,AVERAGE(DATA[[#This Row],[Administrative Officer 1: Current 2021/22 Minimum hourly pay rate ADJUSTED]],DATA[[#This Row],[Administrative Officer 1: Current 2021/22 Maximum hourly pay rate ADJUSTED]])=0),0,(REAL_LIVING_WAGE_22_23-AVERAGE(DATA[[#This Row],[Administrative Officer 1: Current 2021/22 Minimum hourly pay rate ADJUSTED]],DATA[[#This Row],[Administrative Officer 1: Current 2021/22 Maximum hourly pay rate ADJUSTED]]))*DATA[[#This Row],[Administrative Officer 1: Numbers employed (Full Time Equivalent)]]),"")</f>
        <v>0</v>
      </c>
      <c r="OP88" s="30" t="str">
        <f>IFERROR(IF(OR(AVERAGE(DATA[[#This Row],[Administrative Officer 2: Current 2021/22 Minimum hourly pay rate ADJUSTED]],DATA[[#This Row],[Administrative Officer 2: Current 2021/22 Maximum hourly pay rate ADJUSTED]])&gt;=REAL_LIVING_WAGE_22_23,AVERAGE(DATA[[#This Row],[Administrative Officer 2: Current 2021/22 Minimum hourly pay rate ADJUSTED]],DATA[[#This Row],[Administrative Officer 2: Current 2021/22 Maximum hourly pay rate ADJUSTED]])=0),0,(REAL_LIVING_WAGE_22_23-AVERAGE(DATA[[#This Row],[Administrative Officer 2: Current 2021/22 Minimum hourly pay rate ADJUSTED]],DATA[[#This Row],[Administrative Officer 2: Current 2021/22 Maximum hourly pay rate ADJUSTED]]))*DATA[[#This Row],[Administrative Officer 2: Numbers employed (Full Time Equivalent)]]),"")</f>
        <v/>
      </c>
      <c r="OQ88" s="30" t="str">
        <f>IFERROR(IF(OR(AVERAGE(DATA[[#This Row],[Other staff 1: Current 2021/22 Minimum hourly pay rate ADJUSTED]],DATA[[#This Row],[Other staff 1: Current 2021/22 Maximum hourly pay rate ADJUSTED]])&gt;=REAL_LIVING_WAGE_22_23,AVERAGE(DATA[[#This Row],[Other staff 1: Current 2021/22 Minimum hourly pay rate ADJUSTED]],DATA[[#This Row],[Other staff 1: Current 2021/22 Maximum hourly pay rate ADJUSTED]])=0),0,(REAL_LIVING_WAGE_22_23-AVERAGE(DATA[[#This Row],[Other staff 1: Current 2021/22 Minimum hourly pay rate ADJUSTED]],DATA[[#This Row],[Other staff 1: Current 2021/22 Maximum hourly pay rate ADJUSTED]]))*DATA[[#This Row],[Other staff 1: Numbers employed (Full Time Equivalent)]]),"")</f>
        <v/>
      </c>
      <c r="OR88" s="30" t="str">
        <f>IFERROR(IF(OR(AVERAGE(DATA[[#This Row],[Other staff 2: Current 2021/22 Minimum hourly pay rate ADJUSTED]],DATA[[#This Row],[Other staff 2: Current 2021/22 Maximum hourly pay rate ADJUSTED]])&gt;=REAL_LIVING_WAGE_22_23,AVERAGE(DATA[[#This Row],[Other staff 2: Current 2021/22 Minimum hourly pay rate ADJUSTED]],DATA[[#This Row],[Other staff 2: Current 2021/22 Maximum hourly pay rate ADJUSTED]])=0),0,(REAL_LIVING_WAGE_22_23-AVERAGE(DATA[[#This Row],[Other staff 2: Current 2021/22 Minimum hourly pay rate ADJUSTED]],DATA[[#This Row],[Other staff 2: Current 2021/22 Maximum hourly pay rate ADJUSTED]]))*DATA[[#This Row],[Other staff 2: Numbers employed (Full Time Equivalent)]]),"")</f>
        <v/>
      </c>
      <c r="OS88" s="30" t="str">
        <f>IFERROR(IF(OR(AVERAGE(DATA[[#This Row],[Other staff 3: Current 2021/22 Minimum hourly pay rate ADJUSTED]],DATA[[#This Row],[Other staff 3: Current 2021/22 Maximum hourly pay rate ADJUSTED]])&gt;=REAL_LIVING_WAGE_22_23,AVERAGE(DATA[[#This Row],[Other staff 3: Current 2021/22 Minimum hourly pay rate ADJUSTED]],DATA[[#This Row],[Other staff 3: Current 2021/22 Maximum hourly pay rate ADJUSTED]])=0),0,(REAL_LIVING_WAGE_22_23-AVERAGE(DATA[[#This Row],[Other staff 3: Current 2021/22 Minimum hourly pay rate ADJUSTED]],DATA[[#This Row],[Other staff 3: Current 2021/22 Maximum hourly pay rate ADJUSTED]]))*DATA[[#This Row],[Other staff 3: Numbers employed (Full Time Equivalent)]]),"")</f>
        <v/>
      </c>
      <c r="OT88" s="30">
        <f>IFERROR(IF(DATA[[#This Row],[Registered manager: Numbers employed (Full Time Equivalent)]]=0,"",DATA[[#This Row],[Registered manager: Current 2021/22 Minimum hourly pay rate ADJUSTED 2]]*DATA[[#This Row],[Registered manager: Numbers employed (Full Time Equivalent)]]),"")</f>
        <v>30</v>
      </c>
      <c r="OU88" s="30">
        <f>IFERROR(IF(DATA[[#This Row],[Registered manager: Numbers employed (Full Time Equivalent)]]=0,"",DATA[[#This Row],[Registered manager: Current 2021/22 Maximum hourly pay rate ADJUSTED 2]]*DATA[[#This Row],[Registered manager: Numbers employed (Full Time Equivalent)]]),"")</f>
        <v>30</v>
      </c>
      <c r="OV88" s="30">
        <f>IFERROR(IF(DATA[[#This Row],[Registered manager: Numbers employed (Full Time Equivalent)]]=0,"",DATA[[#This Row],[Registered manager: Previous 2020/21 Minimum hourly pay rate ADJUSTED 2]]*DATA[[#This Row],[Registered manager: Numbers employed (Full Time Equivalent)]]),"")</f>
        <v>30</v>
      </c>
      <c r="OW88" s="30">
        <f>IFERROR(IF(DATA[[#This Row],[Registered manager: Numbers employed (Full Time Equivalent)]]=0,"",DATA[[#This Row],[Registered manager: Previous 2020/21 Maximum hourly pay rate ADJUSTED 2]]*DATA[[#This Row],[Registered manager: Numbers employed (Full Time Equivalent)]]),"")</f>
        <v>30</v>
      </c>
      <c r="OX88" s="30">
        <f>IFERROR(IF(DATA[[#This Row],[Deputy manager: Numbers employed (Full Time Equivalent)]]=0,"",DATA[[#This Row],[Deputy manager: Current 2021/22 Minimum hourly pay rate ADJUSTED 2]]*DATA[[#This Row],[Deputy manager: Numbers employed (Full Time Equivalent)]]),"")</f>
        <v>25</v>
      </c>
      <c r="OY88" s="30" t="str">
        <f>IFERROR(IF(DATA[[#This Row],[Deputy manager: Numbers employed (Full Time Equivalent)]]=0,"",DATA[[#This Row],[Deputy manager: Current 2021/22 Maximum hourly pay rate ADJUSTED 2]]*DATA[[#This Row],[Deputy manager: Numbers employed (Full Time Equivalent)]]),"")</f>
        <v/>
      </c>
      <c r="OZ88" s="30">
        <f>IFERROR(IF(DATA[[#This Row],[Deputy manager: Numbers employed (Full Time Equivalent)]]=0,"",DATA[[#This Row],[Deputy manager: Previous 2020/21 Minimum hourly pay rate ADJUSTED 2]]*DATA[[#This Row],[Deputy manager: Numbers employed (Full Time Equivalent)]]),"")</f>
        <v>25</v>
      </c>
      <c r="PA88" s="30" t="str">
        <f>IFERROR(IF(DATA[[#This Row],[Deputy manager: Numbers employed (Full Time Equivalent)]]=0,"",DATA[[#This Row],[Deputy manager: Previous 2020/21 Maximum hourly pay rate ADJUSTED 2]]*DATA[[#This Row],[Deputy manager: Numbers employed (Full Time Equivalent)]]),"")</f>
        <v/>
      </c>
      <c r="PB88" s="30">
        <f>IFERROR(IF(DATA[[#This Row],[Other manager 1: Numbers employed (Full Time Equivalent)]]=0,"",DATA[[#This Row],[Other manager 1: Current 2021/22 Minimum hourly pay rate ADJUSTED 2]]*DATA[[#This Row],[Other manager 1: Numbers employed (Full Time Equivalent)]]),"")</f>
        <v>31</v>
      </c>
      <c r="PC88" s="30">
        <f>IFERROR(IF(DATA[[#This Row],[Other manager 1: Numbers employed (Full Time Equivalent)]]=0,"",DATA[[#This Row],[Other manager 1: Current 2021/22 Maximum hourly pay rate ADJUSTED 2]]*DATA[[#This Row],[Other manager 1: Numbers employed (Full Time Equivalent)]]),"")</f>
        <v>31</v>
      </c>
      <c r="PD88" s="30">
        <f>IFERROR(IF(DATA[[#This Row],[Other manager 1: Numbers employed (Full Time Equivalent)]]=0,"",DATA[[#This Row],[Other manager 1: Previous 2020/21 Minimum hourly pay rate ADJUSTED 2]]*DATA[[#This Row],[Other manager 1: Numbers employed (Full Time Equivalent)]]),"")</f>
        <v>20</v>
      </c>
      <c r="PE88" s="30">
        <f>IFERROR(IF(DATA[[#This Row],[Other manager 1: Numbers employed (Full Time Equivalent)]]=0,"",DATA[[#This Row],[Other manager 1: Previous 2020/21 Maximum hourly pay rate ADJUSTED 2]]*DATA[[#This Row],[Other manager 1: Numbers employed (Full Time Equivalent)]]),"")</f>
        <v>20</v>
      </c>
      <c r="PF88" s="30" t="str">
        <f>IFERROR(IF(DATA[[#This Row],[Other manager 2: Numbers employed (Full Time Equivalent)]]=0,"",DATA[[#This Row],[Other manager 2: Current 2021/22 Minimum hourly pay rate ADJUSTED 2]]*DATA[[#This Row],[Other manager 2: Numbers employed (Full Time Equivalent)]]),"")</f>
        <v/>
      </c>
      <c r="PG88" s="30" t="str">
        <f>IFERROR(IF(DATA[[#This Row],[Other manager 2: Numbers employed (Full Time Equivalent)]]=0,"",DATA[[#This Row],[Other manager 2: Current 2021/22 Maximum hourly pay rate ADJUSTED 2]]*DATA[[#This Row],[Other manager 2: Numbers employed (Full Time Equivalent)]]),"")</f>
        <v/>
      </c>
      <c r="PH88" s="30" t="str">
        <f>IFERROR(IF(DATA[[#This Row],[Other manager 2: Numbers employed (Full Time Equivalent)]]=0,"",DATA[[#This Row],[Other manager 2: Previous 2020/21 Minimum hourly pay rate ADJUSTED 2]]*DATA[[#This Row],[Other manager 2: Numbers employed (Full Time Equivalent)]]),"")</f>
        <v/>
      </c>
      <c r="PI88" s="30" t="str">
        <f>IFERROR(IF(DATA[[#This Row],[Other manager 2: Numbers employed (Full Time Equivalent)]]=0,"",DATA[[#This Row],[Other manager 2: Previous 2020/21 Maximum hourly pay rate ADJUSTED 2]]*DATA[[#This Row],[Other manager 2: Numbers employed (Full Time Equivalent)]]),"")</f>
        <v/>
      </c>
      <c r="PJ88" s="30" t="str">
        <f>IFERROR(IF(DATA[[#This Row],[Other manager 3: Numbers employed (Full Time Equivalent)]]=0,"",DATA[[#This Row],[Other manager 3: Current 2021/22 Minimum hourly pay rate ADJUSTED 2]]*DATA[[#This Row],[Other manager 3: Numbers employed (Full Time Equivalent)]]),"")</f>
        <v/>
      </c>
      <c r="PK88" s="30" t="str">
        <f>IFERROR(IF(DATA[[#This Row],[Other manager 3: Numbers employed (Full Time Equivalent)]]=0,"",DATA[[#This Row],[Other manager 3: Current 2021/22 Maximum hourly pay rate ADJUSTED 2]]*DATA[[#This Row],[Other manager 3: Numbers employed (Full Time Equivalent)]]),"")</f>
        <v/>
      </c>
      <c r="PL88" s="30" t="str">
        <f>IFERROR(IF(DATA[[#This Row],[Other manager 3: Numbers employed (Full Time Equivalent)]]=0,"",DATA[[#This Row],[Other manager 3: Previous 2020/21 Minimum hourly pay rate ADJUSTED 2]]*DATA[[#This Row],[Other manager 3: Numbers employed (Full Time Equivalent)]]),"")</f>
        <v/>
      </c>
      <c r="PM88" s="30" t="str">
        <f>IFERROR(IF(DATA[[#This Row],[Other manager 3: Numbers employed (Full Time Equivalent)]]=0,"",DATA[[#This Row],[Other manager 3: Previous 2020/21 Maximum hourly pay rate ADJUSTED 2]]*DATA[[#This Row],[Other manager 3: Numbers employed (Full Time Equivalent)]]),"")</f>
        <v/>
      </c>
      <c r="PN88" s="30">
        <f>IFERROR(IF(DATA[[#This Row],[Care Assistant 1: Numbers employed (Full Time Equivalent)]]=0,"",DATA[[#This Row],[Care Assistant 1: Current 2021/22 Minimum hourly pay rate ADJUSTED 2]]*DATA[[#This Row],[Care Assistant 1: Numbers employed (Full Time Equivalent)]]),"")</f>
        <v>9.25</v>
      </c>
      <c r="PO88" s="30">
        <f>IFERROR(IF(DATA[[#This Row],[Care Assistant 1: Numbers employed (Full Time Equivalent)]]=0,"",DATA[[#This Row],[Care Assistant 1: Current 2021/22 Maximum hourly pay rate ADJUSTED 2]]*DATA[[#This Row],[Care Assistant 1: Numbers employed (Full Time Equivalent)]]),"")</f>
        <v>9.25</v>
      </c>
      <c r="PP88" s="30">
        <f>IFERROR(IF(DATA[[#This Row],[Care Assistant 1: Numbers employed (Full Time Equivalent)]]=0,"",DATA[[#This Row],[Care Assistant 1: Previous 2020/21 Minimum hourly pay rate ADJUSTED 2]]*DATA[[#This Row],[Care Assistant 1: Numbers employed (Full Time Equivalent)]]),"")</f>
        <v>9.1999999999999993</v>
      </c>
      <c r="PQ88" s="30">
        <f>IFERROR(IF(DATA[[#This Row],[Care Assistant 1: Numbers employed (Full Time Equivalent)]]=0,"",DATA[[#This Row],[Care Assistant 1: Previous 2020/21 Maximum hourly pay rate ADJUSTED 2]]*DATA[[#This Row],[Care Assistant 1: Numbers employed (Full Time Equivalent)]]),"")</f>
        <v>9.1999999999999993</v>
      </c>
      <c r="PR88" s="30">
        <f>IFERROR(IF(DATA[[#This Row],[Care Assistant 2: Numbers employed (Full Time Equivalent)]]=0,"",DATA[[#This Row],[Care Assistant 2: Current 2021/22 Minimum hourly pay rate ADJUSTED 2]]*DATA[[#This Row],[Care Assistant 2: Numbers employed (Full Time Equivalent)]]),"")</f>
        <v>9.0500000000000007</v>
      </c>
      <c r="PS88" s="30">
        <f>IFERROR(IF(DATA[[#This Row],[Care Assistant 2: Numbers employed (Full Time Equivalent)]]=0,"",DATA[[#This Row],[Care Assistant 2: Current 2021/22 Maximum hourly pay rate ADJUSTED 2]]*DATA[[#This Row],[Care Assistant 2: Numbers employed (Full Time Equivalent)]]),"")</f>
        <v>9.0500000000000007</v>
      </c>
      <c r="PT88" s="30">
        <f>IFERROR(IF(DATA[[#This Row],[Care Assistant 2: Numbers employed (Full Time Equivalent)]]=0,"",DATA[[#This Row],[Care Assistant 2: Previous 2020/21 Minimum hourly pay rate ADJUSTED 2]]*DATA[[#This Row],[Care Assistant 2: Numbers employed (Full Time Equivalent)]]),"")</f>
        <v>9</v>
      </c>
      <c r="PU88" s="30">
        <f>IFERROR(IF(DATA[[#This Row],[Care Assistant 2: Numbers employed (Full Time Equivalent)]]=0,"",DATA[[#This Row],[Care Assistant 2: Previous 2020/21 Maximum hourly pay rate ADJUSTED 2]]*DATA[[#This Row],[Care Assistant 2: Numbers employed (Full Time Equivalent)]]),"")</f>
        <v>9</v>
      </c>
      <c r="PV88" s="30">
        <f>IFERROR(IF(DATA[[#This Row],[Care Assistant 3: Numbers employed (Full Time Equivalent)]]=0,"",DATA[[#This Row],[Care Assistant 3: Current 2021/22 Minimum hourly pay rate ADJUSTED 2]]*DATA[[#This Row],[Care Assistant 3: Numbers employed (Full Time Equivalent)]]),"")</f>
        <v>18.100000000000001</v>
      </c>
      <c r="PW88" s="30">
        <f>IFERROR(IF(DATA[[#This Row],[Care Assistant 3: Numbers employed (Full Time Equivalent)]]=0,"",DATA[[#This Row],[Care Assistant 3: Current 2021/22 Maximum hourly pay rate ADJUSTED 2]]*DATA[[#This Row],[Care Assistant 3: Numbers employed (Full Time Equivalent)]]),"")</f>
        <v>18.100000000000001</v>
      </c>
      <c r="PX88" s="30">
        <f>IFERROR(IF(DATA[[#This Row],[Care Assistant 3: Numbers employed (Full Time Equivalent)]]=0,"",DATA[[#This Row],[Care Assistant 3: Previous 2020/21 Minimum hourly pay rate ADJUSTED 2]]*DATA[[#This Row],[Care Assistant 3: Numbers employed (Full Time Equivalent)]]),"")</f>
        <v>17.8</v>
      </c>
      <c r="PY88" s="30">
        <f>IFERROR(IF(DATA[[#This Row],[Care Assistant 3: Numbers employed (Full Time Equivalent)]]=0,"",DATA[[#This Row],[Care Assistant 3: Previous 2020/21 Maximum hourly pay rate ADJUSTED 2]]*DATA[[#This Row],[Care Assistant 3: Numbers employed (Full Time Equivalent)]]),"")</f>
        <v>17.8</v>
      </c>
      <c r="PZ88" s="30">
        <f>IFERROR(IF(DATA[[#This Row],[Care Assistant 4: Numbers employed (Full Time Equivalent)]]=0,"",DATA[[#This Row],[Care Assistant 4: Current 2021/22 Minimum hourly pay rate ADJUSTED 2]]*DATA[[#This Row],[Care Assistant 4: Numbers employed (Full Time Equivalent)]]),"")</f>
        <v>124.74000000000001</v>
      </c>
      <c r="QA88" s="30">
        <f>IFERROR(IF(DATA[[#This Row],[Care Assistant 4: Numbers employed (Full Time Equivalent)]]=0,"",DATA[[#This Row],[Care Assistant 4: Current 2021/22 Maximum hourly pay rate ADJUSTED 2]]*DATA[[#This Row],[Care Assistant 4: Numbers employed (Full Time Equivalent)]]),"")</f>
        <v>124.74000000000001</v>
      </c>
      <c r="QB88" s="30">
        <f>IFERROR(IF(DATA[[#This Row],[Care Assistant 4: Numbers employed (Full Time Equivalent)]]=0,"",DATA[[#This Row],[Care Assistant 4: Previous 2020/21 Minimum hourly pay rate ADJUSTED 2]]*DATA[[#This Row],[Care Assistant 4: Numbers employed (Full Time Equivalent)]]),"")</f>
        <v>122.08000000000001</v>
      </c>
      <c r="QC88" s="30">
        <f>IFERROR(IF(DATA[[#This Row],[Care Assistant 4: Numbers employed (Full Time Equivalent)]]=0,"",DATA[[#This Row],[Care Assistant 4: Previous 2020/21 Maximum hourly pay rate ADJUSTED 2]]*DATA[[#This Row],[Care Assistant 4: Numbers employed (Full Time Equivalent)]]),"")</f>
        <v>122.08000000000001</v>
      </c>
      <c r="QD88" s="30" t="str">
        <f>IFERROR(IF(DATA[[#This Row],[Administrative Officer 1: Numbers employed (Full Time Equivalent)]]=0,"",DATA[[#This Row],[Administrative Officer 1: Current 2021/22 Minimum hourly pay rate ADJUSTED 2]]*DATA[[#This Row],[Administrative Officer 1: Numbers employed (Full Time Equivalent)]]),"")</f>
        <v/>
      </c>
      <c r="QE88" s="30" t="str">
        <f>IFERROR(IF(DATA[[#This Row],[Administrative Officer 1: Numbers employed (Full Time Equivalent)]]=0,"",DATA[[#This Row],[Administrative Officer 1: Current 2021/22 Maximum hourly pay rate ADJUSTED 2]]*DATA[[#This Row],[Administrative Officer 1: Numbers employed (Full Time Equivalent)]]),"")</f>
        <v/>
      </c>
      <c r="QF88" s="30" t="str">
        <f>IFERROR(IF(DATA[[#This Row],[Administrative Officer 1: Numbers employed (Full Time Equivalent)]]=0,"",DATA[[#This Row],[Administrative Officer 1: Previous 2020/21 Minimum hourly pay rate ADJUSTED 2]]*DATA[[#This Row],[Administrative Officer 1: Numbers employed (Full Time Equivalent)]]),"")</f>
        <v/>
      </c>
      <c r="QG88" s="30" t="str">
        <f>IFERROR(IF(DATA[[#This Row],[Administrative Officer 1: Numbers employed (Full Time Equivalent)]]=0,"",DATA[[#This Row],[Administrative Officer 1: Previous 2020/21 Maximum hourly pay rate ADJUSTED 2]]*DATA[[#This Row],[Administrative Officer 1: Numbers employed (Full Time Equivalent)]]),"")</f>
        <v/>
      </c>
      <c r="QH88" s="30" t="str">
        <f>IFERROR(IF(DATA[[#This Row],[Administrative Officer 2: Numbers employed (Full Time Equivalent)]]=0,"",DATA[[#This Row],[Administrative Officer 2: Current 2021/22 Minimum hourly pay rate ADJUSTED 2]]*DATA[[#This Row],[Administrative Officer 2: Numbers employed (Full Time Equivalent)]]),"")</f>
        <v/>
      </c>
      <c r="QI88" s="30" t="str">
        <f>IFERROR(IF(DATA[[#This Row],[Administrative Officer 2: Numbers employed (Full Time Equivalent)]]=0,"",DATA[[#This Row],[Administrative Officer 2: Current 2021/22 Maximum hourly pay rate ADJUSTED 2]]*DATA[[#This Row],[Administrative Officer 2: Numbers employed (Full Time Equivalent)]]),"")</f>
        <v/>
      </c>
      <c r="QJ88" s="30" t="str">
        <f>IFERROR(IF(DATA[[#This Row],[Administrative Officer 2: Numbers employed (Full Time Equivalent)]]=0,"",DATA[[#This Row],[Administrative Officer 2: Previous 2020/21 Minimum hourly pay rate ADJUSTED 2]]*DATA[[#This Row],[Administrative Officer 2: Numbers employed (Full Time Equivalent)]]),"")</f>
        <v/>
      </c>
      <c r="QK88" s="30" t="str">
        <f>IFERROR(IF(DATA[[#This Row],[Administrative Officer 2: Numbers employed (Full Time Equivalent)]]=0,"",DATA[[#This Row],[Administrative Officer 2: Previous 2020/21 Maximum hourly pay rate ADJUSTED 2]]*DATA[[#This Row],[Administrative Officer 2: Numbers employed (Full Time Equivalent)]]),"")</f>
        <v/>
      </c>
      <c r="QL88" s="30" t="str">
        <f>IFERROR(IF(DATA[[#This Row],[Administrative Officer 3: Numbers employed (Full Time Equivalent)]]=0,"",DATA[[#This Row],[Administrative Officer 3: Current 2021/22 Minimum hourly pay rate ADJUSTED 2]]*DATA[[#This Row],[Administrative Officer 3: Numbers employed (Full Time Equivalent)]]),"")</f>
        <v/>
      </c>
      <c r="QM88" s="30" t="str">
        <f>IFERROR(IF(DATA[[#This Row],[Administrative Officer 3: Numbers employed (Full Time Equivalent)]]=0,"",DATA[[#This Row],[Administrative Officer 3: Current 2021/22 Maximum hourly pay rate ADJUSTED 2]]*DATA[[#This Row],[Administrative Officer 3: Numbers employed (Full Time Equivalent)]]),"")</f>
        <v/>
      </c>
      <c r="QN88" s="30" t="str">
        <f>IFERROR(IF(DATA[[#This Row],[Administrative Officer 3: Numbers employed (Full Time Equivalent)]]=0,"",DATA[[#This Row],[Administrative Officer 3: Previous 2020/21 Minimum hourly pay rate ADJUSTED 2]]*DATA[[#This Row],[Administrative Officer 3: Numbers employed (Full Time Equivalent)]]),"")</f>
        <v/>
      </c>
      <c r="QO88" s="30" t="str">
        <f>IFERROR(IF(DATA[[#This Row],[Administrative Officer 3: Numbers employed (Full Time Equivalent)]]=0,"",DATA[[#This Row],[Administrative Officer 3: Previous 2020/21 Maximum hourly pay rate ADJUSTED 2]]*DATA[[#This Row],[Administrative Officer 3: Numbers employed (Full Time Equivalent)]]),"")</f>
        <v/>
      </c>
      <c r="QP88" s="28" t="str">
        <f>IFERROR(IF(DATA[[#This Row],[Other staff 1: Numbers employed (Full Time Equivalent)]]=0,"",DATA[[#This Row],[Other staff 1: Current 2021/22 Minimum hourly pay rate ADJUSTED 2]]*DATA[[#This Row],[Other staff 1: Numbers employed (Full Time Equivalent)]]),"")</f>
        <v/>
      </c>
      <c r="QQ88" s="28" t="str">
        <f>IFERROR(IF(DATA[[#This Row],[Other staff 1: Numbers employed (Full Time Equivalent)]]=0,"",DATA[[#This Row],[Other staff 1: Current 2021/22 Maximum hourly pay rate ADJUSTED 2]]*DATA[[#This Row],[Other staff 1: Numbers employed (Full Time Equivalent)]]),"")</f>
        <v/>
      </c>
      <c r="QR88" s="28" t="str">
        <f>IFERROR(IF(DATA[[#This Row],[Other staff 1: Numbers employed (Full Time Equivalent)]]=0,"",DATA[[#This Row],[Other staff 1: Previous 2020/21 Minimum hourly pay rate ADJUSTED 2]]*DATA[[#This Row],[Other staff 1: Numbers employed (Full Time Equivalent)]]),"")</f>
        <v/>
      </c>
      <c r="QS88" s="28" t="str">
        <f>IFERROR(IF(DATA[[#This Row],[Other staff 1: Numbers employed (Full Time Equivalent)]]=0,"",DATA[[#This Row],[Other staff 1: Previous 2020/21 Maximum hourly pay rate ADJUSTED 2]]*DATA[[#This Row],[Other staff 1: Numbers employed (Full Time Equivalent)]]),"")</f>
        <v/>
      </c>
      <c r="QT88" s="28" t="str">
        <f>IFERROR(IF(DATA[[#This Row],[Other staff 2: Numbers employed (Full Time Equivalent)]]=0,"",DATA[[#This Row],[Other staff 2: Current 2021/22 Minimum hourly pay rate ADJUSTED 2]]*DATA[[#This Row],[Other staff 2: Numbers employed (Full Time Equivalent)]]),"")</f>
        <v/>
      </c>
      <c r="QU88" s="28" t="str">
        <f>IFERROR(IF(DATA[[#This Row],[Other staff 2: Numbers employed (Full Time Equivalent)]]=0,"",DATA[[#This Row],[Other staff 2: Current 2021/22 Maximum hourly pay rate ADJUSTED 2]]*DATA[[#This Row],[Other staff 2: Numbers employed (Full Time Equivalent)]]),"")</f>
        <v/>
      </c>
      <c r="QV88" s="28" t="str">
        <f>IFERROR(IF(DATA[[#This Row],[Other staff 2: Numbers employed (Full Time Equivalent)]]=0,"",DATA[[#This Row],[Other staff 2: Previous 2020/21 Minimum hourly pay rate ADJUSTED 2]]*DATA[[#This Row],[Other staff 2: Numbers employed (Full Time Equivalent)]]),"")</f>
        <v/>
      </c>
      <c r="QW88" s="28" t="str">
        <f>IFERROR(IF(DATA[[#This Row],[Other staff 2: Numbers employed (Full Time Equivalent)]]=0,"",DATA[[#This Row],[Other staff 2: Previous 2020/21 Maximum hourly pay rate ADJUSTED 2]]*DATA[[#This Row],[Other staff 2: Numbers employed (Full Time Equivalent)]]),"")</f>
        <v/>
      </c>
      <c r="QX88" s="28" t="str">
        <f>IFERROR(IF(DATA[[#This Row],[Other staff 3: Numbers employed (Full Time Equivalent)]]=0,"",DATA[[#This Row],[Other staff 3: Current 2021/22 Minimum hourly pay rate ADJUSTED 2]]*DATA[[#This Row],[Other staff 3: Numbers employed (Full Time Equivalent)]]),"")</f>
        <v/>
      </c>
      <c r="QY88" s="28" t="str">
        <f>IFERROR(IF(DATA[[#This Row],[Other staff 3: Numbers employed (Full Time Equivalent)]]=0,"",DATA[[#This Row],[Other staff 3: Current 2021/22 Maximum hourly pay rate ADJUSTED 2]]*DATA[[#This Row],[Other staff 3: Numbers employed (Full Time Equivalent)]]),"")</f>
        <v/>
      </c>
      <c r="QZ88" s="28" t="str">
        <f>IFERROR(IF(DATA[[#This Row],[Other staff 3: Numbers employed (Full Time Equivalent)]]=0,"",DATA[[#This Row],[Other staff 3: Previous 2020/21 Minimum hourly pay rate ADJUSTED 2]]*DATA[[#This Row],[Other staff 3: Numbers employed (Full Time Equivalent)]]),"")</f>
        <v/>
      </c>
      <c r="RA88" s="28" t="str">
        <f>IFERROR(IF(DATA[[#This Row],[Other staff 3: Numbers employed (Full Time Equivalent)]]=0,"",DATA[[#This Row],[Other staff 3: Previous 2020/21 Maximum hourly pay rate ADJUSTED 2]]*DATA[[#This Row],[Other staff 3: Numbers employed (Full Time Equivalent)]]),"")</f>
        <v/>
      </c>
      <c r="RB88" s="30">
        <f>IF(AND(DATA[[#This Row],[Registered manager: Current 2021/22 Maximum hourly pay rate ADJUSTED 2]]&lt;&gt;"",DATA[[#This Row],[Registered manager: Current 2021/22 Maximum hourly pay rate ADJUSTED 2]]&lt;&gt;0,DATA[[#This Row],[Registered manager: Previous 2020/21 Maximum hourly pay rate ADJUSTED 2]]&lt;&gt;"",DATA[[#This Row],[Registered manager: Previous 2020/21 Maximum hourly pay rate ADJUSTED 2]]&lt;&gt;0),DATA[[#This Row],[Registered manager: Numbers employed (Full Time Equivalent)]],0)</f>
        <v>1</v>
      </c>
      <c r="RC88" s="30">
        <f>IF(AND(DATA[[#This Row],[Deputy manager: Current 2021/22 Maximum hourly pay rate ADJUSTED 2]]&lt;&gt;"",DATA[[#This Row],[Deputy manager: Current 2021/22 Maximum hourly pay rate ADJUSTED 2]]&lt;&gt;0,DATA[[#This Row],[Deputy manager: Previous 2020/21 Maximum hourly pay rate ADJUSTED 2]]&lt;&gt;"",DATA[[#This Row],[Deputy manager: Previous 2020/21 Maximum hourly pay rate ADJUSTED 2]]&lt;&gt;0),DATA[[#This Row],[Deputy manager: Numbers employed (Full Time Equivalent)]],0)</f>
        <v>0</v>
      </c>
      <c r="RD88" s="30">
        <f>IF(AND(DATA[[#This Row],[Other manager 1: Current 2021/22 Maximum hourly pay rate ADJUSTED 2]]&lt;&gt;"",DATA[[#This Row],[Other manager 1: Current 2021/22 Maximum hourly pay rate ADJUSTED 2]]&lt;&gt;0,DATA[[#This Row],[Other manager 1: Previous 2020/21 Maximum hourly pay rate ADJUSTED 2]]&lt;&gt;"",DATA[[#This Row],[Other manager 1: Previous 2020/21 Maximum hourly pay rate ADJUSTED 2]]&lt;&gt;0),DATA[[#This Row],[Other manager 1: Numbers employed (Full Time Equivalent)]],0)</f>
        <v>2</v>
      </c>
      <c r="RE88" s="30">
        <f>IF(AND(DATA[[#This Row],[Other manager 2: Current 2021/22 Maximum hourly pay rate ADJUSTED 2]]&lt;&gt;"",DATA[[#This Row],[Other manager 2: Current 2021/22 Maximum hourly pay rate ADJUSTED 2]]&lt;&gt;0,DATA[[#This Row],[Other manager 2: Previous 2020/21 Maximum hourly pay rate ADJUSTED 2]]&lt;&gt;"",DATA[[#This Row],[Other manager 2: Previous 2020/21 Maximum hourly pay rate ADJUSTED 2]]&lt;&gt;0),DATA[[#This Row],[Other manager 2: Numbers employed (Full Time Equivalent)]],0)</f>
        <v>0</v>
      </c>
      <c r="RF88" s="30">
        <f>IF(AND(DATA[[#This Row],[Other manager 3: Current 2021/22 Maximum hourly pay rate ADJUSTED 2]]&lt;&gt;"",DATA[[#This Row],[Other manager 3: Current 2021/22 Maximum hourly pay rate ADJUSTED 2]]&lt;&gt;0,DATA[[#This Row],[Other manager 3: Previous 2020/21 Maximum hourly pay rate ADJUSTED 2]]&lt;&gt;"",DATA[[#This Row],[Other manager 3: Previous 2020/21 Maximum hourly pay rate ADJUSTED 2]]&lt;&gt;0),DATA[[#This Row],[Other manager 3: Numbers employed (Full Time Equivalent)]],0)</f>
        <v>0</v>
      </c>
      <c r="RG88" s="30">
        <f>IF(AND(DATA[[#This Row],[Care Assistant 1: Current 2021/22 Maximum hourly pay rate ADJUSTED 2]]&lt;&gt;"",DATA[[#This Row],[Care Assistant 1: Current 2021/22 Maximum hourly pay rate ADJUSTED 2]]&lt;&gt;0,DATA[[#This Row],[Care Assistant 1: Previous 2020/21 Maximum hourly pay rate ADJUSTED 2]]&lt;&gt;"",DATA[[#This Row],[Care Assistant 1: Previous 2020/21 Maximum hourly pay rate ADJUSTED 2]]&lt;&gt;0),DATA[[#This Row],[Care Assistant 1: Numbers employed (Full Time Equivalent)]],0)</f>
        <v>1</v>
      </c>
      <c r="RH88" s="30">
        <f>IF(AND(DATA[[#This Row],[Care Assistant 2: Current 2021/22 Maximum hourly pay rate ADJUSTED 2]]&lt;&gt;"",DATA[[#This Row],[Care Assistant 2: Current 2021/22 Maximum hourly pay rate ADJUSTED 2]]&lt;&gt;0,DATA[[#This Row],[Care Assistant 2: Previous 2020/21 Maximum hourly pay rate ADJUSTED 2]]&lt;&gt;"",DATA[[#This Row],[Care Assistant 2: Previous 2020/21 Maximum hourly pay rate ADJUSTED 2]]&lt;&gt;0),DATA[[#This Row],[Care Assistant 2: Numbers employed (Full Time Equivalent)]],0)</f>
        <v>1</v>
      </c>
      <c r="RI88" s="30">
        <f>IF(AND(DATA[[#This Row],[Care Assistant 3: Current 2021/22 Maximum hourly pay rate ADJUSTED 2]]&lt;&gt;"",DATA[[#This Row],[Care Assistant 3: Current 2021/22 Maximum hourly pay rate ADJUSTED 2]]&lt;&gt;0,DATA[[#This Row],[Care Assistant 3: Previous 2020/21 Maximum hourly pay rate ADJUSTED 2]]&lt;&gt;"",DATA[[#This Row],[Care Assistant 3: Previous 2020/21 Maximum hourly pay rate ADJUSTED 2]]&lt;&gt;0),DATA[[#This Row],[Care Assistant 3: Numbers employed (Full Time Equivalent)]],0)</f>
        <v>2</v>
      </c>
      <c r="RJ88" s="30">
        <f>IF(AND(DATA[[#This Row],[Care Assistant 4: Current 2021/22 Maximum hourly pay rate ADJUSTED 2]]&lt;&gt;"",DATA[[#This Row],[Care Assistant 4: Current 2021/22 Maximum hourly pay rate ADJUSTED 2]]&lt;&gt;0,DATA[[#This Row],[Care Assistant 4: Previous 2020/21 Maximum hourly pay rate ADJUSTED 2]]&lt;&gt;"",DATA[[#This Row],[Care Assistant 4: Previous 2020/21 Maximum hourly pay rate ADJUSTED 2]]&lt;&gt;0),DATA[[#This Row],[Care Assistant 4: Numbers employed (Full Time Equivalent)]],0)</f>
        <v>14</v>
      </c>
      <c r="RK88" s="30">
        <f>IF(AND(DATA[[#This Row],[Administrative Officer 1: Current 2021/22 Maximum hourly pay rate ADJUSTED 2]]&lt;&gt;"",DATA[[#This Row],[Administrative Officer 1: Current 2021/22 Maximum hourly pay rate ADJUSTED 2]]&lt;&gt;0,DATA[[#This Row],[Administrative Officer 1: Previous 2020/21 Maximum hourly pay rate ADJUSTED 2]]&lt;&gt;"",DATA[[#This Row],[Administrative Officer 1: Previous 2020/21 Maximum hourly pay rate ADJUSTED 2]]&lt;&gt;0),DATA[[#This Row],[Administrative Officer 1: Numbers employed (Full Time Equivalent)]],0)</f>
        <v>0</v>
      </c>
      <c r="RL88" s="30">
        <f>IF(AND(DATA[[#This Row],[Administrative Officer 2: Current 2021/22 Maximum hourly pay rate ADJUSTED 2]]&lt;&gt;"",DATA[[#This Row],[Administrative Officer 2: Current 2021/22 Maximum hourly pay rate ADJUSTED 2]]&lt;&gt;0,DATA[[#This Row],[Administrative Officer 2: Previous 2020/21 Maximum hourly pay rate ADJUSTED 2]]&lt;&gt;"",DATA[[#This Row],[Administrative Officer 2: Previous 2020/21 Maximum hourly pay rate ADJUSTED 2]]&lt;&gt;0),DATA[[#This Row],[Administrative Officer 2: Numbers employed (Full Time Equivalent)]],0)</f>
        <v>0</v>
      </c>
      <c r="RM88" s="30">
        <f>IF(AND(DATA[[#This Row],[Administrative Officer 3: Current 2021/22 Maximum hourly pay rate ADJUSTED 2]]&lt;&gt;"",DATA[[#This Row],[Administrative Officer 3: Current 2021/22 Maximum hourly pay rate ADJUSTED 2]]&lt;&gt;0,DATA[[#This Row],[Administrative Officer 3: Previous 2020/21 Maximum hourly pay rate ADJUSTED 2]]&lt;&gt;"",DATA[[#This Row],[Administrative Officer 3: Previous 2020/21 Maximum hourly pay rate ADJUSTED 2]]&lt;&gt;0),DATA[[#This Row],[Administrative Officer 3: Numbers employed (Full Time Equivalent)]],0)</f>
        <v>0</v>
      </c>
      <c r="RN88" s="30">
        <f>IF(AND(DATA[[#This Row],[Other staff 1: Current 2021/22 Maximum hourly pay rate ADJUSTED 2]]&lt;&gt;"",DATA[[#This Row],[Other staff 1: Current 2021/22 Maximum hourly pay rate ADJUSTED 2]]&lt;&gt;0,DATA[[#This Row],[Other staff 1: Previous 2020/21 Maximum hourly pay rate ADJUSTED 2]]&lt;&gt;"",DATA[[#This Row],[Other staff 1: Previous 2020/21 Maximum hourly pay rate ADJUSTED 2]]&lt;&gt;0),DATA[[#This Row],[Other staff 1: Numbers employed (Full Time Equivalent)]],0)</f>
        <v>0</v>
      </c>
      <c r="RO88" s="30">
        <f>IF(AND(DATA[[#This Row],[Other staff 2: Current 2021/22 Maximum hourly pay rate ADJUSTED 2]]&lt;&gt;"",DATA[[#This Row],[Other staff 2: Current 2021/22 Maximum hourly pay rate ADJUSTED 2]]&lt;&gt;0,DATA[[#This Row],[Other staff 2: Previous 2020/21 Maximum hourly pay rate ADJUSTED 2]]&lt;&gt;"",DATA[[#This Row],[Other staff 2: Previous 2020/21 Maximum hourly pay rate ADJUSTED 2]]&lt;&gt;0),DATA[[#This Row],[Other staff 2: Numbers employed (Full Time Equivalent)]],0)</f>
        <v>0</v>
      </c>
      <c r="RP88" s="30">
        <f>IF(AND(DATA[[#This Row],[Other staff 3: Current 2021/22 Maximum hourly pay rate ADJUSTED 2]]&lt;&gt;"",DATA[[#This Row],[Other staff 3: Current 2021/22 Maximum hourly pay rate ADJUSTED 2]]&lt;&gt;0,DATA[[#This Row],[Other staff 3: Previous 2020/21 Maximum hourly pay rate ADJUSTED 2]]&lt;&gt;"",DATA[[#This Row],[Other staff 3: Previous 2020/21 Maximum hourly pay rate ADJUSTED 2]]&lt;&gt;0),DATA[[#This Row],[Other staff 3: Numbers employed (Full Time Equivalent)]],0)</f>
        <v>0</v>
      </c>
    </row>
  </sheetData>
  <phoneticPr fontId="3" type="noConversion"/>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36"/>
  <sheetViews>
    <sheetView workbookViewId="0">
      <selection activeCell="C36" sqref="C36"/>
    </sheetView>
  </sheetViews>
  <sheetFormatPr defaultRowHeight="15" x14ac:dyDescent="0.25"/>
  <cols>
    <col min="1" max="1" width="47.140625" bestFit="1" customWidth="1"/>
    <col min="2" max="2" width="47.140625" customWidth="1"/>
    <col min="3" max="3" width="16.42578125" bestFit="1" customWidth="1"/>
  </cols>
  <sheetData>
    <row r="1" spans="1:3" x14ac:dyDescent="0.25">
      <c r="A1" t="s">
        <v>770</v>
      </c>
      <c r="B1" t="s">
        <v>794</v>
      </c>
      <c r="C1" t="s">
        <v>771</v>
      </c>
    </row>
    <row r="2" spans="1:3" x14ac:dyDescent="0.25">
      <c r="A2" t="s">
        <v>755</v>
      </c>
      <c r="B2" t="str">
        <f>"Average of " &amp; COST_GROUPS[[#This Row],[Cost Type]] &amp; " HOURLY RATE"</f>
        <v>Average of Management staff HOURLY RATE</v>
      </c>
      <c r="C2" t="s">
        <v>754</v>
      </c>
    </row>
    <row r="3" spans="1:3" x14ac:dyDescent="0.25">
      <c r="A3" t="s">
        <v>756</v>
      </c>
      <c r="B3" t="str">
        <f>"Average of " &amp; COST_GROUPS[[#This Row],[Cost Type]] &amp; " HOURLY RATE"</f>
        <v>Average of Care and Support staff HOURLY RATE</v>
      </c>
      <c r="C3" t="s">
        <v>754</v>
      </c>
    </row>
    <row r="4" spans="1:3" x14ac:dyDescent="0.25">
      <c r="A4" t="s">
        <v>57</v>
      </c>
      <c r="B4" t="str">
        <f>"Average of " &amp; COST_GROUPS[[#This Row],[Cost Type]] &amp; " HOURLY RATE"</f>
        <v>Average of Administration HOURLY RATE</v>
      </c>
      <c r="C4" t="s">
        <v>754</v>
      </c>
    </row>
    <row r="5" spans="1:3" x14ac:dyDescent="0.25">
      <c r="A5" t="s">
        <v>757</v>
      </c>
      <c r="B5" t="str">
        <f>"Average of " &amp; COST_GROUPS[[#This Row],[Cost Type]] &amp; " HOURLY RATE"</f>
        <v>Average of Other staff HOURLY RATE</v>
      </c>
      <c r="C5" t="s">
        <v>754</v>
      </c>
    </row>
    <row r="6" spans="1:3" x14ac:dyDescent="0.25">
      <c r="A6" t="s">
        <v>758</v>
      </c>
      <c r="B6" t="str">
        <f>"Average of " &amp; COST_GROUPS[[#This Row],[Cost Type]] &amp; " HOURLY RATE"</f>
        <v>Average of Agency staff HOURLY RATE</v>
      </c>
      <c r="C6" t="s">
        <v>754</v>
      </c>
    </row>
    <row r="7" spans="1:3" x14ac:dyDescent="0.25">
      <c r="A7" t="s">
        <v>780</v>
      </c>
      <c r="B7" t="str">
        <f>"Average of " &amp; COST_GROUPS[[#This Row],[Cost Type]] &amp; " HOURLY RATE"</f>
        <v>Average of Travel Cost HOURLY RATE</v>
      </c>
      <c r="C7" t="s">
        <v>754</v>
      </c>
    </row>
    <row r="8" spans="1:3" x14ac:dyDescent="0.25">
      <c r="A8" t="s">
        <v>759</v>
      </c>
      <c r="B8" t="str">
        <f>"Average of " &amp; COST_GROUPS[[#This Row],[Cost Type]] &amp; " HOURLY RATE"</f>
        <v>Average of Travel Time HOURLY RATE</v>
      </c>
      <c r="C8" t="s">
        <v>754</v>
      </c>
    </row>
    <row r="9" spans="1:3" x14ac:dyDescent="0.25">
      <c r="A9" t="s">
        <v>760</v>
      </c>
      <c r="B9" t="str">
        <f>"Average of " &amp; COST_GROUPS[[#This Row],[Cost Type]] &amp; " HOURLY RATE"</f>
        <v>Average of Training and development HOURLY RATE</v>
      </c>
      <c r="C9" t="s">
        <v>754</v>
      </c>
    </row>
    <row r="10" spans="1:3" x14ac:dyDescent="0.25">
      <c r="A10" t="s">
        <v>290</v>
      </c>
      <c r="B10" t="str">
        <f>"Average of " &amp; COST_GROUPS[[#This Row],[Cost Type]] &amp; " HOURLY RATE"</f>
        <v>Average of Recruitment &amp; advertising (including DBS checks) HOURLY RATE</v>
      </c>
      <c r="C10" t="s">
        <v>767</v>
      </c>
    </row>
    <row r="11" spans="1:3" x14ac:dyDescent="0.25">
      <c r="A11" t="s">
        <v>99</v>
      </c>
      <c r="B11" t="str">
        <f>"Average of " &amp; COST_GROUPS[[#This Row],[Cost Type]] &amp; " HOURLY RATE"</f>
        <v>Average of Training expenses (fees, facilities, travel and materials) HOURLY RATE</v>
      </c>
      <c r="C11" t="s">
        <v>767</v>
      </c>
    </row>
    <row r="12" spans="1:3" x14ac:dyDescent="0.25">
      <c r="A12" t="s">
        <v>101</v>
      </c>
      <c r="B12" t="str">
        <f>"Average of " &amp; COST_GROUPS[[#This Row],[Cost Type]] &amp; " HOURLY RATE"</f>
        <v>Average of Care consumables &amp; uniforms HOURLY RATE</v>
      </c>
      <c r="C12" t="s">
        <v>767</v>
      </c>
    </row>
    <row r="13" spans="1:3" x14ac:dyDescent="0.25">
      <c r="A13" t="s">
        <v>291</v>
      </c>
      <c r="B13" t="str">
        <f>"Average of " &amp; COST_GROUPS[[#This Row],[Cost Type]] &amp; " HOURLY RATE"</f>
        <v>Average of Electronic call monitoring HOURLY RATE</v>
      </c>
      <c r="C13" t="s">
        <v>767</v>
      </c>
    </row>
    <row r="14" spans="1:3" x14ac:dyDescent="0.25">
      <c r="A14" t="s">
        <v>292</v>
      </c>
      <c r="B14" t="str">
        <f>"Average of " &amp; COST_GROUPS[[#This Row],[Cost Type]] &amp; " HOURLY RATE"</f>
        <v>Average of IT Equipment &amp; Telephoney HOURLY RATE</v>
      </c>
      <c r="C14" t="s">
        <v>767</v>
      </c>
    </row>
    <row r="15" spans="1:3" x14ac:dyDescent="0.25">
      <c r="A15" t="s">
        <v>761</v>
      </c>
      <c r="B15" t="str">
        <f>"Average of " &amp; COST_GROUPS[[#This Row],[Cost Type]] &amp; " HOURLY RATE"</f>
        <v>Average of Other Non-Staffing Direct Cost 1 HOURLY RATE</v>
      </c>
      <c r="C15" t="s">
        <v>767</v>
      </c>
    </row>
    <row r="16" spans="1:3" x14ac:dyDescent="0.25">
      <c r="A16" t="s">
        <v>762</v>
      </c>
      <c r="B16" t="str">
        <f>"Average of " &amp; COST_GROUPS[[#This Row],[Cost Type]] &amp; " HOURLY RATE"</f>
        <v>Average of Other Non-Staffing Direct Cost 2 HOURLY RATE</v>
      </c>
      <c r="C16" t="s">
        <v>767</v>
      </c>
    </row>
    <row r="17" spans="1:3" x14ac:dyDescent="0.25">
      <c r="A17" t="s">
        <v>296</v>
      </c>
      <c r="B17" t="str">
        <f>"Average of " &amp; COST_GROUPS[[#This Row],[Cost Type]] &amp; " HOURLY RATE"</f>
        <v>Average of Insurance  HOURLY RATE</v>
      </c>
      <c r="C17" t="s">
        <v>768</v>
      </c>
    </row>
    <row r="18" spans="1:3" x14ac:dyDescent="0.25">
      <c r="A18" t="s">
        <v>297</v>
      </c>
      <c r="B18" t="str">
        <f>"Average of " &amp; COST_GROUPS[[#This Row],[Cost Type]] &amp; " HOURLY RATE"</f>
        <v>Average of Utilities (gas, oil, electricity, water, internet, rates) HOURLY RATE</v>
      </c>
      <c r="C18" t="s">
        <v>768</v>
      </c>
    </row>
    <row r="19" spans="1:3" x14ac:dyDescent="0.25">
      <c r="A19" t="s">
        <v>98</v>
      </c>
      <c r="B19" t="str">
        <f>"Average of " &amp; COST_GROUPS[[#This Row],[Cost Type]] &amp; " HOURLY RATE"</f>
        <v>Average of Repairs and maintenance HOURLY RATE</v>
      </c>
      <c r="C19" t="s">
        <v>768</v>
      </c>
    </row>
    <row r="20" spans="1:3" x14ac:dyDescent="0.25">
      <c r="A20" t="s">
        <v>102</v>
      </c>
      <c r="B20" t="str">
        <f>"Average of " &amp; COST_GROUPS[[#This Row],[Cost Type]] &amp; " HOURLY RATE"</f>
        <v>Average of Property cost relating to  rent/mortgage/lease/loan etc HOURLY RATE</v>
      </c>
      <c r="C20" t="s">
        <v>768</v>
      </c>
    </row>
    <row r="21" spans="1:3" x14ac:dyDescent="0.25">
      <c r="A21" t="s">
        <v>298</v>
      </c>
      <c r="B21" t="str">
        <f>"Average of " &amp; COST_GROUPS[[#This Row],[Cost Type]] &amp; " HOURLY RATE"</f>
        <v>Average of Registration &amp; Inspection fees  HOURLY RATE</v>
      </c>
      <c r="C21" t="s">
        <v>768</v>
      </c>
    </row>
    <row r="22" spans="1:3" x14ac:dyDescent="0.25">
      <c r="A22" t="s">
        <v>100</v>
      </c>
      <c r="B22" t="str">
        <f>"Average of " &amp; COST_GROUPS[[#This Row],[Cost Type]] &amp; " HOURLY RATE"</f>
        <v>Average of Subscriptions HOURLY RATE</v>
      </c>
      <c r="C22" t="s">
        <v>768</v>
      </c>
    </row>
    <row r="23" spans="1:3" x14ac:dyDescent="0.25">
      <c r="A23" t="s">
        <v>299</v>
      </c>
      <c r="B23" t="str">
        <f>"Average of " &amp; COST_GROUPS[[#This Row],[Cost Type]] &amp; " HOURLY RATE"</f>
        <v>Average of Cost of finance HOURLY RATE</v>
      </c>
      <c r="C23" t="s">
        <v>768</v>
      </c>
    </row>
    <row r="24" spans="1:3" x14ac:dyDescent="0.25">
      <c r="A24" t="s">
        <v>300</v>
      </c>
      <c r="B24" t="str">
        <f>"Average of " &amp; COST_GROUPS[[#This Row],[Cost Type]] &amp; " HOURLY RATE"</f>
        <v>Average of Other non-staff current expenses HOURLY RATE</v>
      </c>
      <c r="C24" t="s">
        <v>768</v>
      </c>
    </row>
    <row r="25" spans="1:3" x14ac:dyDescent="0.25">
      <c r="A25" t="s">
        <v>763</v>
      </c>
      <c r="B25" t="str">
        <f>"Average of " &amp; COST_GROUPS[[#This Row],[Cost Type]] &amp; " HOURLY RATE"</f>
        <v>Average of Other Indirect Costs 1 HOURLY RATE</v>
      </c>
      <c r="C25" t="s">
        <v>768</v>
      </c>
    </row>
    <row r="26" spans="1:3" x14ac:dyDescent="0.25">
      <c r="A26" t="s">
        <v>764</v>
      </c>
      <c r="B26" t="str">
        <f>"Average of " &amp; COST_GROUPS[[#This Row],[Cost Type]] &amp; " HOURLY RATE"</f>
        <v>Average of Other Indirect Costs 2 HOURLY RATE</v>
      </c>
      <c r="C26" t="s">
        <v>768</v>
      </c>
    </row>
    <row r="27" spans="1:3" x14ac:dyDescent="0.25">
      <c r="A27" t="s">
        <v>103</v>
      </c>
      <c r="B27" t="str">
        <f>"Average of " &amp; COST_GROUPS[[#This Row],[Cost Type]] &amp; " HOURLY RATE"</f>
        <v>Average of Central / Regional Management HOURLY RATE</v>
      </c>
      <c r="C27" t="s">
        <v>769</v>
      </c>
    </row>
    <row r="28" spans="1:3" x14ac:dyDescent="0.25">
      <c r="A28" t="s">
        <v>104</v>
      </c>
      <c r="B28" t="str">
        <f>"Average of " &amp; COST_GROUPS[[#This Row],[Cost Type]] &amp; " HOURLY RATE"</f>
        <v>Average of Support Services (finance / HR / Payroll / legal etc.) HOURLY RATE</v>
      </c>
      <c r="C28" t="s">
        <v>769</v>
      </c>
    </row>
    <row r="29" spans="1:3" x14ac:dyDescent="0.25">
      <c r="A29" t="s">
        <v>765</v>
      </c>
      <c r="B29" t="str">
        <f>"Average of " &amp; COST_GROUPS[[#This Row],[Cost Type]] &amp; " HOURLY RATE"</f>
        <v>Average of Other Overheads 1 HOURLY RATE</v>
      </c>
      <c r="C29" t="s">
        <v>769</v>
      </c>
    </row>
    <row r="30" spans="1:3" x14ac:dyDescent="0.25">
      <c r="A30" t="s">
        <v>766</v>
      </c>
      <c r="B30" t="str">
        <f>"Average of " &amp; COST_GROUPS[[#This Row],[Cost Type]] &amp; " HOURLY RATE"</f>
        <v>Average of Other Overheads 2 HOURLY RATE</v>
      </c>
      <c r="C30" t="s">
        <v>769</v>
      </c>
    </row>
    <row r="31" spans="1:3" ht="30" x14ac:dyDescent="0.25">
      <c r="A31" s="26" t="s">
        <v>792</v>
      </c>
      <c r="B31" s="25" t="str">
        <f>"Average of " &amp; COST_GROUPS[[#This Row],[Cost Type]] &amp; " HOURLY RATE"</f>
        <v>Average of Indirect costs: Other  - please specify (amount) 1 HOURLY RATE</v>
      </c>
      <c r="C31" t="s">
        <v>768</v>
      </c>
    </row>
    <row r="32" spans="1:3" ht="30" x14ac:dyDescent="0.25">
      <c r="A32" s="26" t="s">
        <v>305</v>
      </c>
      <c r="B32" s="25" t="str">
        <f>"Average of " &amp; COST_GROUPS[[#This Row],[Cost Type]] &amp; " HOURLY RATE"</f>
        <v>Average of Indirect costs: Other  - please specify (amount) 2 HOURLY RATE</v>
      </c>
      <c r="C32" t="s">
        <v>768</v>
      </c>
    </row>
    <row r="33" spans="1:3" ht="30" x14ac:dyDescent="0.25">
      <c r="A33" s="26" t="s">
        <v>782</v>
      </c>
      <c r="B33" s="25" t="str">
        <f>"Average of " &amp; COST_GROUPS[[#This Row],[Cost Type]] &amp; " HOURLY RATE"</f>
        <v>Average of Corporate Overheads: Other  - please specify (amount) 1 HOURLY RATE</v>
      </c>
      <c r="C33" t="s">
        <v>769</v>
      </c>
    </row>
    <row r="34" spans="1:3" ht="30" x14ac:dyDescent="0.25">
      <c r="A34" s="26" t="s">
        <v>783</v>
      </c>
      <c r="B34" s="25" t="str">
        <f>"Average of " &amp; COST_GROUPS[[#This Row],[Cost Type]] &amp; " HOURLY RATE"</f>
        <v>Average of Corporate Overheads: Other  - please specify (amount) 2 HOURLY RATE</v>
      </c>
      <c r="C34" t="s">
        <v>769</v>
      </c>
    </row>
    <row r="35" spans="1:3" ht="30" x14ac:dyDescent="0.25">
      <c r="A35" s="27" t="s">
        <v>302</v>
      </c>
      <c r="B35" s="25" t="str">
        <f>"Average of " &amp; COST_GROUPS[[#This Row],[Cost Type]] &amp; " HOURLY RATE"</f>
        <v>Average of Non-Staffing Direct Cost: Other  - please specify (amount) HOURLY RATE</v>
      </c>
      <c r="C35" t="s">
        <v>767</v>
      </c>
    </row>
    <row r="36" spans="1:3" ht="30" x14ac:dyDescent="0.25">
      <c r="A36" s="27" t="s">
        <v>304</v>
      </c>
      <c r="B36" s="25" t="str">
        <f>"Average of " &amp; COST_GROUPS[[#This Row],[Cost Type]] &amp; " HOURLY RATE"</f>
        <v>Average of Non-Staffing Direct Cost: Other  - please specify (amount) 2 HOURLY RATE</v>
      </c>
      <c r="C36" t="s">
        <v>767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D16"/>
  <sheetViews>
    <sheetView workbookViewId="0">
      <selection activeCell="B3" sqref="B3"/>
    </sheetView>
  </sheetViews>
  <sheetFormatPr defaultRowHeight="15" x14ac:dyDescent="0.25"/>
  <cols>
    <col min="1" max="1" width="25.85546875" bestFit="1" customWidth="1"/>
  </cols>
  <sheetData>
    <row r="1" spans="1:4" x14ac:dyDescent="0.25">
      <c r="A1" t="s">
        <v>719</v>
      </c>
      <c r="B1">
        <v>4.1500000000000004</v>
      </c>
    </row>
    <row r="2" spans="1:4" x14ac:dyDescent="0.25">
      <c r="A2" t="s">
        <v>720</v>
      </c>
      <c r="B2">
        <v>4.3</v>
      </c>
    </row>
    <row r="3" spans="1:4" x14ac:dyDescent="0.25">
      <c r="A3" t="s">
        <v>721</v>
      </c>
      <c r="B3">
        <v>50</v>
      </c>
    </row>
    <row r="4" spans="1:4" x14ac:dyDescent="0.25">
      <c r="A4" t="s">
        <v>842</v>
      </c>
      <c r="B4">
        <v>9.5</v>
      </c>
    </row>
    <row r="5" spans="1:4" x14ac:dyDescent="0.25">
      <c r="A5" t="s">
        <v>1002</v>
      </c>
      <c r="B5">
        <v>9.9</v>
      </c>
    </row>
    <row r="6" spans="1:4" x14ac:dyDescent="0.25">
      <c r="A6" t="s">
        <v>1003</v>
      </c>
      <c r="B6" s="23">
        <v>0.03</v>
      </c>
    </row>
    <row r="8" spans="1:4" x14ac:dyDescent="0.25">
      <c r="A8" t="s">
        <v>729</v>
      </c>
    </row>
    <row r="10" spans="1:4" x14ac:dyDescent="0.25">
      <c r="A10" t="s">
        <v>843</v>
      </c>
      <c r="B10" t="s">
        <v>727</v>
      </c>
      <c r="C10" t="s">
        <v>728</v>
      </c>
      <c r="D10" t="s">
        <v>844</v>
      </c>
    </row>
    <row r="11" spans="1:4" x14ac:dyDescent="0.25">
      <c r="A11" t="s">
        <v>722</v>
      </c>
      <c r="B11" s="24">
        <v>8.7200000000000006</v>
      </c>
      <c r="C11" s="24">
        <v>8.91</v>
      </c>
      <c r="D11" s="24">
        <v>9.5</v>
      </c>
    </row>
    <row r="12" spans="1:4" x14ac:dyDescent="0.25">
      <c r="A12" t="s">
        <v>723</v>
      </c>
      <c r="B12" s="24">
        <v>8.1999999999999993</v>
      </c>
      <c r="C12" s="24">
        <v>8.36</v>
      </c>
      <c r="D12" s="24">
        <v>9.18</v>
      </c>
    </row>
    <row r="13" spans="1:4" x14ac:dyDescent="0.25">
      <c r="A13" t="s">
        <v>724</v>
      </c>
      <c r="B13" s="24">
        <v>6.45</v>
      </c>
      <c r="C13" s="24">
        <v>6.56</v>
      </c>
      <c r="D13" s="24">
        <v>6.83</v>
      </c>
    </row>
    <row r="14" spans="1:4" x14ac:dyDescent="0.25">
      <c r="A14" t="s">
        <v>725</v>
      </c>
      <c r="B14" s="24">
        <v>4.55</v>
      </c>
      <c r="C14" s="24">
        <v>4.62</v>
      </c>
      <c r="D14" s="24">
        <v>4.8099999999999996</v>
      </c>
    </row>
    <row r="15" spans="1:4" x14ac:dyDescent="0.25">
      <c r="A15" t="s">
        <v>726</v>
      </c>
      <c r="B15" s="24">
        <v>4.1500000000000004</v>
      </c>
      <c r="C15" s="24">
        <v>4.3</v>
      </c>
      <c r="D15" s="24">
        <v>4.8099999999999996</v>
      </c>
    </row>
    <row r="16" spans="1:4" x14ac:dyDescent="0.25">
      <c r="A16" t="s">
        <v>845</v>
      </c>
      <c r="B16" s="24"/>
      <c r="C16" s="24">
        <v>9.5</v>
      </c>
      <c r="D16" s="24"/>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562B3940B355409F76594712355A9B" ma:contentTypeVersion="14" ma:contentTypeDescription="Create a new document." ma:contentTypeScope="" ma:versionID="621011cf990b5c79d5370952b464d908">
  <xsd:schema xmlns:xsd="http://www.w3.org/2001/XMLSchema" xmlns:xs="http://www.w3.org/2001/XMLSchema" xmlns:p="http://schemas.microsoft.com/office/2006/metadata/properties" xmlns:ns3="9ba1fe00-f000-4c70-9f1c-c878adc4ac80" xmlns:ns4="44abea33-7113-4f36-a744-d6ff6959bb17" targetNamespace="http://schemas.microsoft.com/office/2006/metadata/properties" ma:root="true" ma:fieldsID="c8e46579a77f713b662caeb1f3b8c39e" ns3:_="" ns4:_="">
    <xsd:import namespace="9ba1fe00-f000-4c70-9f1c-c878adc4ac80"/>
    <xsd:import namespace="44abea33-7113-4f36-a744-d6ff6959bb1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a1fe00-f000-4c70-9f1c-c878adc4ac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4abea33-7113-4f36-a744-d6ff6959bb1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A0EFD0-939E-40D4-901F-2D37242040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a1fe00-f000-4c70-9f1c-c878adc4ac80"/>
    <ds:schemaRef ds:uri="44abea33-7113-4f36-a744-d6ff6959bb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96BFB6-F268-4449-B321-C46451015F66}">
  <ds:schemaRefs>
    <ds:schemaRef ds:uri="44abea33-7113-4f36-a744-d6ff6959bb1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ba1fe00-f000-4c70-9f1c-c878adc4ac80"/>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8BF4129-8A67-4632-9B0E-1B927F2CFE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16</vt:i4>
      </vt:variant>
    </vt:vector>
  </HeadingPairs>
  <TitlesOfParts>
    <vt:vector size="17" baseType="lpstr">
      <vt:lpstr>Report</vt:lpstr>
      <vt:lpstr>HOME_CHARGES</vt:lpstr>
      <vt:lpstr>HOME_CLIENTS</vt:lpstr>
      <vt:lpstr>HOME_COSTS</vt:lpstr>
      <vt:lpstr>HOME_DMAL</vt:lpstr>
      <vt:lpstr>HOME_EMPLOYEES</vt:lpstr>
      <vt:lpstr>HOME_MENU</vt:lpstr>
      <vt:lpstr>HOME_NLW</vt:lpstr>
      <vt:lpstr>HOME_OCCUPANCY</vt:lpstr>
      <vt:lpstr>HOME_RESPONSES</vt:lpstr>
      <vt:lpstr>HOME_WAGE_RATES</vt:lpstr>
      <vt:lpstr>LIVING_WAGE_22_23</vt:lpstr>
      <vt:lpstr>MAX_WAGE</vt:lpstr>
      <vt:lpstr>MIN_PENSION_CONTRIB</vt:lpstr>
      <vt:lpstr>MIN_WAGE_20_21</vt:lpstr>
      <vt:lpstr>MIN_WAGE_21_22</vt:lpstr>
      <vt:lpstr>REAL_LIVING_WAGE_22_23</vt:lpstr>
    </vt:vector>
  </TitlesOfParts>
  <Company>Birmingham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Open Book Exercise 2021 - Community Care Report</dc:title>
  <dc:creator>John Greenwood</dc:creator>
  <cp:lastModifiedBy>Mike Ewins</cp:lastModifiedBy>
  <cp:lastPrinted>2022-01-25T14:53:51Z</cp:lastPrinted>
  <dcterms:created xsi:type="dcterms:W3CDTF">2021-09-09T12:45:54Z</dcterms:created>
  <dcterms:modified xsi:type="dcterms:W3CDTF">2022-04-20T12:08:54Z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0x0101008A562B3940B355409F76594712355A9B</vt:lpwstr>
  </property>
  <property fmtid="{D5CDD505-2E9C-101B-9397-08002B2CF9AE}" pid="3" name="CloudStatistics_StoryID">
    <vt:lpwstr>193eb9d3-4b16-4296-9387-4d05c7c1a45f</vt:lpwstr>
  </property>
</Properties>
</file>